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VOCAÇÃO" sheetId="1" state="visible" r:id="rId2"/>
    <sheet name="AMPLA" sheetId="2" state="hidden" r:id="rId3"/>
    <sheet name="PCD" sheetId="3" state="hidden" r:id="rId4"/>
    <sheet name="NEGROS" sheetId="4" state="hidden" r:id="rId5"/>
  </sheets>
  <definedNames>
    <definedName function="false" hidden="true" localSheetId="3" name="_xlnm._FilterDatabase" vbProcedure="false">NEGROS!$A$4:$AY$14</definedName>
    <definedName function="false" hidden="false" localSheetId="1" name="Z_05691BBD_1771_4728_9085_D49658C9BD6E_.wvu.FilterData" vbProcedure="false">AMPLA!$A$1:$AQ$1000</definedName>
    <definedName function="false" hidden="false" localSheetId="1" name="Z_3096B5C9_F4DA_4317_BC45_3C9D432EDBB7_.wvu.FilterData" vbProcedure="false">AMPLA!$A$1:$AQ$1000</definedName>
    <definedName function="false" hidden="false" localSheetId="1" name="Z_3B13E9D6_26FB_4BFF_8F3B_2B5CB738A349_.wvu.FilterData" vbProcedure="false">AMPLA!$A$1:$AQ$1000</definedName>
    <definedName function="false" hidden="false" localSheetId="1" name="Z_42BFC6B6_3C55_4071_9E39_C4DB0967621A_.wvu.FilterData" vbProcedure="false">AMPLA!$AW$83</definedName>
    <definedName function="false" hidden="false" localSheetId="1" name="Z_42E8F1FD_30B1_4747_9678_3418872E1563_.wvu.FilterData" vbProcedure="false">AMPLA!$A$1:$AQ$1000</definedName>
    <definedName function="false" hidden="false" localSheetId="1" name="Z_4CE369F1_DBEB_4BB6_86C4_53F286D3C79E_.wvu.FilterData" vbProcedure="false">AMPLA!$A$1:$AQ$1000</definedName>
    <definedName function="false" hidden="false" localSheetId="1" name="Z_54CD584F_0F8A_43DA_967E_A53F247EF385_.wvu.FilterData" vbProcedure="false">AMPLA!$AW$310</definedName>
    <definedName function="false" hidden="false" localSheetId="1" name="Z_63EF555C_CCC7_4FB9_907D_ADCEDCC23B4B_.wvu.FilterData" vbProcedure="false">AMPLA!$A$1:$AQ$1000</definedName>
    <definedName function="false" hidden="false" localSheetId="1" name="Z_8DB391DE_388C_49FA_937E_1FEE78B72F7B_.wvu.FilterData" vbProcedure="false">AMPLA!$A$1:$AQ$1000</definedName>
    <definedName function="false" hidden="false" localSheetId="1" name="Z_EA86641A_E0A7_41E0_B20E_A27D2AD74DEB_.wvu.FilterData" vbProcedure="false">AMPLA!$A$1:$AQ$1000</definedName>
    <definedName function="false" hidden="false" localSheetId="1" name="Z_F1689D3C_428A_4B77_B376_023D793C4ECA_.wvu.FilterData" vbProcedure="false">AMPLA!$A$1:$AQ$1000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<sst xmlns="http://schemas.openxmlformats.org/spreadsheetml/2006/main" count="10832" uniqueCount="3392">
  <si>
    <t xml:space="preserve">CONTRATADO</t>
  </si>
  <si>
    <t xml:space="preserve">DESCLASSIFICADO</t>
  </si>
  <si>
    <t xml:space="preserve">TRIBUNAL DE JUSTIÇA DO ESTADO DE GOIÁS - EDITAL Nº 01/2023</t>
  </si>
  <si>
    <r>
      <rPr>
        <b val="true"/>
        <sz val="12"/>
        <color rgb="FF000000"/>
        <rFont val="Arial"/>
        <family val="0"/>
        <charset val="1"/>
      </rPr>
      <t xml:space="preserve">LISTA DE CLASSIFICAÇÃO FINAL - DIREITO - AMPLA CONCORRÊNCIA - PUBLICADA EM </t>
    </r>
    <r>
      <rPr>
        <b val="true"/>
        <sz val="12"/>
        <color rgb="FFFF0000"/>
        <rFont val="Arial"/>
        <family val="0"/>
        <charset val="1"/>
      </rPr>
      <t xml:space="preserve">04/04/2023</t>
    </r>
  </si>
  <si>
    <r>
      <rPr>
        <b val="true"/>
        <sz val="12"/>
        <color rgb="FF000000"/>
        <rFont val="Calibri, Arial"/>
        <family val="0"/>
        <charset val="1"/>
      </rPr>
      <t xml:space="preserve">DICA: Para localizar seu nome utilize o atalho </t>
    </r>
    <r>
      <rPr>
        <b val="true"/>
        <sz val="12"/>
        <color rgb="FFFF0000"/>
        <rFont val="Calibri, Arial"/>
        <family val="0"/>
        <charset val="1"/>
      </rPr>
      <t xml:space="preserve">"Ctrl+F"
</t>
    </r>
  </si>
  <si>
    <t xml:space="preserve">CLASSIFICAÇÃO</t>
  </si>
  <si>
    <t xml:space="preserve">NOME</t>
  </si>
  <si>
    <t xml:space="preserve">RG</t>
  </si>
  <si>
    <t xml:space="preserve">CPF</t>
  </si>
  <si>
    <t xml:space="preserve">SEXO</t>
  </si>
  <si>
    <t xml:space="preserve">ESTADO_CIVIL</t>
  </si>
  <si>
    <t xml:space="preserve">NACIONALIDADE</t>
  </si>
  <si>
    <t xml:space="preserve">ETINIA</t>
  </si>
  <si>
    <t xml:space="preserve">GENERO</t>
  </si>
  <si>
    <t xml:space="preserve">TEM_FILHOS</t>
  </si>
  <si>
    <t xml:space="preserve">CEP</t>
  </si>
  <si>
    <t xml:space="preserve">ESTADO</t>
  </si>
  <si>
    <t xml:space="preserve">MUNICIPIO</t>
  </si>
  <si>
    <t xml:space="preserve">ENDERECO</t>
  </si>
  <si>
    <t xml:space="preserve">BAIRRO</t>
  </si>
  <si>
    <t xml:space="preserve">EMAIL</t>
  </si>
  <si>
    <t xml:space="preserve">TELEFONE</t>
  </si>
  <si>
    <t xml:space="preserve">CELULAR</t>
  </si>
  <si>
    <t xml:space="preserve">PCD</t>
  </si>
  <si>
    <t xml:space="preserve">TIPO_DEFICIENCIA</t>
  </si>
  <si>
    <t xml:space="preserve">INSTITUICAO_ENSINO</t>
  </si>
  <si>
    <t xml:space="preserve">NIVEL_ESCOLAR</t>
  </si>
  <si>
    <t xml:space="preserve">CURSO</t>
  </si>
  <si>
    <t xml:space="preserve">DATA_INICIO_CURSO</t>
  </si>
  <si>
    <t xml:space="preserve">DATA_TERMINO_CURSO</t>
  </si>
  <si>
    <t xml:space="preserve">PERIODO_LETIVO</t>
  </si>
  <si>
    <t xml:space="preserve">TURNO_AULA</t>
  </si>
  <si>
    <t xml:space="preserve">TURNO_ESTAGIO</t>
  </si>
  <si>
    <t xml:space="preserve">PROGRAMA_SOCIAL</t>
  </si>
  <si>
    <t xml:space="preserve">MEDIA_GLOBAL</t>
  </si>
  <si>
    <t xml:space="preserve">IDIOMAS</t>
  </si>
  <si>
    <t xml:space="preserve">CONHECIMENTOS</t>
  </si>
  <si>
    <t xml:space="preserve">LOCAIS DE ESTÁGIO</t>
  </si>
  <si>
    <t xml:space="preserve">COTAS</t>
  </si>
  <si>
    <t xml:space="preserve">REQUISITOS OBRIGATÓRIOS</t>
  </si>
  <si>
    <t xml:space="preserve">REQUISITOS DESEJÁVEIS</t>
  </si>
  <si>
    <t xml:space="preserve">CURRÍCULO</t>
  </si>
  <si>
    <t xml:space="preserve">DATA DE NASCIMENTO</t>
  </si>
  <si>
    <t xml:space="preserve">DATA DA INSCRIÇÃO</t>
  </si>
  <si>
    <t xml:space="preserve">DATA_FIM_PROVA</t>
  </si>
  <si>
    <t xml:space="preserve">SEMESTRE</t>
  </si>
  <si>
    <t xml:space="preserve">PONTUAÇÃO</t>
  </si>
  <si>
    <t xml:space="preserve">STATUS</t>
  </si>
  <si>
    <t xml:space="preserve">1ª CONVOCAÇÃO</t>
  </si>
  <si>
    <t xml:space="preserve">OBSERVAÇÃO - 1ª CONVOCAÇÃO</t>
  </si>
  <si>
    <t xml:space="preserve">2ª CONVOCAÇÃO</t>
  </si>
  <si>
    <t xml:space="preserve">OBSERVAÇÃO - 2ª CONVOCAÇÃO</t>
  </si>
  <si>
    <t xml:space="preserve">3ª CONVOCAÇÃO</t>
  </si>
  <si>
    <t xml:space="preserve">OBSERVAÇÃO - 3ª CONVOCAÇÃO</t>
  </si>
  <si>
    <t xml:space="preserve">4ª CONVOCAÇÃO</t>
  </si>
  <si>
    <t xml:space="preserve">OBSERVAÇÃO - 4ª CONVOCAÇÃO</t>
  </si>
  <si>
    <t xml:space="preserve">FERNANDO ANTONIO SOUZA</t>
  </si>
  <si>
    <t xml:space="preserve">MASCULINO</t>
  </si>
  <si>
    <t xml:space="preserve">VIUVO</t>
  </si>
  <si>
    <t xml:space="preserve">BRASIL</t>
  </si>
  <si>
    <t xml:space="preserve">BRANCA</t>
  </si>
  <si>
    <t xml:space="preserve">NÃO</t>
  </si>
  <si>
    <t xml:space="preserve">GO</t>
  </si>
  <si>
    <t xml:space="preserve">GOIÂNIA</t>
  </si>
  <si>
    <t xml:space="preserve">RUA DA BORRACHA, 701. COND. RES. CÔTE DAZUR, BLOCO A - APTO. 102 - PARQUE OESTE INDUSTRIAL</t>
  </si>
  <si>
    <t xml:space="preserve">GOIÂNIA 2</t>
  </si>
  <si>
    <t xml:space="preserve">CRBSOUZAFERNANDO@GMAIL.COM</t>
  </si>
  <si>
    <t xml:space="preserve">(62) 39267766</t>
  </si>
  <si>
    <t xml:space="preserve">(62) 992907048</t>
  </si>
  <si>
    <t xml:space="preserve">CENTRO UNIVERSITÁRIO UNIVERSO GOIÂNIA</t>
  </si>
  <si>
    <t xml:space="preserve">SUPERIOR</t>
  </si>
  <si>
    <t xml:space="preserve">DIREITO</t>
  </si>
  <si>
    <t xml:space="preserve">SEMESTRAL</t>
  </si>
  <si>
    <t xml:space="preserve">VARIÁVEL</t>
  </si>
  <si>
    <t xml:space="preserve">TARDE</t>
  </si>
  <si>
    <t xml:space="preserve">TRIBUNAL DE JUSTIÇA DO ESTADO DE GOIÁS - GOIÂNIA</t>
  </si>
  <si>
    <t xml:space="preserve">SIM</t>
  </si>
  <si>
    <t xml:space="preserve">12/04 - 16:16</t>
  </si>
  <si>
    <t xml:space="preserve">CONTRATO MARCADO</t>
  </si>
  <si>
    <t xml:space="preserve">MARLENE DO NASCIMENTO OLIVEIRA</t>
  </si>
  <si>
    <t xml:space="preserve">48040568153</t>
  </si>
  <si>
    <t xml:space="preserve">FEMININO</t>
  </si>
  <si>
    <t xml:space="preserve">CASADO</t>
  </si>
  <si>
    <t xml:space="preserve">74968340</t>
  </si>
  <si>
    <t xml:space="preserve">APARECIDA DE GOIÂNIA</t>
  </si>
  <si>
    <t xml:space="preserve">AVENIDA QUINZE DE NOVEMBRO, 0. QUADRA  21 LOTE 15</t>
  </si>
  <si>
    <t xml:space="preserve">JARDIM MONTE CRISTO</t>
  </si>
  <si>
    <t xml:space="preserve">MARLENEBOLOSETORTAS71@GMAIL.COM</t>
  </si>
  <si>
    <t xml:space="preserve">(62) 99241601</t>
  </si>
  <si>
    <t xml:space="preserve">(62) 992416015</t>
  </si>
  <si>
    <t xml:space="preserve">CENTRO UNIVERSITÁRIO NOSSA SENHORA APARECIDA- UNIFANAP</t>
  </si>
  <si>
    <t xml:space="preserve">NOITE</t>
  </si>
  <si>
    <t xml:space="preserve">12/04 - 16:31</t>
  </si>
  <si>
    <t xml:space="preserve">TANIA MARIA MILHOMEM AZEVEDO RIBEIRO</t>
  </si>
  <si>
    <t xml:space="preserve">93274874191</t>
  </si>
  <si>
    <t xml:space="preserve">DIVORCIADO</t>
  </si>
  <si>
    <t xml:space="preserve">PARDA</t>
  </si>
  <si>
    <t xml:space="preserve">74663440</t>
  </si>
  <si>
    <t xml:space="preserve">RUA NC 1, S/N. QD 04 LT 13</t>
  </si>
  <si>
    <t xml:space="preserve">TANIA.MILHOMEM@HOTMAIL.COM</t>
  </si>
  <si>
    <t xml:space="preserve">(62) 996237583</t>
  </si>
  <si>
    <t xml:space="preserve">SALGADO DE OLIVEIRA</t>
  </si>
  <si>
    <t xml:space="preserve">12/04 - 16:34</t>
  </si>
  <si>
    <t xml:space="preserve">TRANCOU O CURSO</t>
  </si>
  <si>
    <t xml:space="preserve">LISANETE CASSIANO DE AZEVEDO</t>
  </si>
  <si>
    <t xml:space="preserve">4850562</t>
  </si>
  <si>
    <t xml:space="preserve">62718126272</t>
  </si>
  <si>
    <t xml:space="preserve">SOLTEIRO</t>
  </si>
  <si>
    <t xml:space="preserve">74620385</t>
  </si>
  <si>
    <t xml:space="preserve">RUA 3, S/N. QD.E LT.5</t>
  </si>
  <si>
    <t xml:space="preserve">SETOR MORAIS</t>
  </si>
  <si>
    <t xml:space="preserve">LISANETE.AZEVEDO@HOTMAIL.COM</t>
  </si>
  <si>
    <t xml:space="preserve">(68) 999559952</t>
  </si>
  <si>
    <t xml:space="preserve">PONTIFICI UNIVERSIDADE CATOLICA DE GOIAS</t>
  </si>
  <si>
    <t xml:space="preserve">12/04 - 16:38</t>
  </si>
  <si>
    <t xml:space="preserve">não mandou a decl. no prazo</t>
  </si>
  <si>
    <t xml:space="preserve">26/04 - 13:30</t>
  </si>
  <si>
    <t xml:space="preserve">RAQUEL MACHADO RODRIGUES</t>
  </si>
  <si>
    <t xml:space="preserve">3637224</t>
  </si>
  <si>
    <t xml:space="preserve">79211810159</t>
  </si>
  <si>
    <t xml:space="preserve">74345310</t>
  </si>
  <si>
    <t xml:space="preserve">RUA PRESIDENTE LINHARES, 36. </t>
  </si>
  <si>
    <t xml:space="preserve">VILA ROSA</t>
  </si>
  <si>
    <t xml:space="preserve">RAQUELLMR@HOTMAIL.COM</t>
  </si>
  <si>
    <t xml:space="preserve">(62) 984851471</t>
  </si>
  <si>
    <t xml:space="preserve">ESUP</t>
  </si>
  <si>
    <t xml:space="preserve">12/04 - 16:40</t>
  </si>
  <si>
    <t xml:space="preserve">Já faz estágio no TJGO.</t>
  </si>
  <si>
    <t xml:space="preserve">RAQUEL BORGES DE BARROS</t>
  </si>
  <si>
    <t xml:space="preserve">3394175</t>
  </si>
  <si>
    <t xml:space="preserve">69750688104</t>
  </si>
  <si>
    <t xml:space="preserve">74140035</t>
  </si>
  <si>
    <t xml:space="preserve">RUA 15, 15. APTO. 601 ED. SOLIMÕES</t>
  </si>
  <si>
    <t xml:space="preserve">SETOR OESTE</t>
  </si>
  <si>
    <t xml:space="preserve">RAQUELBARROS1@GMAIL.COM</t>
  </si>
  <si>
    <t xml:space="preserve">(62) 81418575</t>
  </si>
  <si>
    <t xml:space="preserve">(62) 981418575</t>
  </si>
  <si>
    <t xml:space="preserve">UNIVERSIDADE FEDERAL DE GOIÁS </t>
  </si>
  <si>
    <t xml:space="preserve">12/04 - 16:50</t>
  </si>
  <si>
    <t xml:space="preserve">ESCOLHEU OUTRO ÓRGÃO</t>
  </si>
  <si>
    <t xml:space="preserve">ANDRE LUIS DE SOUSA CUNHA E LINO</t>
  </si>
  <si>
    <t xml:space="preserve">86076728191</t>
  </si>
  <si>
    <t xml:space="preserve">74481620</t>
  </si>
  <si>
    <t xml:space="preserve">RUA RENATO AZEVEDO, 11. QUADRA R 2 LOTE 11</t>
  </si>
  <si>
    <t xml:space="preserve">RESIDENCIAL GREEN PARK</t>
  </si>
  <si>
    <t xml:space="preserve">ANDRE-LUIS@HOTMAIL.FR</t>
  </si>
  <si>
    <t xml:space="preserve">(62) 84333471</t>
  </si>
  <si>
    <t xml:space="preserve">(62) 984333471</t>
  </si>
  <si>
    <t xml:space="preserve">FACULDADE ALVES FARIA</t>
  </si>
  <si>
    <t xml:space="preserve">MANHÃ</t>
  </si>
  <si>
    <t xml:space="preserve">12/04 - 16:55</t>
  </si>
  <si>
    <t xml:space="preserve">solicitou final de fila</t>
  </si>
  <si>
    <t xml:space="preserve">não respondeu</t>
  </si>
  <si>
    <t xml:space="preserve">MADSON JOSE MORAES GONCALVES</t>
  </si>
  <si>
    <t xml:space="preserve">3561115</t>
  </si>
  <si>
    <t xml:space="preserve">86016504149</t>
  </si>
  <si>
    <t xml:space="preserve">PRETA</t>
  </si>
  <si>
    <t xml:space="preserve">74835460</t>
  </si>
  <si>
    <t xml:space="preserve">ALAMEDA IMBÉ, SN. QD 56 LT 11 CASA 5</t>
  </si>
  <si>
    <t xml:space="preserve">PARQUE AMAZÔNIA</t>
  </si>
  <si>
    <t xml:space="preserve">MJMGONCALVES18@HOTMAIL.COM</t>
  </si>
  <si>
    <t xml:space="preserve">(62) 32991054</t>
  </si>
  <si>
    <t xml:space="preserve">(62) 984281154</t>
  </si>
  <si>
    <t xml:space="preserve">HRN PARTICIPAÇÕES LTDA</t>
  </si>
  <si>
    <t xml:space="preserve">12/04 - 17:00</t>
  </si>
  <si>
    <t xml:space="preserve">RAIMUNDA LIDIANA SAMPAIO DA SILVEIRA LIMA</t>
  </si>
  <si>
    <t xml:space="preserve">6893696</t>
  </si>
  <si>
    <t xml:space="preserve">65842081253</t>
  </si>
  <si>
    <t xml:space="preserve">74330120</t>
  </si>
  <si>
    <t xml:space="preserve">RUA NORUEGA, CASA 1. QUADRA 109, LOTE 10</t>
  </si>
  <si>
    <t xml:space="preserve">JARDIM EUROPA</t>
  </si>
  <si>
    <t xml:space="preserve">SAMPAIOLIDIANA3@GMAIL.COM</t>
  </si>
  <si>
    <t xml:space="preserve">(62) 991015410</t>
  </si>
  <si>
    <t xml:space="preserve">UNIARAGUAIA CENTRO UNIVERSITÁRIO</t>
  </si>
  <si>
    <t xml:space="preserve">12/04 - 17:02</t>
  </si>
  <si>
    <t xml:space="preserve">ROSIANE COSTA PINTO CORDEIRO</t>
  </si>
  <si>
    <t xml:space="preserve">70232075204</t>
  </si>
  <si>
    <t xml:space="preserve">74215200</t>
  </si>
  <si>
    <t xml:space="preserve">RUA T 50, 1051. APTO 01</t>
  </si>
  <si>
    <t xml:space="preserve">SETOR BUENO</t>
  </si>
  <si>
    <t xml:space="preserve">ROSEANE.MOURACORDEIRO@GMAIL.COM</t>
  </si>
  <si>
    <t xml:space="preserve">(62) 32563366</t>
  </si>
  <si>
    <t xml:space="preserve">(62) 981313758</t>
  </si>
  <si>
    <t xml:space="preserve">UNIALFA</t>
  </si>
  <si>
    <t xml:space="preserve">12/04 - 17:12</t>
  </si>
  <si>
    <t xml:space="preserve">CRISLENE RODRIGUES RIBEIRO</t>
  </si>
  <si>
    <t xml:space="preserve">390364</t>
  </si>
  <si>
    <t xml:space="preserve">00176242155</t>
  </si>
  <si>
    <t xml:space="preserve">SEPARADO</t>
  </si>
  <si>
    <t xml:space="preserve">74486115</t>
  </si>
  <si>
    <t xml:space="preserve">RUA ALONSO MACHADO MENDONÇA, SN. QD 8 LT 25 4</t>
  </si>
  <si>
    <t xml:space="preserve">GOIÁ SETOR VELOSO</t>
  </si>
  <si>
    <t xml:space="preserve">CRISLENYROSA@GMAIL.COM</t>
  </si>
  <si>
    <t xml:space="preserve">(62) 81031013</t>
  </si>
  <si>
    <t xml:space="preserve">(62) 994477227</t>
  </si>
  <si>
    <t xml:space="preserve">CENTRO UNIVERSITÁRIO ALVES DE FARIAS - UNI -ALFA</t>
  </si>
  <si>
    <t xml:space="preserve">12/04 - 17:13</t>
  </si>
  <si>
    <t xml:space="preserve">THIAGO DA COSTA ARAÚJO </t>
  </si>
  <si>
    <t xml:space="preserve">95622624134</t>
  </si>
  <si>
    <t xml:space="preserve">74140080</t>
  </si>
  <si>
    <t xml:space="preserve">RUA DOM ORIONE, 11. QUADRA R35 APTO 204</t>
  </si>
  <si>
    <t xml:space="preserve">THIAGOSALVIANODACOSTA82@GMAIL.COM</t>
  </si>
  <si>
    <t xml:space="preserve">(62) 38774980</t>
  </si>
  <si>
    <t xml:space="preserve">(62) 999173624</t>
  </si>
  <si>
    <t xml:space="preserve">UNIFASAM</t>
  </si>
  <si>
    <t xml:space="preserve">12/04 - 17:15</t>
  </si>
  <si>
    <t xml:space="preserve">E-mail enviado, não respondeu</t>
  </si>
  <si>
    <t xml:space="preserve">RENATA RAFAEL LLOUREDO</t>
  </si>
  <si>
    <t xml:space="preserve">4351255</t>
  </si>
  <si>
    <t xml:space="preserve">00654451125</t>
  </si>
  <si>
    <t xml:space="preserve">75330000</t>
  </si>
  <si>
    <t xml:space="preserve">ARAGOIÂNIA</t>
  </si>
  <si>
    <t xml:space="preserve">AV PEDRO LUDOVICO TEIXEIRA Q 53 L 5 S N, 00. </t>
  </si>
  <si>
    <t xml:space="preserve">CENTRO</t>
  </si>
  <si>
    <t xml:space="preserve">RENATARAFAELLOUREDO@OUTLOOK.COM</t>
  </si>
  <si>
    <t xml:space="preserve">(62) 99199305</t>
  </si>
  <si>
    <t xml:space="preserve">(62) 991993057</t>
  </si>
  <si>
    <t xml:space="preserve">PUC GOIAS</t>
  </si>
  <si>
    <t xml:space="preserve">20/04 - 10:50  </t>
  </si>
  <si>
    <t xml:space="preserve">estudante no último semestre de direito</t>
  </si>
  <si>
    <t xml:space="preserve">E-mail enviado</t>
  </si>
  <si>
    <t xml:space="preserve">DIOGO PAES FERNANDES</t>
  </si>
  <si>
    <t xml:space="preserve">3973024</t>
  </si>
  <si>
    <t xml:space="preserve">94406804153</t>
  </si>
  <si>
    <t xml:space="preserve">NÃO QUERO INFORMAR</t>
  </si>
  <si>
    <t xml:space="preserve">74375360</t>
  </si>
  <si>
    <t xml:space="preserve">RUA DAS TULIPAS, 99. QD 99 LT 1/14 AP 502 BLC E RES JARDIM DAS TULIPAS</t>
  </si>
  <si>
    <t xml:space="preserve">PARQUE OESTE INDUSTRIAL</t>
  </si>
  <si>
    <t xml:space="preserve">PAESFERNANDES@GMAIL.COM</t>
  </si>
  <si>
    <t xml:space="preserve">(62) 986228880</t>
  </si>
  <si>
    <t xml:space="preserve">12/04 - 17:56</t>
  </si>
  <si>
    <t xml:space="preserve">estagiando em outro local</t>
  </si>
  <si>
    <t xml:space="preserve">26/04 - 13:30  </t>
  </si>
  <si>
    <t xml:space="preserve">FRED WILSON RIBEIRO DE ANDRADE </t>
  </si>
  <si>
    <t xml:space="preserve">00443848157</t>
  </si>
  <si>
    <t xml:space="preserve">74463330</t>
  </si>
  <si>
    <t xml:space="preserve">AVENIDA PERIMETRAL NORTE, AP 903. BORGES LANDEIRO TROPICALE/ MARESIAS/ GUARUJÁ </t>
  </si>
  <si>
    <t xml:space="preserve">SETOR CÂNDIDA DE MORAIS</t>
  </si>
  <si>
    <t xml:space="preserve">FWRA.27@HOTMAIL.COM</t>
  </si>
  <si>
    <t xml:space="preserve">(62) 32413740</t>
  </si>
  <si>
    <t xml:space="preserve">(62) 991026887</t>
  </si>
  <si>
    <t xml:space="preserve">UNIALFA </t>
  </si>
  <si>
    <t xml:space="preserve">NEGRO</t>
  </si>
  <si>
    <t xml:space="preserve">12/04 - 16:26</t>
  </si>
  <si>
    <t xml:space="preserve">NEUSILENE CHAVES DA CRUZ</t>
  </si>
  <si>
    <t xml:space="preserve">01354164180</t>
  </si>
  <si>
    <t xml:space="preserve">74357045</t>
  </si>
  <si>
    <t xml:space="preserve">RUA DOS LÍRIOS, SEM NÚMERO. QD 07 LT 13</t>
  </si>
  <si>
    <t xml:space="preserve">JARDINS LISBOA</t>
  </si>
  <si>
    <t xml:space="preserve">NEUSYCHCRUZ@GMAIL.COM</t>
  </si>
  <si>
    <t xml:space="preserve">(62) 986425752</t>
  </si>
  <si>
    <t xml:space="preserve">CENTRO UNIVERSITÁRIO UNIARAGUAIA</t>
  </si>
  <si>
    <t xml:space="preserve">12/04 - 18:19</t>
  </si>
  <si>
    <t xml:space="preserve">KEILA CRISTIANA DO NASCIMENTO SILVA</t>
  </si>
  <si>
    <t xml:space="preserve">96399970130</t>
  </si>
  <si>
    <t xml:space="preserve">74565006</t>
  </si>
  <si>
    <t xml:space="preserve">RUA VITÓRIA RÉGIA, 249. BL. C4, APTO 104</t>
  </si>
  <si>
    <t xml:space="preserve">PANORAMA PARQUE</t>
  </si>
  <si>
    <t xml:space="preserve">KCRISTIANA@HOTMAIL.COM</t>
  </si>
  <si>
    <t xml:space="preserve">(62) 32918031</t>
  </si>
  <si>
    <t xml:space="preserve">(62) 981335711</t>
  </si>
  <si>
    <t xml:space="preserve">PONTIFÍCIA UNIVERSIDADE CATÓLICA DE GOIÁS </t>
  </si>
  <si>
    <t xml:space="preserve">12/04 - 18:21</t>
  </si>
  <si>
    <t xml:space="preserve">HERMINIO DA SILVA LUSTOSA NETO</t>
  </si>
  <si>
    <t xml:space="preserve">4247465</t>
  </si>
  <si>
    <t xml:space="preserve">00284154180</t>
  </si>
  <si>
    <t xml:space="preserve">74921335</t>
  </si>
  <si>
    <t xml:space="preserve">RUA X 26, S/N. Q 14 L 07</t>
  </si>
  <si>
    <t xml:space="preserve">SETOR TOCANTINS</t>
  </si>
  <si>
    <t xml:space="preserve">HSLNETO@HOTMAIL.COM</t>
  </si>
  <si>
    <t xml:space="preserve">(62) 991430117</t>
  </si>
  <si>
    <t xml:space="preserve">UEG</t>
  </si>
  <si>
    <t xml:space="preserve">12/04 - 18:29</t>
  </si>
  <si>
    <t xml:space="preserve">ESTAGIANDO NO TJGO</t>
  </si>
  <si>
    <t xml:space="preserve">TATIANA TELES MOREIRA</t>
  </si>
  <si>
    <t xml:space="preserve">00405026196</t>
  </si>
  <si>
    <t xml:space="preserve">74973235</t>
  </si>
  <si>
    <t xml:space="preserve">RUA DOUTOR JOSÉ AMARAL NEDDEMEYER, 2. QD 28   LT 15   CASA 2</t>
  </si>
  <si>
    <t xml:space="preserve">SETOR SERRA DOURADA - 1ª ETAPA</t>
  </si>
  <si>
    <t xml:space="preserve">TATIANATELESMOREIRA@GMAIL.COM</t>
  </si>
  <si>
    <t xml:space="preserve">(62) 991761245</t>
  </si>
  <si>
    <t xml:space="preserve">FACUNICAMPS </t>
  </si>
  <si>
    <t xml:space="preserve">12/04 - 18:56</t>
  </si>
  <si>
    <t xml:space="preserve">RENATA UCHOA BORGES RIBEIRO</t>
  </si>
  <si>
    <t xml:space="preserve">4270985</t>
  </si>
  <si>
    <t xml:space="preserve">72191392172</t>
  </si>
  <si>
    <t xml:space="preserve">74715590</t>
  </si>
  <si>
    <t xml:space="preserve">RUA DA PRATA, 350. CASA 15</t>
  </si>
  <si>
    <t xml:space="preserve">JARDIM NOVO MUNDO</t>
  </si>
  <si>
    <t xml:space="preserve">RUCHOAB@GMAIL.COM</t>
  </si>
  <si>
    <t xml:space="preserve">(62) 32616939</t>
  </si>
  <si>
    <t xml:space="preserve">(62) 984993947</t>
  </si>
  <si>
    <t xml:space="preserve">12/04 - 18:59</t>
  </si>
  <si>
    <t xml:space="preserve">JACKELINE PONTES DA SILVA </t>
  </si>
  <si>
    <t xml:space="preserve">00254582133</t>
  </si>
  <si>
    <t xml:space="preserve">75470000</t>
  </si>
  <si>
    <t xml:space="preserve">NOVA VENEZA</t>
  </si>
  <si>
    <t xml:space="preserve">RUA MANOEL LUIZ CORREIA, SN. QD 08 LT 02 PROX ANTIGA CELG</t>
  </si>
  <si>
    <t xml:space="preserve">ARCO ÍRIS 1</t>
  </si>
  <si>
    <t xml:space="preserve">SILVAJACKI782@GMAIL.COM</t>
  </si>
  <si>
    <t xml:space="preserve">(62) 99957004</t>
  </si>
  <si>
    <t xml:space="preserve">(62) 999570049</t>
  </si>
  <si>
    <t xml:space="preserve">UNIFASAM </t>
  </si>
  <si>
    <t xml:space="preserve">12/04 - 19:03</t>
  </si>
  <si>
    <t xml:space="preserve">DEIVID DA SILVA RAMOS</t>
  </si>
  <si>
    <t xml:space="preserve">4405982</t>
  </si>
  <si>
    <t xml:space="preserve">00309275105</t>
  </si>
  <si>
    <t xml:space="preserve">74920690</t>
  </si>
  <si>
    <t xml:space="preserve">RUA JOSÉ GABRIEL MEDEIROS, 23. QD.03 LT.23</t>
  </si>
  <si>
    <t xml:space="preserve">JARDIM BELA MORADA</t>
  </si>
  <si>
    <t xml:space="preserve">D.RAMOS.JURIDICO@GMAIL.COM</t>
  </si>
  <si>
    <t xml:space="preserve">(62) 32774472</t>
  </si>
  <si>
    <t xml:space="preserve">(62) 984118553</t>
  </si>
  <si>
    <t xml:space="preserve">UNIARAGUAIA</t>
  </si>
  <si>
    <t xml:space="preserve">12/04 - 19:04</t>
  </si>
  <si>
    <t xml:space="preserve">MARIANGELA MIGUEL MARTINS GONCALVES</t>
  </si>
  <si>
    <t xml:space="preserve">4626316</t>
  </si>
  <si>
    <t xml:space="preserve">00527568155</t>
  </si>
  <si>
    <t xml:space="preserve">74920670</t>
  </si>
  <si>
    <t xml:space="preserve">AVENIDA EMÍLIO SANTOS, 00. QD 21 LT 18 </t>
  </si>
  <si>
    <t xml:space="preserve">ANJINHALINDOANJONEGRO@GMAIL.COM</t>
  </si>
  <si>
    <t xml:space="preserve">(62) 32845404</t>
  </si>
  <si>
    <t xml:space="preserve">(62) 995379400</t>
  </si>
  <si>
    <t xml:space="preserve">UNIFANAP </t>
  </si>
  <si>
    <t xml:space="preserve">13/04 - 08:23</t>
  </si>
  <si>
    <t xml:space="preserve">GUTTEMBERG VASCONCELOS DA SILVEIRA </t>
  </si>
  <si>
    <t xml:space="preserve">01976889189</t>
  </si>
  <si>
    <t xml:space="preserve">AMARELA</t>
  </si>
  <si>
    <t xml:space="preserve">74650360</t>
  </si>
  <si>
    <t xml:space="preserve">RUA 404, S/N. AP 104</t>
  </si>
  <si>
    <t xml:space="preserve">SETOR NEGRÃO DE LIMA</t>
  </si>
  <si>
    <t xml:space="preserve">GUTTEMBERG_SILVEIRA@HOTMAIL.COM</t>
  </si>
  <si>
    <t xml:space="preserve">(62) 92122432</t>
  </si>
  <si>
    <t xml:space="preserve">(62) 992122432</t>
  </si>
  <si>
    <t xml:space="preserve">UNIFASAN</t>
  </si>
  <si>
    <t xml:space="preserve">13/04 - 08:25 </t>
  </si>
  <si>
    <t xml:space="preserve">DAYANE CRISTINA E SOUZA</t>
  </si>
  <si>
    <t xml:space="preserve">4876670</t>
  </si>
  <si>
    <t xml:space="preserve">01136316183</t>
  </si>
  <si>
    <t xml:space="preserve">74394705</t>
  </si>
  <si>
    <t xml:space="preserve">RUA SANTOS RABELO, SN. </t>
  </si>
  <si>
    <t xml:space="preserve">JARDIM GARDÊNIA</t>
  </si>
  <si>
    <t xml:space="preserve">SCDAYANE@GMAIL.COM</t>
  </si>
  <si>
    <t xml:space="preserve">(62) 986031632</t>
  </si>
  <si>
    <t xml:space="preserve">13/04 - 08:27</t>
  </si>
  <si>
    <t xml:space="preserve">CRISTIANE FELIX DE SIQUEIRA </t>
  </si>
  <si>
    <t xml:space="preserve">01453986170</t>
  </si>
  <si>
    <t xml:space="preserve">74740550</t>
  </si>
  <si>
    <t xml:space="preserve">RUA 5, S/N. QD.01 LT11</t>
  </si>
  <si>
    <t xml:space="preserve">JARDIM BRASIL</t>
  </si>
  <si>
    <t xml:space="preserve">BELLAFLLOR@HOTMAIL.COM</t>
  </si>
  <si>
    <t xml:space="preserve">(62) 35423047</t>
  </si>
  <si>
    <t xml:space="preserve">(62) 985568029</t>
  </si>
  <si>
    <t xml:space="preserve">13/04 - 08:28</t>
  </si>
  <si>
    <t xml:space="preserve">DAYANA NUNES SOUZA </t>
  </si>
  <si>
    <t xml:space="preserve">01051943108</t>
  </si>
  <si>
    <t xml:space="preserve">74481835</t>
  </si>
  <si>
    <t xml:space="preserve">RUA RIO ARAGUAIA, S/N. QD12 LT12</t>
  </si>
  <si>
    <t xml:space="preserve">RESIDENCIAL FONTE DAS ÁGUAS</t>
  </si>
  <si>
    <t xml:space="preserve">DAYANNASOUZZA11@GMAIL.COM</t>
  </si>
  <si>
    <t xml:space="preserve">(62) 994411862</t>
  </si>
  <si>
    <t xml:space="preserve">13/04 - 08:30</t>
  </si>
  <si>
    <t xml:space="preserve">LUIZ OTÁVIO GOMES DE OLIVEIRA </t>
  </si>
  <si>
    <t xml:space="preserve">01312196181</t>
  </si>
  <si>
    <t xml:space="preserve">75258889</t>
  </si>
  <si>
    <t xml:space="preserve">SENADOR CANEDO</t>
  </si>
  <si>
    <t xml:space="preserve">RUA BV 36, S/N. QD 74 LOTE 03</t>
  </si>
  <si>
    <t xml:space="preserve">RESIDENCIAL BOA VISTA II</t>
  </si>
  <si>
    <t xml:space="preserve">LUIZSHIRLY09@GMAIL.COM</t>
  </si>
  <si>
    <t xml:space="preserve">(62) 984671375</t>
  </si>
  <si>
    <t xml:space="preserve">CENTRO UNIVERSITARIO UNIARAGUAIA</t>
  </si>
  <si>
    <t xml:space="preserve">13/04 - 08:32</t>
  </si>
  <si>
    <t xml:space="preserve">ROBERTA PAULA OLIVEIRA DE SOUSA</t>
  </si>
  <si>
    <t xml:space="preserve">4974137</t>
  </si>
  <si>
    <t xml:space="preserve">73747483100</t>
  </si>
  <si>
    <t xml:space="preserve">74394235</t>
  </si>
  <si>
    <t xml:space="preserve">RUA OSMAR RODRIGUES, S/N. QD7 LOTE 36</t>
  </si>
  <si>
    <t xml:space="preserve">RESIDENCIAL BUENA VISTA I</t>
  </si>
  <si>
    <t xml:space="preserve">ROBERTAPAULA10@GMAIL.COM</t>
  </si>
  <si>
    <t xml:space="preserve">(62) 993169039</t>
  </si>
  <si>
    <t xml:space="preserve">UNI GOIAS</t>
  </si>
  <si>
    <t xml:space="preserve">13/04 - 08:34</t>
  </si>
  <si>
    <t xml:space="preserve">ALVECINO JUNIO PAGNAN RAMOS</t>
  </si>
  <si>
    <t xml:space="preserve">4370698</t>
  </si>
  <si>
    <t xml:space="preserve">73401790110</t>
  </si>
  <si>
    <t xml:space="preserve">74473240</t>
  </si>
  <si>
    <t xml:space="preserve">RUA VF 28, C1. QD 14 LT 24</t>
  </si>
  <si>
    <t xml:space="preserve">VILA FINSOCIAL</t>
  </si>
  <si>
    <t xml:space="preserve">ALVECINOJUNIO@HOTMAIL.COM</t>
  </si>
  <si>
    <t xml:space="preserve">(62) 995511040</t>
  </si>
  <si>
    <t xml:space="preserve">IPOG</t>
  </si>
  <si>
    <t xml:space="preserve">13/04 - 08:50</t>
  </si>
  <si>
    <t xml:space="preserve">KARYNNE VERÔNICA DA SILVA DE OLIVEIRA </t>
  </si>
  <si>
    <t xml:space="preserve">4913446</t>
  </si>
  <si>
    <t xml:space="preserve">02816278190</t>
  </si>
  <si>
    <t xml:space="preserve">74890450</t>
  </si>
  <si>
    <t xml:space="preserve">RUA 21 UNIDADE 201, 201. LOTE 39</t>
  </si>
  <si>
    <t xml:space="preserve">PARQUE ATHENEU</t>
  </si>
  <si>
    <t xml:space="preserve">EMAILDAKARYNNE@GMAIL.COM</t>
  </si>
  <si>
    <t xml:space="preserve">(62) 993952779</t>
  </si>
  <si>
    <t xml:space="preserve">UNIALFA BUENO</t>
  </si>
  <si>
    <t xml:space="preserve">20/04 - 10:50</t>
  </si>
  <si>
    <t xml:space="preserve">não mandou a rescisão no prazo</t>
  </si>
  <si>
    <t xml:space="preserve">não deu retorno.</t>
  </si>
  <si>
    <t xml:space="preserve">JURACY TAVARES JUNIOR</t>
  </si>
  <si>
    <t xml:space="preserve">2995859</t>
  </si>
  <si>
    <t xml:space="preserve">03608118330</t>
  </si>
  <si>
    <t xml:space="preserve">74968750</t>
  </si>
  <si>
    <t xml:space="preserve">RUA AMARAÍ, S/N. KITNET C7</t>
  </si>
  <si>
    <t xml:space="preserve">PARQUE ITATIAIA</t>
  </si>
  <si>
    <t xml:space="preserve">JURACYKIZOOTECNISTA@ALUNO.UEG.BR</t>
  </si>
  <si>
    <t xml:space="preserve">(89) 981404220</t>
  </si>
  <si>
    <t xml:space="preserve">UNIVERSIDADE ESTADUAL DE GOIÁS</t>
  </si>
  <si>
    <t xml:space="preserve">AMANDA RODRIGUES DA SILVA</t>
  </si>
  <si>
    <t xml:space="preserve">4878320</t>
  </si>
  <si>
    <t xml:space="preserve">01366824130</t>
  </si>
  <si>
    <t xml:space="preserve">74477081</t>
  </si>
  <si>
    <t xml:space="preserve">RUA SC 30, 0. QD 61 LT 14</t>
  </si>
  <si>
    <t xml:space="preserve">SÃO CARLOS</t>
  </si>
  <si>
    <t xml:space="preserve">AMANDA.RS0406@GMAIL.COM</t>
  </si>
  <si>
    <t xml:space="preserve">(62) 994796688</t>
  </si>
  <si>
    <t xml:space="preserve">UNIALFA - CENTRO UNIVERSITÁRIO JOSÉ ALVES FARIA</t>
  </si>
  <si>
    <t xml:space="preserve">26/06 - informou que não inciou o estágio</t>
  </si>
  <si>
    <t xml:space="preserve">EMMILY HUSKAYER SOUZA ROSA MENDES</t>
  </si>
  <si>
    <t xml:space="preserve">4724673</t>
  </si>
  <si>
    <t xml:space="preserve">73488828115</t>
  </si>
  <si>
    <t xml:space="preserve">75250214</t>
  </si>
  <si>
    <t xml:space="preserve">RUA CÂNDIDO PORTINARI, 000. QD 4 LT 10</t>
  </si>
  <si>
    <t xml:space="preserve">RESIDENCIAL JARDIM CANEDO</t>
  </si>
  <si>
    <t xml:space="preserve">EMMILYERL@HOTMAIL.COM</t>
  </si>
  <si>
    <t xml:space="preserve">(00) 00000000</t>
  </si>
  <si>
    <t xml:space="preserve">(62) 994977254</t>
  </si>
  <si>
    <t xml:space="preserve">UNIVERSIDADE SALGADO DE OLIVEIRA- UNIVERSO</t>
  </si>
  <si>
    <t xml:space="preserve">ÉDIPO GUEDES DA SILVA FERREIRA BRAGA</t>
  </si>
  <si>
    <t xml:space="preserve">5022389</t>
  </si>
  <si>
    <t xml:space="preserve">01735684163</t>
  </si>
  <si>
    <t xml:space="preserve">74967540</t>
  </si>
  <si>
    <t xml:space="preserve">AVENIDA JUVENAL MARQUES SOARES, 0. QD 91 LT 09 CASA 2</t>
  </si>
  <si>
    <t xml:space="preserve">INDEPENDÊNCIA - 2º COMPLEMENTO</t>
  </si>
  <si>
    <t xml:space="preserve">EDIPOGUEDESDASILVA@GMAIL.COM</t>
  </si>
  <si>
    <t xml:space="preserve">(62) 981890435</t>
  </si>
  <si>
    <t xml:space="preserve">CENTRO UNIVERSITÁRIO ALFREDO NESSER</t>
  </si>
  <si>
    <t xml:space="preserve">13/04 - 08:50 </t>
  </si>
  <si>
    <t xml:space="preserve">cursando o 3° semestre</t>
  </si>
  <si>
    <t xml:space="preserve">LUDMILA NEVES DE AZEVEDO </t>
  </si>
  <si>
    <t xml:space="preserve">5255450</t>
  </si>
  <si>
    <t xml:space="preserve">03218209161</t>
  </si>
  <si>
    <t xml:space="preserve">74805240</t>
  </si>
  <si>
    <t xml:space="preserve">RUA 21, 19. QD A1 LOTE 19</t>
  </si>
  <si>
    <t xml:space="preserve">JARDIM GOIÁS</t>
  </si>
  <si>
    <t xml:space="preserve">ARRAESLUDMILA04@GMAIL.COM</t>
  </si>
  <si>
    <t xml:space="preserve">(62) 994487295</t>
  </si>
  <si>
    <t xml:space="preserve">SOCIEDADE DE ENSINO SUP ESTACIO </t>
  </si>
  <si>
    <t xml:space="preserve">JESSÉ RODRIGUES </t>
  </si>
  <si>
    <t xml:space="preserve">02469708125</t>
  </si>
  <si>
    <t xml:space="preserve">75250000</t>
  </si>
  <si>
    <t xml:space="preserve">RUA JM28, 621. Q. 55 L. 15 CASA 1 </t>
  </si>
  <si>
    <t xml:space="preserve">JD. DAS OLIVEIRAS</t>
  </si>
  <si>
    <t xml:space="preserve">JESSEGYN@HOTMAIL.COM</t>
  </si>
  <si>
    <t xml:space="preserve">(62) 992321354</t>
  </si>
  <si>
    <t xml:space="preserve">FACULDADE EVANGÉLICA DE SENADOR CANEDO</t>
  </si>
  <si>
    <t xml:space="preserve">MARCOS VINICIOS DE SOUZA</t>
  </si>
  <si>
    <t xml:space="preserve">92822584249</t>
  </si>
  <si>
    <t xml:space="preserve">74936350</t>
  </si>
  <si>
    <t xml:space="preserve">RUA H 82, 15. </t>
  </si>
  <si>
    <t xml:space="preserve">CIDADE VERA CRUZ</t>
  </si>
  <si>
    <t xml:space="preserve">MMSOLUCOES.ADV@GMAIL.COM</t>
  </si>
  <si>
    <t xml:space="preserve">(62) 81127214</t>
  </si>
  <si>
    <t xml:space="preserve">(62) 982841465</t>
  </si>
  <si>
    <t xml:space="preserve">FASAM - SUL AMERICANA</t>
  </si>
  <si>
    <t xml:space="preserve">18/04 - 12:50</t>
  </si>
  <si>
    <t xml:space="preserve">POLLYANA FERNANDES LIMA</t>
  </si>
  <si>
    <t xml:space="preserve">5256267</t>
  </si>
  <si>
    <t xml:space="preserve">74198718172</t>
  </si>
  <si>
    <t xml:space="preserve">74966657</t>
  </si>
  <si>
    <t xml:space="preserve">RUA JORNALISTA OTONIEL CUNHA, 5. QD 02 LT 05</t>
  </si>
  <si>
    <t xml:space="preserve">JARDIM RIVIERA</t>
  </si>
  <si>
    <t xml:space="preserve">POLLYANAFERNANDESLIMA@GMAIL.COM</t>
  </si>
  <si>
    <t xml:space="preserve">(62) 982139029</t>
  </si>
  <si>
    <t xml:space="preserve">UNIFAN</t>
  </si>
  <si>
    <t xml:space="preserve">27/04 - 19:14</t>
  </si>
  <si>
    <t xml:space="preserve">cursando 10° semestre</t>
  </si>
  <si>
    <t xml:space="preserve">PEDRO HENRIQUE PEREIRA ALVES</t>
  </si>
  <si>
    <t xml:space="preserve">5181942</t>
  </si>
  <si>
    <t xml:space="preserve">02513038100</t>
  </si>
  <si>
    <t xml:space="preserve">74891050</t>
  </si>
  <si>
    <t xml:space="preserve">ALAMEDA VALE DAS BRISAS, 1. QUADRA 06 LOTE 05</t>
  </si>
  <si>
    <t xml:space="preserve">RESIDENCIAL VALE DAS BRISAS</t>
  </si>
  <si>
    <t xml:space="preserve">INVISIVELSINHO@HOTMAIL.COM</t>
  </si>
  <si>
    <t xml:space="preserve">(62) 84543474</t>
  </si>
  <si>
    <t xml:space="preserve">(62) 984543474</t>
  </si>
  <si>
    <t xml:space="preserve">PONTIFÍCIE UNIVERSIDADE CATÓLICA DE GOIÁS </t>
  </si>
  <si>
    <t xml:space="preserve">13/04 - 08:55</t>
  </si>
  <si>
    <t xml:space="preserve">WESLEY DA SILVA ALVES</t>
  </si>
  <si>
    <t xml:space="preserve">5321144</t>
  </si>
  <si>
    <t xml:space="preserve">03102008143</t>
  </si>
  <si>
    <t xml:space="preserve">74969010</t>
  </si>
  <si>
    <t xml:space="preserve">AVENIDA FRUTAL S N QUADRA 43 LOTE 19, S/N. QUADRA 43 LOTE 19</t>
  </si>
  <si>
    <t xml:space="preserve">SETOR CONDE DOS ARCOS COMPLEMENTO</t>
  </si>
  <si>
    <t xml:space="preserve">WESLEY-SILVAALVES@HOTMAIL.COM</t>
  </si>
  <si>
    <t xml:space="preserve">(62) 35965702</t>
  </si>
  <si>
    <t xml:space="preserve">(62) 982787343</t>
  </si>
  <si>
    <t xml:space="preserve">CENTRO UNIVERSITÁRIO ARAGUAIA - UNIARAGUAIA</t>
  </si>
  <si>
    <t xml:space="preserve">ANTONIO ADAILTON SOUSA LIMA</t>
  </si>
  <si>
    <t xml:space="preserve">5666442</t>
  </si>
  <si>
    <t xml:space="preserve">00875461247</t>
  </si>
  <si>
    <t xml:space="preserve">72862320</t>
  </si>
  <si>
    <t xml:space="preserve">NOVO GAMA</t>
  </si>
  <si>
    <t xml:space="preserve">QUADRA QUADRA 20, 20. AP 402</t>
  </si>
  <si>
    <t xml:space="preserve">LOTEAMENTO LUNABEL 3A</t>
  </si>
  <si>
    <t xml:space="preserve">ADAILTONSOUSALIMA@GMAIL.COM</t>
  </si>
  <si>
    <t xml:space="preserve">(61) 99145158</t>
  </si>
  <si>
    <t xml:space="preserve">(61) 991451580</t>
  </si>
  <si>
    <t xml:space="preserve">UNIBRASILIA</t>
  </si>
  <si>
    <t xml:space="preserve">NAYARA FERREIRA DOS SANTOS</t>
  </si>
  <si>
    <t xml:space="preserve">5307497</t>
  </si>
  <si>
    <t xml:space="preserve">03039141147</t>
  </si>
  <si>
    <t xml:space="preserve">74765287</t>
  </si>
  <si>
    <t xml:space="preserve">RUA POETA JOAQUIM BONIFÁCIO, SN. PROX SUPERMERCADO BARBOSA</t>
  </si>
  <si>
    <t xml:space="preserve">JARDIM DOM FERNANDO II</t>
  </si>
  <si>
    <t xml:space="preserve">ADVNAYARA.FS@GMAIL.COM</t>
  </si>
  <si>
    <t xml:space="preserve">(62) 999465341</t>
  </si>
  <si>
    <t xml:space="preserve">INSTITUTO GOIANO DE DIREITO</t>
  </si>
  <si>
    <t xml:space="preserve">24/04 - 14:10</t>
  </si>
  <si>
    <t xml:space="preserve">Estudante de Pós-Graduação</t>
  </si>
  <si>
    <t xml:space="preserve">GRACYELE LUCIANO DE FARIA</t>
  </si>
  <si>
    <t xml:space="preserve">5650504</t>
  </si>
  <si>
    <t xml:space="preserve">04649358140</t>
  </si>
  <si>
    <t xml:space="preserve">74961150</t>
  </si>
  <si>
    <t xml:space="preserve">RUA 17  Q. 39 LT. 12, 0. Q. 39 LT. 12</t>
  </si>
  <si>
    <t xml:space="preserve">JARDIM TIRADENTES</t>
  </si>
  <si>
    <t xml:space="preserve">GRACYELEFARIA@GMAIL.COM</t>
  </si>
  <si>
    <t xml:space="preserve">(62) 993345772</t>
  </si>
  <si>
    <t xml:space="preserve">FACULDADE UNIDA DE CAMPINAS</t>
  </si>
  <si>
    <t xml:space="preserve">ARIELLE MARTINS DE SOUZA GOMES</t>
  </si>
  <si>
    <t xml:space="preserve">5434925</t>
  </si>
  <si>
    <t xml:space="preserve">03487513110</t>
  </si>
  <si>
    <t xml:space="preserve">74947140</t>
  </si>
  <si>
    <t xml:space="preserve">RUA 204, CASA 1. QUADRA 14 LOTE 07 </t>
  </si>
  <si>
    <t xml:space="preserve">SETOR AEROPORTO SUL</t>
  </si>
  <si>
    <t xml:space="preserve">ARIELLEMARTINS89@GMAIL.COM</t>
  </si>
  <si>
    <t xml:space="preserve">(62) 99425883</t>
  </si>
  <si>
    <t xml:space="preserve">(62) 994258832</t>
  </si>
  <si>
    <t xml:space="preserve">CLODOMIR DE SOUSA DIAS </t>
  </si>
  <si>
    <t xml:space="preserve">01490360271</t>
  </si>
  <si>
    <t xml:space="preserve">74355503</t>
  </si>
  <si>
    <t xml:space="preserve">RUA W 3, S/N. QD02  LT14</t>
  </si>
  <si>
    <t xml:space="preserve">JARDIM ITAIPU</t>
  </si>
  <si>
    <t xml:space="preserve">CLODOMIRSOUSA10@GMAIL.COM</t>
  </si>
  <si>
    <t xml:space="preserve">(62) 92189980</t>
  </si>
  <si>
    <t xml:space="preserve">(62) 992189980</t>
  </si>
  <si>
    <t xml:space="preserve">PONTIFÍCIA UNIVERSIDADE CATÓLICA DE GOIAS</t>
  </si>
  <si>
    <t xml:space="preserve">ÚLTIMO SEMESTRE</t>
  </si>
  <si>
    <t xml:space="preserve">RAFAEL ALEXANDRE SILVA</t>
  </si>
  <si>
    <t xml:space="preserve">8285639</t>
  </si>
  <si>
    <t xml:space="preserve">02058147278</t>
  </si>
  <si>
    <t xml:space="preserve">75091205</t>
  </si>
  <si>
    <t xml:space="preserve">ANÁPOLIS</t>
  </si>
  <si>
    <t xml:space="preserve">RUA JOÃO AMÉLIO DA SILVA, 17. QUADRA 53</t>
  </si>
  <si>
    <t xml:space="preserve">CONJUNTO HABITACIONAL FILOSTRO MACHADO CARNEIRO</t>
  </si>
  <si>
    <t xml:space="preserve">RAFAELADV2028@GMAIL.COM</t>
  </si>
  <si>
    <t xml:space="preserve">(62) 981217187</t>
  </si>
  <si>
    <t xml:space="preserve">FACULDADE CATOLICA DE ANAPOLIS </t>
  </si>
  <si>
    <t xml:space="preserve">não mandou a declaração no prazo</t>
  </si>
  <si>
    <t xml:space="preserve">09/05 - 15:40</t>
  </si>
  <si>
    <t xml:space="preserve">e-mail enviado - FALTA ENVIAR A AUDIOMETRIA</t>
  </si>
  <si>
    <t xml:space="preserve">EDNA RODRIGUES DOS SANTOS </t>
  </si>
  <si>
    <t xml:space="preserve">11542975603</t>
  </si>
  <si>
    <t xml:space="preserve">39483000</t>
  </si>
  <si>
    <t xml:space="preserve">MG</t>
  </si>
  <si>
    <t xml:space="preserve">JANUÁRIA</t>
  </si>
  <si>
    <t xml:space="preserve">AVENIDA ANTÔNIO CORRÊA E SILVA , 4163. CASA </t>
  </si>
  <si>
    <t xml:space="preserve">RIACHO DA CRUZ </t>
  </si>
  <si>
    <t xml:space="preserve">EDNARODRIGUESS122@GMAIL.COM</t>
  </si>
  <si>
    <t xml:space="preserve">(38) 999027540</t>
  </si>
  <si>
    <t xml:space="preserve">FUNORTE JANUÁRIA </t>
  </si>
  <si>
    <t xml:space="preserve">ERIKA SOARES MENEZES</t>
  </si>
  <si>
    <t xml:space="preserve">5620508</t>
  </si>
  <si>
    <t xml:space="preserve">03924423105</t>
  </si>
  <si>
    <t xml:space="preserve">70686455</t>
  </si>
  <si>
    <t xml:space="preserve">DF</t>
  </si>
  <si>
    <t xml:space="preserve">BRASÍLIA</t>
  </si>
  <si>
    <t xml:space="preserve">QUADRA SQNW 109 BLOCO K, 0. </t>
  </si>
  <si>
    <t xml:space="preserve">SETOR NOROESTE</t>
  </si>
  <si>
    <t xml:space="preserve">SOARESM.ERIKA@GMAIL.COM</t>
  </si>
  <si>
    <t xml:space="preserve">(61) 982385249</t>
  </si>
  <si>
    <t xml:space="preserve">ANHANGUERA </t>
  </si>
  <si>
    <t xml:space="preserve">12/04 - 16:36</t>
  </si>
  <si>
    <t xml:space="preserve">ESTEFANIA CLAUDIO DA SILVA</t>
  </si>
  <si>
    <t xml:space="preserve">75436132120</t>
  </si>
  <si>
    <t xml:space="preserve">74805200</t>
  </si>
  <si>
    <t xml:space="preserve">RUA 4, 00. RUA4 QA8 L21</t>
  </si>
  <si>
    <t xml:space="preserve">NVESTEFANY@HOTMAIL.COM</t>
  </si>
  <si>
    <t xml:space="preserve">(62) 991390963</t>
  </si>
  <si>
    <t xml:space="preserve">FASAM </t>
  </si>
  <si>
    <t xml:space="preserve">13/04 - 09:00</t>
  </si>
  <si>
    <t xml:space="preserve">CRISTIANO MAYCON FREIRES DE JESUS</t>
  </si>
  <si>
    <t xml:space="preserve">5537788</t>
  </si>
  <si>
    <t xml:space="preserve">04220494170</t>
  </si>
  <si>
    <t xml:space="preserve">74933021</t>
  </si>
  <si>
    <t xml:space="preserve">RUA X 19, 0. QUADRA 118 LOTE 23</t>
  </si>
  <si>
    <t xml:space="preserve">CARDOSO CONTINUAÇÃO</t>
  </si>
  <si>
    <t xml:space="preserve">CRISTIANOMAYCONFR@GMAIL.COM</t>
  </si>
  <si>
    <t xml:space="preserve">(62) 35871314</t>
  </si>
  <si>
    <t xml:space="preserve">(62) 992634446</t>
  </si>
  <si>
    <t xml:space="preserve">UNIVERSIDADE ESTADUAL DE GOIAS</t>
  </si>
  <si>
    <t xml:space="preserve">WESLEY SOUSA NUNES</t>
  </si>
  <si>
    <t xml:space="preserve">1275670</t>
  </si>
  <si>
    <t xml:space="preserve">05891332175</t>
  </si>
  <si>
    <t xml:space="preserve">74590510</t>
  </si>
  <si>
    <t xml:space="preserve">AVENIDA NERÓPOLIS, 1415. BLOCO 29 APTO 403</t>
  </si>
  <si>
    <t xml:space="preserve">JARDIM BALNEÁRIO MEIA PONTE</t>
  </si>
  <si>
    <t xml:space="preserve">WESLEYSOUSA12@OUTLOOK.COM</t>
  </si>
  <si>
    <t xml:space="preserve">(62) 84648372</t>
  </si>
  <si>
    <t xml:space="preserve">UNIVERSIDADE FEDERAL DE GOIAS </t>
  </si>
  <si>
    <t xml:space="preserve">12/04 - 16:43</t>
  </si>
  <si>
    <t xml:space="preserve">CAMILA RESENDE CAETANO TAVARES</t>
  </si>
  <si>
    <t xml:space="preserve">05185910186</t>
  </si>
  <si>
    <t xml:space="preserve">74335200</t>
  </si>
  <si>
    <t xml:space="preserve">RUA V 3, 00. ATRÁS DA CONSTRUTORA</t>
  </si>
  <si>
    <t xml:space="preserve">VILA REZENDE</t>
  </si>
  <si>
    <t xml:space="preserve">RESENDECAMILA32@GMAIL.COM</t>
  </si>
  <si>
    <t xml:space="preserve">(62) 981465859</t>
  </si>
  <si>
    <t xml:space="preserve">13/04 - 09:00 </t>
  </si>
  <si>
    <t xml:space="preserve">27/04 - 19:17</t>
  </si>
  <si>
    <t xml:space="preserve">ISABELA MARIA TAVARES PIMENTA</t>
  </si>
  <si>
    <t xml:space="preserve">6388406</t>
  </si>
  <si>
    <t xml:space="preserve">04092922140</t>
  </si>
  <si>
    <t xml:space="preserve">74355696</t>
  </si>
  <si>
    <t xml:space="preserve">RUA JUVENAL LUIZ FERREIRA, 47. QD 12 LT 02</t>
  </si>
  <si>
    <t xml:space="preserve">SETOR ORIENTVILLE</t>
  </si>
  <si>
    <t xml:space="preserve">ISABELAPIMENTA324@GMAIL.COM</t>
  </si>
  <si>
    <t xml:space="preserve">(62) 32183843</t>
  </si>
  <si>
    <t xml:space="preserve">(62) 91861881</t>
  </si>
  <si>
    <t xml:space="preserve">UNIVERSIDADE SALGADO DE OLIVEIRA </t>
  </si>
  <si>
    <t xml:space="preserve">13/04 - 09:00  </t>
  </si>
  <si>
    <t xml:space="preserve">27/04 - 19:20</t>
  </si>
  <si>
    <t xml:space="preserve">MAX SUEL RODRIGUES DA SILVA</t>
  </si>
  <si>
    <t xml:space="preserve">04046551143</t>
  </si>
  <si>
    <t xml:space="preserve">74550025</t>
  </si>
  <si>
    <t xml:space="preserve">AVENIDA BERNARDO SAYÃO, 1213. </t>
  </si>
  <si>
    <t xml:space="preserve">SETOR CENTRO OESTE</t>
  </si>
  <si>
    <t xml:space="preserve">MAXSUELNOTE@GMAIL.COM</t>
  </si>
  <si>
    <t xml:space="preserve">(62) 992844220</t>
  </si>
  <si>
    <t xml:space="preserve">UNICAMPS</t>
  </si>
  <si>
    <t xml:space="preserve">27/04 - 19:34</t>
  </si>
  <si>
    <t xml:space="preserve">MAGNO AUGUSTO MOURA FILHO</t>
  </si>
  <si>
    <t xml:space="preserve">70157126102</t>
  </si>
  <si>
    <t xml:space="preserve">74210050</t>
  </si>
  <si>
    <t xml:space="preserve">RUA T 29, 290. APARTAMENTO 302</t>
  </si>
  <si>
    <t xml:space="preserve">MAGNOAMF1994@GMAIL.COM</t>
  </si>
  <si>
    <t xml:space="preserve">(62) 981693750</t>
  </si>
  <si>
    <t xml:space="preserve"> CENTRO UNIVERSITÁRIO ALFREDO NASSER</t>
  </si>
  <si>
    <t xml:space="preserve">27/04 - 19:40</t>
  </si>
  <si>
    <t xml:space="preserve">não respondeu no prazo</t>
  </si>
  <si>
    <t xml:space="preserve">JOÃO PAULO RODRIGUES DE OLIVEIRA </t>
  </si>
  <si>
    <t xml:space="preserve">70097680133</t>
  </si>
  <si>
    <t xml:space="preserve">74915270</t>
  </si>
  <si>
    <t xml:space="preserve">RUA CAIÇARA, 00. QD 135 LT 15</t>
  </si>
  <si>
    <t xml:space="preserve">SETOR DOS AFONSOS</t>
  </si>
  <si>
    <t xml:space="preserve">JOAODADUDA03042018@GMAIL.COM</t>
  </si>
  <si>
    <t xml:space="preserve">(62) 96878750</t>
  </si>
  <si>
    <t xml:space="preserve">(62) 993031099</t>
  </si>
  <si>
    <t xml:space="preserve">UNIFAM</t>
  </si>
  <si>
    <t xml:space="preserve">SONAIRA MACHADO DE ALMEIDA </t>
  </si>
  <si>
    <t xml:space="preserve">1273553</t>
  </si>
  <si>
    <t xml:space="preserve">01983834289</t>
  </si>
  <si>
    <t xml:space="preserve">74633300</t>
  </si>
  <si>
    <t xml:space="preserve">RUA LONGITUDINAL, 228. APT 102</t>
  </si>
  <si>
    <t xml:space="preserve">SETOR LESTE VILA NOVA</t>
  </si>
  <si>
    <t xml:space="preserve">SONAYRA_MACHADO@OUTLOOK.COM</t>
  </si>
  <si>
    <t xml:space="preserve">(62) 982298104</t>
  </si>
  <si>
    <t xml:space="preserve">PONTIFÍCIA UNIVERSIDADE CATÓLICA DE GOIÁS</t>
  </si>
  <si>
    <t xml:space="preserve">LAURYENE MAIARA DUARTE SANTOS LACERDA</t>
  </si>
  <si>
    <t xml:space="preserve">5307270</t>
  </si>
  <si>
    <t xml:space="preserve">03082875173</t>
  </si>
  <si>
    <t xml:space="preserve">RUA JO10 QD 69 LT 07 000, S/N. QD. 69 LT. 05</t>
  </si>
  <si>
    <t xml:space="preserve">JARDIM DAS OLIVEIRAS</t>
  </si>
  <si>
    <t xml:space="preserve">LAURYENEMAIARA@HOTMAIL.COM</t>
  </si>
  <si>
    <t xml:space="preserve">(62) 992498592</t>
  </si>
  <si>
    <t xml:space="preserve">24/04 - 15:00</t>
  </si>
  <si>
    <t xml:space="preserve">THALLES IAN QUEIROZ E SILVA</t>
  </si>
  <si>
    <t xml:space="preserve">02614161543</t>
  </si>
  <si>
    <t xml:space="preserve">74605020</t>
  </si>
  <si>
    <t xml:space="preserve">AVENIDA PRIMEIRA AVENIDA, 841. CASA</t>
  </si>
  <si>
    <t xml:space="preserve">SETOR LESTE UNIVERSITÁRIO</t>
  </si>
  <si>
    <t xml:space="preserve">THALLESIANSILVA@HOTMAIL.COM</t>
  </si>
  <si>
    <t xml:space="preserve">(77) 998729232</t>
  </si>
  <si>
    <t xml:space="preserve">PRIVADO</t>
  </si>
  <si>
    <t xml:space="preserve">LUCAS PEREIRA DE SOUZA</t>
  </si>
  <si>
    <t xml:space="preserve">3229642</t>
  </si>
  <si>
    <t xml:space="preserve">70053256131</t>
  </si>
  <si>
    <t xml:space="preserve">72820090</t>
  </si>
  <si>
    <t xml:space="preserve">LUZIÂNIA</t>
  </si>
  <si>
    <t xml:space="preserve">R LEOLINCE, 24. ESCOLA NOSSA SENHORA APARECIDA</t>
  </si>
  <si>
    <t xml:space="preserve">PARQUE ESTRELA DALVA II</t>
  </si>
  <si>
    <t xml:space="preserve">LUCASPS227@GMAIL.COM</t>
  </si>
  <si>
    <t xml:space="preserve">(61) 991136591</t>
  </si>
  <si>
    <t xml:space="preserve">UNIVERSIDADE PAULISTA- UNIP</t>
  </si>
  <si>
    <t xml:space="preserve">27/04 - 19:45</t>
  </si>
  <si>
    <t xml:space="preserve">GABRIELLA FELIX FLORENTINO</t>
  </si>
  <si>
    <t xml:space="preserve">5205196</t>
  </si>
  <si>
    <t xml:space="preserve">05668059103</t>
  </si>
  <si>
    <t xml:space="preserve">74815465</t>
  </si>
  <si>
    <t xml:space="preserve">AVENIDA ENGENHEIRO EURICO VIANA, 513. APTO 1802D</t>
  </si>
  <si>
    <t xml:space="preserve">VILA MARIA JOSÉ</t>
  </si>
  <si>
    <t xml:space="preserve">GABRIELLAFELIXFLORENTINO@GMAIL.COM</t>
  </si>
  <si>
    <t xml:space="preserve">(62) 981851523</t>
  </si>
  <si>
    <t xml:space="preserve">13/04 - 09:10</t>
  </si>
  <si>
    <t xml:space="preserve">QUEZIA PEREIRA MACHADO</t>
  </si>
  <si>
    <t xml:space="preserve">46001979</t>
  </si>
  <si>
    <t xml:space="preserve">41974982840</t>
  </si>
  <si>
    <t xml:space="preserve">16016010</t>
  </si>
  <si>
    <t xml:space="preserve">SP</t>
  </si>
  <si>
    <t xml:space="preserve">ARAÇATUBA</t>
  </si>
  <si>
    <t xml:space="preserve">R ARACATUBA, 606. PARÓQUIA DIVINO ESPÍRITO SANTO.</t>
  </si>
  <si>
    <t xml:space="preserve">ALVORADA</t>
  </si>
  <si>
    <t xml:space="preserve">QUEZIAPEREIRA.ARACATUBA.2459.9@GMAIL.COM</t>
  </si>
  <si>
    <t xml:space="preserve">(18) 36229581</t>
  </si>
  <si>
    <t xml:space="preserve">(18) 991026494</t>
  </si>
  <si>
    <t xml:space="preserve">UNIVERSIDADE PAULISTA </t>
  </si>
  <si>
    <t xml:space="preserve">12/04 - 16:58</t>
  </si>
  <si>
    <t xml:space="preserve">02/05 - e-mail enviado </t>
  </si>
  <si>
    <t xml:space="preserve">E-mail enviado - não respondeu</t>
  </si>
  <si>
    <t xml:space="preserve">ELLEN RUTH DOS SANTOS SANTANA </t>
  </si>
  <si>
    <t xml:space="preserve">06103114330</t>
  </si>
  <si>
    <t xml:space="preserve">74494430</t>
  </si>
  <si>
    <t xml:space="preserve">RUA RMP 14, 0. QD 12 LT 50 </t>
  </si>
  <si>
    <t xml:space="preserve">RESIDENCIAL MONTE PASCOAL</t>
  </si>
  <si>
    <t xml:space="preserve">SANTANARUTH119@GMAIL.COM</t>
  </si>
  <si>
    <t xml:space="preserve">(62) 991598170</t>
  </si>
  <si>
    <t xml:space="preserve">FACULDADE SENSU </t>
  </si>
  <si>
    <t xml:space="preserve">12/04 - 17:10</t>
  </si>
  <si>
    <t xml:space="preserve">RUTHE ALVES LIMA RODRIGUES </t>
  </si>
  <si>
    <t xml:space="preserve">74169459172</t>
  </si>
  <si>
    <t xml:space="preserve">74493480</t>
  </si>
  <si>
    <t xml:space="preserve">RUA VC 30, SN. QD 49 LT 08 </t>
  </si>
  <si>
    <t xml:space="preserve">CONJUNTO VERA CRUZ</t>
  </si>
  <si>
    <t xml:space="preserve">RUTHE8788@GMAIL.COM</t>
  </si>
  <si>
    <t xml:space="preserve">(62) 99647995</t>
  </si>
  <si>
    <t xml:space="preserve">(62) 996479951</t>
  </si>
  <si>
    <t xml:space="preserve">UNICAMBURY </t>
  </si>
  <si>
    <t xml:space="preserve">27/04 - 19:50</t>
  </si>
  <si>
    <t xml:space="preserve">EVERTON JUNIOR DE AZEVEDO NEVES</t>
  </si>
  <si>
    <t xml:space="preserve">5897881</t>
  </si>
  <si>
    <t xml:space="preserve">04593101190</t>
  </si>
  <si>
    <t xml:space="preserve">76420000</t>
  </si>
  <si>
    <t xml:space="preserve">NIQUELÂNDIA</t>
  </si>
  <si>
    <t xml:space="preserve">RUA 04, 22. </t>
  </si>
  <si>
    <t xml:space="preserve">SANTA EFIGÊNIA</t>
  </si>
  <si>
    <t xml:space="preserve">EVERTON_JUNIOR_@HOTMAIL.COM</t>
  </si>
  <si>
    <t xml:space="preserve">(62) 996386081</t>
  </si>
  <si>
    <t xml:space="preserve">FACULDADE SERRA DA MESA</t>
  </si>
  <si>
    <t xml:space="preserve">13/04 - 09:10 </t>
  </si>
  <si>
    <t xml:space="preserve">KEILIANNE DA CONCEIÇÃO DOS SANTOS LIMA </t>
  </si>
  <si>
    <t xml:space="preserve">5434771</t>
  </si>
  <si>
    <t xml:space="preserve">04975488108</t>
  </si>
  <si>
    <t xml:space="preserve">75262264</t>
  </si>
  <si>
    <t xml:space="preserve">AVENIDA DAS BRISAS, 00. Q11LT14</t>
  </si>
  <si>
    <t xml:space="preserve">SÍTIOS VALE DAS BRISAS</t>
  </si>
  <si>
    <t xml:space="preserve">KEILIANNEPS@GMAIL.COM</t>
  </si>
  <si>
    <t xml:space="preserve">(62) 91337974</t>
  </si>
  <si>
    <t xml:space="preserve">(62) 991337974</t>
  </si>
  <si>
    <t xml:space="preserve">27/04 - 19:55</t>
  </si>
  <si>
    <t xml:space="preserve">GESSILAINE FERREIRA DA SILVA SANTOS</t>
  </si>
  <si>
    <t xml:space="preserve">70066705193</t>
  </si>
  <si>
    <t xml:space="preserve">74474376</t>
  </si>
  <si>
    <t xml:space="preserve">RUA RB 39 A, S/N. QD. 39 LT. 96 CASA. 01</t>
  </si>
  <si>
    <t xml:space="preserve">RESIDENCIAL RECANTO DO BOSQUE</t>
  </si>
  <si>
    <t xml:space="preserve">GESSILAINE_PHOS@ICLOUD.COM</t>
  </si>
  <si>
    <t xml:space="preserve">(62) 32103825</t>
  </si>
  <si>
    <t xml:space="preserve">(62) 991824195</t>
  </si>
  <si>
    <t xml:space="preserve">GABRIELLA PEREIRA MARIM</t>
  </si>
  <si>
    <t xml:space="preserve">05185320117</t>
  </si>
  <si>
    <t xml:space="preserve">75650000</t>
  </si>
  <si>
    <t xml:space="preserve">MORRINHOS</t>
  </si>
  <si>
    <t xml:space="preserve">RUA BV06 QD01 LT10, 0. </t>
  </si>
  <si>
    <t xml:space="preserve">SETOR BELA VISTA</t>
  </si>
  <si>
    <t xml:space="preserve">GABRIELLA.VENON@HOTMAIL.COM</t>
  </si>
  <si>
    <t xml:space="preserve">(64) 992079966</t>
  </si>
  <si>
    <t xml:space="preserve">UNIVERSIDADE ESTADUAL DE GOIÁS </t>
  </si>
  <si>
    <t xml:space="preserve">MÁRCIA HELENA DA SILVA OLIVEIRA</t>
  </si>
  <si>
    <t xml:space="preserve">1501981</t>
  </si>
  <si>
    <t xml:space="preserve">70114623171</t>
  </si>
  <si>
    <t xml:space="preserve">74971765</t>
  </si>
  <si>
    <t xml:space="preserve">RUA HORTENSIAS S N QD 17 LT 13, CASA 01. RUA HORTÊNCIA QD 17 LT 13</t>
  </si>
  <si>
    <t xml:space="preserve">JARDIM DOS GIRASSOIS</t>
  </si>
  <si>
    <t xml:space="preserve">MARCIIAH92@GMAIL.COM</t>
  </si>
  <si>
    <t xml:space="preserve">(62) 983112562</t>
  </si>
  <si>
    <t xml:space="preserve">PONTIFICIA UNIVERSIDADE CATOLICA DE GOIAS</t>
  </si>
  <si>
    <t xml:space="preserve">NANDARA EMILLY SILVA GONÇALVES </t>
  </si>
  <si>
    <t xml:space="preserve">70090399170</t>
  </si>
  <si>
    <t xml:space="preserve">74615240</t>
  </si>
  <si>
    <t xml:space="preserve">RUA UBERABA, 481. RUA UBERABA QUADRA 116 LOTE 12</t>
  </si>
  <si>
    <t xml:space="preserve">NANDARA0802@HOTMAIL.COM</t>
  </si>
  <si>
    <t xml:space="preserve">(62) 982867033</t>
  </si>
  <si>
    <t xml:space="preserve">LARISSA VANESSA DOS SANTOS FERREIRA</t>
  </si>
  <si>
    <t xml:space="preserve">70042725160</t>
  </si>
  <si>
    <t xml:space="preserve">75095011</t>
  </si>
  <si>
    <t xml:space="preserve">AVENIDA ADERBAL CUNHA, 21. </t>
  </si>
  <si>
    <t xml:space="preserve">LOTEAMENTO NOVO JUNDIAÍ</t>
  </si>
  <si>
    <t xml:space="preserve">LARISSAFERREIRAA@LIVE.COM</t>
  </si>
  <si>
    <t xml:space="preserve">(11) 95176089</t>
  </si>
  <si>
    <t xml:space="preserve">(11) 951769894</t>
  </si>
  <si>
    <t xml:space="preserve">FAMA</t>
  </si>
  <si>
    <t xml:space="preserve">não mandou a documentação no prazo</t>
  </si>
  <si>
    <t xml:space="preserve">e-mail enviado - não respondeu</t>
  </si>
  <si>
    <t xml:space="preserve">MARIANA MARTINS DO CARMO</t>
  </si>
  <si>
    <t xml:space="preserve">1057757-2</t>
  </si>
  <si>
    <t xml:space="preserve">02551203201</t>
  </si>
  <si>
    <t xml:space="preserve">74230035</t>
  </si>
  <si>
    <t xml:space="preserve">AVENIDA T 4, 437. ED. ALBATROZ II APTO 502</t>
  </si>
  <si>
    <t xml:space="preserve">MARIANAMARTINSDC@GMAIL.COM</t>
  </si>
  <si>
    <t xml:space="preserve">(62) 995298058</t>
  </si>
  <si>
    <t xml:space="preserve">WINGRET LORRANE MENDONÇA FREITAS</t>
  </si>
  <si>
    <t xml:space="preserve">05284870190</t>
  </si>
  <si>
    <t xml:space="preserve">74850440</t>
  </si>
  <si>
    <t xml:space="preserve">AVENIDA GALILEU, 0. QD 8 LT 16 APTO 103</t>
  </si>
  <si>
    <t xml:space="preserve">JARDIM DA LUZ</t>
  </si>
  <si>
    <t xml:space="preserve">WINGRETLORRANE@GMAIL.COM</t>
  </si>
  <si>
    <t xml:space="preserve">(62) 986084192</t>
  </si>
  <si>
    <t xml:space="preserve">FACULDADE SUL AMERICANA</t>
  </si>
  <si>
    <t xml:space="preserve">AMANDA LEAO DE SOUSA</t>
  </si>
  <si>
    <t xml:space="preserve">70151003122</t>
  </si>
  <si>
    <t xml:space="preserve">74323270</t>
  </si>
  <si>
    <t xml:space="preserve">RUA DOS INCONFIDENTES MINEIROS, 33. Q 16LT02</t>
  </si>
  <si>
    <t xml:space="preserve">VILA MAUÁ</t>
  </si>
  <si>
    <t xml:space="preserve">AMANDALEAOSSOUSA96@GMAIL.COM</t>
  </si>
  <si>
    <t xml:space="preserve">(62) 994900542</t>
  </si>
  <si>
    <t xml:space="preserve">UNICEUG </t>
  </si>
  <si>
    <t xml:space="preserve">DANIEL DA VEIGA DIAS</t>
  </si>
  <si>
    <t xml:space="preserve">RUA 224, 2. QD. 60  - SETOR LESTE UNIVERSITÁRIO</t>
  </si>
  <si>
    <t xml:space="preserve">SETOR UNIVERSITÁRIO</t>
  </si>
  <si>
    <t xml:space="preserve">DANIELDAVEIGADIAS@GMAIL.COM</t>
  </si>
  <si>
    <t xml:space="preserve">(62) 86226629</t>
  </si>
  <si>
    <t xml:space="preserve">(62) 986226629</t>
  </si>
  <si>
    <t xml:space="preserve">UFG</t>
  </si>
  <si>
    <t xml:space="preserve">NOITE
</t>
  </si>
  <si>
    <t xml:space="preserve">RAQUEL MACHADO LIMA </t>
  </si>
  <si>
    <t xml:space="preserve">03541739282</t>
  </si>
  <si>
    <t xml:space="preserve">74075470</t>
  </si>
  <si>
    <t xml:space="preserve">RUA 31 A, 126. 404</t>
  </si>
  <si>
    <t xml:space="preserve">SETOR AEROPORTO</t>
  </si>
  <si>
    <t xml:space="preserve">RACHELMACHADO2016@GMAIL.COM</t>
  </si>
  <si>
    <t xml:space="preserve">(62) 982591257</t>
  </si>
  <si>
    <t xml:space="preserve">UNIGOIAS </t>
  </si>
  <si>
    <t xml:space="preserve">BRUNA ALVES VELOSO ALFAMA</t>
  </si>
  <si>
    <t xml:space="preserve">3429011</t>
  </si>
  <si>
    <t xml:space="preserve">02953964150</t>
  </si>
  <si>
    <t xml:space="preserve">74375752</t>
  </si>
  <si>
    <t xml:space="preserve">AVENIDA CIRCULAR, 1304. TORRE 1, APTO 1304, RESIDENCIAL PEDRA DO MAR </t>
  </si>
  <si>
    <t xml:space="preserve">RESIDENCIAL ELDORADO EXPANSÃO</t>
  </si>
  <si>
    <t xml:space="preserve">BRUNAA.VELOSO@GMAIL.COM</t>
  </si>
  <si>
    <t xml:space="preserve">(61) 99167847</t>
  </si>
  <si>
    <t xml:space="preserve">LUANA BARROS GARCIA</t>
  </si>
  <si>
    <t xml:space="preserve">6162227</t>
  </si>
  <si>
    <t xml:space="preserve">70242580122</t>
  </si>
  <si>
    <t xml:space="preserve">74919407</t>
  </si>
  <si>
    <t xml:space="preserve">RUA GETÚLIO VARANDA, 29. </t>
  </si>
  <si>
    <t xml:space="preserve">VILA MARIA</t>
  </si>
  <si>
    <t xml:space="preserve">LUANINHAMYNAME_S10@HOTMAIL.COM</t>
  </si>
  <si>
    <t xml:space="preserve">(62) 984358063</t>
  </si>
  <si>
    <t xml:space="preserve">13/04 - 09:10  </t>
  </si>
  <si>
    <t xml:space="preserve">LORENA FREIRE DOS SANTOS</t>
  </si>
  <si>
    <t xml:space="preserve">PRETA
</t>
  </si>
  <si>
    <t xml:space="preserve">APARECIDA DE GOIÂNIA
</t>
  </si>
  <si>
    <t xml:space="preserve">RUA X 24, 0.  - JARDIM OLÍMPICO
</t>
  </si>
  <si>
    <t xml:space="preserve">JARDIM OLIMPICO</t>
  </si>
  <si>
    <t xml:space="preserve">LORENNA15_FREIRE@HOTMAIL.COM</t>
  </si>
  <si>
    <t xml:space="preserve">(62) 84148174
</t>
  </si>
  <si>
    <t xml:space="preserve">(94) 991561032
</t>
  </si>
  <si>
    <t xml:space="preserve">ALFREDO NASSER 
</t>
  </si>
  <si>
    <t xml:space="preserve">LUANA DOS SANTOS DE SOUSA NASCIMENTO</t>
  </si>
  <si>
    <t xml:space="preserve">07296089300</t>
  </si>
  <si>
    <t xml:space="preserve">74477105</t>
  </si>
  <si>
    <t xml:space="preserve">RUA SC 45, 22. QUADRA 38 </t>
  </si>
  <si>
    <t xml:space="preserve">LUANAZ08.SOUZA1997@GMAIL.COM</t>
  </si>
  <si>
    <t xml:space="preserve">(62) 82166393</t>
  </si>
  <si>
    <t xml:space="preserve">(62) 982166393</t>
  </si>
  <si>
    <t xml:space="preserve">FACULDADE UNIDA DE CAMPINAS </t>
  </si>
  <si>
    <t xml:space="preserve">cursando o último semestre</t>
  </si>
  <si>
    <t xml:space="preserve">FLAVIA DE CASTRO BORGES</t>
  </si>
  <si>
    <t xml:space="preserve">70137649142</t>
  </si>
  <si>
    <t xml:space="preserve">74484708</t>
  </si>
  <si>
    <t xml:space="preserve">RUA THAIS CRISTINE, S/S. QD 17 LT 11</t>
  </si>
  <si>
    <t xml:space="preserve">JARDIM DAS ROSAS</t>
  </si>
  <si>
    <t xml:space="preserve">FLACASTROB@GMAIL.COM</t>
  </si>
  <si>
    <t xml:space="preserve">(62) 995567818</t>
  </si>
  <si>
    <t xml:space="preserve">CENTRO UNIVERSITÁRIO ALVES FARIA</t>
  </si>
  <si>
    <t xml:space="preserve">MATHEUS MASCULINO MENDONÇA</t>
  </si>
  <si>
    <t xml:space="preserve">5795153</t>
  </si>
  <si>
    <t xml:space="preserve">75609657172</t>
  </si>
  <si>
    <t xml:space="preserve">74723220</t>
  </si>
  <si>
    <t xml:space="preserve">RUA 5, 184. RUA 5 QUADRA R LOTE 16</t>
  </si>
  <si>
    <t xml:space="preserve">ÁGUA BRANCA</t>
  </si>
  <si>
    <t xml:space="preserve">MATHEUS260297@GMAIL.COM</t>
  </si>
  <si>
    <t xml:space="preserve">(62) 982332447</t>
  </si>
  <si>
    <t xml:space="preserve">UNI ARAGUAIA</t>
  </si>
  <si>
    <t xml:space="preserve">15/05 - 17:26</t>
  </si>
  <si>
    <t xml:space="preserve">JOSIERICA DA CONCIÇÃO ABREU</t>
  </si>
  <si>
    <t xml:space="preserve">70281778159</t>
  </si>
  <si>
    <t xml:space="preserve">74477419</t>
  </si>
  <si>
    <t xml:space="preserve">RUA BV14B, 00. QD 41 LT 23</t>
  </si>
  <si>
    <t xml:space="preserve">BOA VISTA</t>
  </si>
  <si>
    <t xml:space="preserve">JOSIERICARV@OUTLOOK.COM</t>
  </si>
  <si>
    <t xml:space="preserve">(62) 994531165</t>
  </si>
  <si>
    <t xml:space="preserve">FACULDADE SENSU</t>
  </si>
  <si>
    <t xml:space="preserve">15/05 - 17:10</t>
  </si>
  <si>
    <t xml:space="preserve">ANDRER KLLEY GOMES SCHNEIDER</t>
  </si>
  <si>
    <t xml:space="preserve">00577895257</t>
  </si>
  <si>
    <t xml:space="preserve">RUA LONGITUDINAL, 102. APTO 102</t>
  </si>
  <si>
    <t xml:space="preserve">ANDRER.ULBRA@GMAIL.COM</t>
  </si>
  <si>
    <t xml:space="preserve">(62) 82298104</t>
  </si>
  <si>
    <t xml:space="preserve">(62) 981943694</t>
  </si>
  <si>
    <t xml:space="preserve">MILA VIEIRA BATISTA</t>
  </si>
  <si>
    <t xml:space="preserve">9140894</t>
  </si>
  <si>
    <t xml:space="preserve">03428609255</t>
  </si>
  <si>
    <t xml:space="preserve">74535280</t>
  </si>
  <si>
    <t xml:space="preserve">RUA 210, 275. RESIDENCIAL ALDO JOÃO</t>
  </si>
  <si>
    <t xml:space="preserve">SETOR COIMBRA</t>
  </si>
  <si>
    <t xml:space="preserve">MILINHA123VIEIRA@GMAIL.COM</t>
  </si>
  <si>
    <t xml:space="preserve">(62) 985477789</t>
  </si>
  <si>
    <t xml:space="preserve">FACULDADE UNIDA DE CAMPINAS (FACUNICAMPS)</t>
  </si>
  <si>
    <t xml:space="preserve">13/04 - 09:15</t>
  </si>
  <si>
    <t xml:space="preserve">IRUAMA ANGELICA JACINTO DE SOUSA</t>
  </si>
  <si>
    <t xml:space="preserve">06318123180</t>
  </si>
  <si>
    <t xml:space="preserve">74692202</t>
  </si>
  <si>
    <t xml:space="preserve">RUA JACARANDÁ, 3. LOTE 3</t>
  </si>
  <si>
    <t xml:space="preserve">RESIDENCIAL DOS IPÊS</t>
  </si>
  <si>
    <t xml:space="preserve">YRUAMAA@GMAIL.COM</t>
  </si>
  <si>
    <t xml:space="preserve">(62) 39910653</t>
  </si>
  <si>
    <t xml:space="preserve">(62) 983243383</t>
  </si>
  <si>
    <t xml:space="preserve">CURSANDO </t>
  </si>
  <si>
    <t xml:space="preserve">WALISSON PINHEIRO PEREIRA</t>
  </si>
  <si>
    <t xml:space="preserve">6137626</t>
  </si>
  <si>
    <t xml:space="preserve">05109187193</t>
  </si>
  <si>
    <t xml:space="preserve">74810220</t>
  </si>
  <si>
    <t xml:space="preserve">RUA 54, 342. Q.36 L.16 ED.FENICIA APT. 501</t>
  </si>
  <si>
    <t xml:space="preserve">GESTAO.ADM.WALISSON@GMAIL.COM</t>
  </si>
  <si>
    <t xml:space="preserve">(62) 993647702</t>
  </si>
  <si>
    <t xml:space="preserve">UNIFAN - CENTRO UNIVERSITÁRIO ALFREDO NASSER</t>
  </si>
  <si>
    <t xml:space="preserve">DANIEL PEREIRA DA SILVA</t>
  </si>
  <si>
    <t xml:space="preserve">7782244</t>
  </si>
  <si>
    <t xml:space="preserve">03759692257</t>
  </si>
  <si>
    <t xml:space="preserve">74573380</t>
  </si>
  <si>
    <t xml:space="preserve">RUA RN 8, 77. QD.13 LT.11</t>
  </si>
  <si>
    <t xml:space="preserve">SETOR SEVENE</t>
  </si>
  <si>
    <t xml:space="preserve">DANIELRAGTECH@GMAIL.COM</t>
  </si>
  <si>
    <t xml:space="preserve">(62) 35866595</t>
  </si>
  <si>
    <t xml:space="preserve">(62) 981435323</t>
  </si>
  <si>
    <t xml:space="preserve">IGOR QUEIROZ DE SOUZA ARRAES</t>
  </si>
  <si>
    <t xml:space="preserve">6143668</t>
  </si>
  <si>
    <t xml:space="preserve">04694884174</t>
  </si>
  <si>
    <t xml:space="preserve">74353010</t>
  </si>
  <si>
    <t xml:space="preserve">RUA PRESIDENTE AFONSO PENA, 1234. QD 06 LT 20</t>
  </si>
  <si>
    <t xml:space="preserve">JARDIM PRESIDENTE</t>
  </si>
  <si>
    <t xml:space="preserve">IGORQSA@HOTMAIL.COM</t>
  </si>
  <si>
    <t xml:space="preserve">(62) 98287199</t>
  </si>
  <si>
    <t xml:space="preserve">(62) 982871997</t>
  </si>
  <si>
    <t xml:space="preserve">VINÍCIUS DE PAULA PINTO</t>
  </si>
  <si>
    <t xml:space="preserve">75141833100</t>
  </si>
  <si>
    <t xml:space="preserve">74005010</t>
  </si>
  <si>
    <t xml:space="preserve">AVENIDA GOIÁS, SETOR CENT. CENTRO</t>
  </si>
  <si>
    <t xml:space="preserve">SETOR CENTRAL</t>
  </si>
  <si>
    <t xml:space="preserve">VINICIUSPAULA917@GMAIL.COM</t>
  </si>
  <si>
    <t xml:space="preserve">(62) 984252544</t>
  </si>
  <si>
    <t xml:space="preserve">FACULDADE UNICAMPS</t>
  </si>
  <si>
    <t xml:space="preserve">contrato marcado</t>
  </si>
  <si>
    <t xml:space="preserve">ANDRESSA CAMARGO DE OLIVEIRA</t>
  </si>
  <si>
    <t xml:space="preserve">6368422</t>
  </si>
  <si>
    <t xml:space="preserve">06451851167</t>
  </si>
  <si>
    <t xml:space="preserve">76190000</t>
  </si>
  <si>
    <t xml:space="preserve">PALMEIRAS DE GOIÁS</t>
  </si>
  <si>
    <t xml:space="preserve">RUA D2 , 0. QUADRA 09G LT 7</t>
  </si>
  <si>
    <t xml:space="preserve">REAL </t>
  </si>
  <si>
    <t xml:space="preserve">ANDRESSACAMARGO931@GMAIL.COM</t>
  </si>
  <si>
    <t xml:space="preserve">(64) 999645114</t>
  </si>
  <si>
    <t xml:space="preserve">FACULDADE ANICUNS </t>
  </si>
  <si>
    <t xml:space="preserve">RAFAELLA RODRIGUES MENDONCA</t>
  </si>
  <si>
    <t xml:space="preserve">6420035</t>
  </si>
  <si>
    <t xml:space="preserve">05802625104</t>
  </si>
  <si>
    <t xml:space="preserve">74913145</t>
  </si>
  <si>
    <t xml:space="preserve">AVENIDA SÃO JOÃO, SN. APTO 404P, CONDOMÍNIO PARQUE AMÉRICA HAVAÍ </t>
  </si>
  <si>
    <t xml:space="preserve">RESIDENCIAL RECANTO DO CERRADO</t>
  </si>
  <si>
    <t xml:space="preserve">MENDONCA.RAFAELLA.R@OUTLOOK.COM</t>
  </si>
  <si>
    <t xml:space="preserve">(62) 994316565</t>
  </si>
  <si>
    <t xml:space="preserve">PUC - PONTIFÍCIA UNIVERSIDADE CATÓLICA DE GOIÁS</t>
  </si>
  <si>
    <t xml:space="preserve">13/04 - 09:15 </t>
  </si>
  <si>
    <t xml:space="preserve">LUCAS HENRIQUE DIAMANTINO</t>
  </si>
  <si>
    <t xml:space="preserve">5993710</t>
  </si>
  <si>
    <t xml:space="preserve">05761524120</t>
  </si>
  <si>
    <t xml:space="preserve">74973525</t>
  </si>
  <si>
    <t xml:space="preserve">RUA IGNÁCIO CAMPOS, S/N. </t>
  </si>
  <si>
    <t xml:space="preserve">SETOR SERRA DOURADA - 2ª ETAPA</t>
  </si>
  <si>
    <t xml:space="preserve">LUCASHENRIQUEDIAMANTINO@GMAIL.COM</t>
  </si>
  <si>
    <t xml:space="preserve">(62) 92269716</t>
  </si>
  <si>
    <t xml:space="preserve">(62) 992269716</t>
  </si>
  <si>
    <t xml:space="preserve">UNIFAN - ALFREDO NASSER </t>
  </si>
  <si>
    <t xml:space="preserve">JORDANY RAMOS DE CARVALHO</t>
  </si>
  <si>
    <t xml:space="preserve">70504173197</t>
  </si>
  <si>
    <t xml:space="preserve">75843000</t>
  </si>
  <si>
    <t xml:space="preserve">PORTELÂNDIA</t>
  </si>
  <si>
    <t xml:space="preserve">RUA 2 QD 10, S/N. </t>
  </si>
  <si>
    <t xml:space="preserve">SUL</t>
  </si>
  <si>
    <t xml:space="preserve">ANDRESSASILVAOLIVER26@HOTMAIL.COM</t>
  </si>
  <si>
    <t xml:space="preserve">(64) 993466671</t>
  </si>
  <si>
    <t xml:space="preserve">CENTRO UNIVERSITÁRIO DE MINEIROS - UNIFIMES</t>
  </si>
  <si>
    <t xml:space="preserve">18/04 - 12:50 </t>
  </si>
  <si>
    <t xml:space="preserve">02/05 - e-mail enviado  JordanyCarvalho637385@Gmail.com</t>
  </si>
  <si>
    <t xml:space="preserve">LORRANE DE SOUZA SILVA</t>
  </si>
  <si>
    <t xml:space="preserve">08439252560</t>
  </si>
  <si>
    <t xml:space="preserve">74474317</t>
  </si>
  <si>
    <t xml:space="preserve">RUA RB 8, 0. QUADRA 05, LOTE 13</t>
  </si>
  <si>
    <t xml:space="preserve">LORRANEDESOUZA640@GMAIL.COM</t>
  </si>
  <si>
    <t xml:space="preserve">(62) 996284061</t>
  </si>
  <si>
    <t xml:space="preserve">UNIGOIAS</t>
  </si>
  <si>
    <t xml:space="preserve">13/04 - 09:20</t>
  </si>
  <si>
    <t xml:space="preserve">RUAN GOMES FONTENELE</t>
  </si>
  <si>
    <t xml:space="preserve">08393943302</t>
  </si>
  <si>
    <t xml:space="preserve">74310110</t>
  </si>
  <si>
    <t xml:space="preserve">RUA A-010, 386. AP. D202</t>
  </si>
  <si>
    <t xml:space="preserve">VILA DOS ALPES</t>
  </si>
  <si>
    <t xml:space="preserve">RUANFONTENELE@GMAIL.COM</t>
  </si>
  <si>
    <t xml:space="preserve">(62) 983225254</t>
  </si>
  <si>
    <t xml:space="preserve">DIEGO LIMA DE SOUZA</t>
  </si>
  <si>
    <t xml:space="preserve">75728621104</t>
  </si>
  <si>
    <t xml:space="preserve">74963400</t>
  </si>
  <si>
    <t xml:space="preserve">RUA MADRE PAULINA, 0. QD 2 LT 06</t>
  </si>
  <si>
    <t xml:space="preserve">JARDIM DOM BOSCO</t>
  </si>
  <si>
    <t xml:space="preserve">DIEGOLIMASOUZA13@GMAIL.COM</t>
  </si>
  <si>
    <t xml:space="preserve">(62) 994373713</t>
  </si>
  <si>
    <t xml:space="preserve">e-mail enviado</t>
  </si>
  <si>
    <t xml:space="preserve">FRANCISCO TAIQUE FERREIRA RIBEIRO</t>
  </si>
  <si>
    <t xml:space="preserve">64318886</t>
  </si>
  <si>
    <t xml:space="preserve">04049017199</t>
  </si>
  <si>
    <t xml:space="preserve">74690864</t>
  </si>
  <si>
    <t xml:space="preserve">RUA LENY RIBEIRO MACHADO, SN. QD 04 LOTE 25</t>
  </si>
  <si>
    <t xml:space="preserve">JARDIM BOM JESUS</t>
  </si>
  <si>
    <t xml:space="preserve">FRANC9539@GMAIL.COM</t>
  </si>
  <si>
    <t xml:space="preserve">(62) 91855410</t>
  </si>
  <si>
    <t xml:space="preserve">(62) 985943444</t>
  </si>
  <si>
    <t xml:space="preserve">FACLIONS</t>
  </si>
  <si>
    <t xml:space="preserve">13/04 - 09:20 </t>
  </si>
  <si>
    <t xml:space="preserve">JULLY RIBEIRO DUARTE SERAFIM </t>
  </si>
  <si>
    <t xml:space="preserve">6921363</t>
  </si>
  <si>
    <t xml:space="preserve">06930496189</t>
  </si>
  <si>
    <t xml:space="preserve">74435115</t>
  </si>
  <si>
    <t xml:space="preserve">AVENIDA PADRE WENDEL, 907. QD 563 LT 13</t>
  </si>
  <si>
    <t xml:space="preserve">AEROVIÁRIO</t>
  </si>
  <si>
    <t xml:space="preserve">JULLYRDS@HOTMAIL.COM</t>
  </si>
  <si>
    <t xml:space="preserve">(62) 995023654</t>
  </si>
  <si>
    <t xml:space="preserve">MADRAS MARCELA DIAS AMARAL</t>
  </si>
  <si>
    <t xml:space="preserve">6256095</t>
  </si>
  <si>
    <t xml:space="preserve">70316477117</t>
  </si>
  <si>
    <t xml:space="preserve">74959299</t>
  </si>
  <si>
    <t xml:space="preserve">R 52, 1. QD 108 LT 24</t>
  </si>
  <si>
    <t xml:space="preserve">INDEPENDENCIA 1 COMPLEMENTO SETOR DAS MANSOES</t>
  </si>
  <si>
    <t xml:space="preserve">MADRASDIAS82@GMAIL.COM</t>
  </si>
  <si>
    <t xml:space="preserve">(62) 35375401</t>
  </si>
  <si>
    <t xml:space="preserve">(62) 981707439</t>
  </si>
  <si>
    <t xml:space="preserve">PONTIFICIA UNIVERSIDADE CATÓLICA DE GOIAS</t>
  </si>
  <si>
    <t xml:space="preserve">escolheu ser remanejado</t>
  </si>
  <si>
    <t xml:space="preserve">02/05 - 12:40 - email enviado</t>
  </si>
  <si>
    <t xml:space="preserve">ISTEFANY CAMPOS DA SILVA</t>
  </si>
  <si>
    <t xml:space="preserve">6386907</t>
  </si>
  <si>
    <t xml:space="preserve">70567177130</t>
  </si>
  <si>
    <t xml:space="preserve">74973270</t>
  </si>
  <si>
    <t xml:space="preserve">RUA ELMAR CABRAL QD 14 LT 12, S/N. CASA 1</t>
  </si>
  <si>
    <t xml:space="preserve">SETOR SERRA DOURADA 2 ETAPA</t>
  </si>
  <si>
    <t xml:space="preserve">ISTEFANYCAMPOS98@GMAIL.COM</t>
  </si>
  <si>
    <t xml:space="preserve">(62) 81833476</t>
  </si>
  <si>
    <t xml:space="preserve">(62) 991957019</t>
  </si>
  <si>
    <t xml:space="preserve">02/05 - EMAIL ENVIADO</t>
  </si>
  <si>
    <t xml:space="preserve">THALITA DE LURDES DA COSTA DE FREITAS</t>
  </si>
  <si>
    <t xml:space="preserve">5936063</t>
  </si>
  <si>
    <t xml:space="preserve">03173124138</t>
  </si>
  <si>
    <t xml:space="preserve">74355507</t>
  </si>
  <si>
    <t xml:space="preserve">RUA W 7, S/N. QD 06 LT 15</t>
  </si>
  <si>
    <t xml:space="preserve">THALITA.LURDES@HOTMAIL.COM</t>
  </si>
  <si>
    <t xml:space="preserve">(62) 35782411</t>
  </si>
  <si>
    <t xml:space="preserve">(62) 984917755</t>
  </si>
  <si>
    <t xml:space="preserve">UNIVERSIDADE SALGADO DE OLIVEIRA - CENTRO UNIVERSO GOIÂNIA</t>
  </si>
  <si>
    <t xml:space="preserve">não retornou </t>
  </si>
  <si>
    <t xml:space="preserve">SARAH FERREIRA DE ASSIS </t>
  </si>
  <si>
    <t xml:space="preserve">70467385130</t>
  </si>
  <si>
    <t xml:space="preserve">75250344</t>
  </si>
  <si>
    <t xml:space="preserve">RUA JC 5, 1. Q 5 LT 31</t>
  </si>
  <si>
    <t xml:space="preserve">RESIDENCIAL JARDIM CANEDO II</t>
  </si>
  <si>
    <t xml:space="preserve">SARAHF.ASSIS@GMAIL.COM</t>
  </si>
  <si>
    <t xml:space="preserve">(62) 995553543</t>
  </si>
  <si>
    <t xml:space="preserve">PAULA CRISTINA VENANCIO DA SILVA VAZ</t>
  </si>
  <si>
    <t xml:space="preserve">70375948147</t>
  </si>
  <si>
    <t xml:space="preserve">75256199</t>
  </si>
  <si>
    <t xml:space="preserve">RUA JM 7, SN. QD 04 LOTE 09</t>
  </si>
  <si>
    <t xml:space="preserve">VAZPAULACRISTINA7@GMAIL.COM</t>
  </si>
  <si>
    <t xml:space="preserve">(62) 992084141</t>
  </si>
  <si>
    <t xml:space="preserve">CENTRO UNIVERSITÁRIO UNIFASAM</t>
  </si>
  <si>
    <t xml:space="preserve">ERIKA LUIZA BARBOSA MEDEIROS </t>
  </si>
  <si>
    <t xml:space="preserve">01492460133</t>
  </si>
  <si>
    <t xml:space="preserve">75407342</t>
  </si>
  <si>
    <t xml:space="preserve">INHUMAS</t>
  </si>
  <si>
    <t xml:space="preserve">RUA 7, 0. N/S</t>
  </si>
  <si>
    <t xml:space="preserve">SETOR SOLAR PARK</t>
  </si>
  <si>
    <t xml:space="preserve">ERIKALUIZA658@GMAIL.COM</t>
  </si>
  <si>
    <t xml:space="preserve">(62) 984886165</t>
  </si>
  <si>
    <t xml:space="preserve">FACULDADE FAC-MAIS </t>
  </si>
  <si>
    <t xml:space="preserve">13/04 - 13:26</t>
  </si>
  <si>
    <t xml:space="preserve">03/05 - EMAIL ENVIADO</t>
  </si>
  <si>
    <t xml:space="preserve">HYGOR NERES OLIVEIRA DA SILVA </t>
  </si>
  <si>
    <t xml:space="preserve">70238500152</t>
  </si>
  <si>
    <t xml:space="preserve">75380208</t>
  </si>
  <si>
    <t xml:space="preserve">TRINDADE</t>
  </si>
  <si>
    <t xml:space="preserve">AVENIDA CONCEIÇÃO DO NORTE, S/N. QD 02 LT 28</t>
  </si>
  <si>
    <t xml:space="preserve">JARDIM IPANEMA</t>
  </si>
  <si>
    <t xml:space="preserve">HYGORNERES@GMAIL.COM</t>
  </si>
  <si>
    <t xml:space="preserve">(62) 32102217</t>
  </si>
  <si>
    <t xml:space="preserve">(62) 985601520</t>
  </si>
  <si>
    <t xml:space="preserve">FACUNICAMPS - FACULDADE UNIDA DE CAMPINAS</t>
  </si>
  <si>
    <t xml:space="preserve">13/04 - 13:28</t>
  </si>
  <si>
    <t xml:space="preserve">FELIPE CHRISTOPHER RODRIGUES DA SILVA</t>
  </si>
  <si>
    <t xml:space="preserve">61122086369</t>
  </si>
  <si>
    <t xml:space="preserve">74610230</t>
  </si>
  <si>
    <t xml:space="preserve">RUA 259, SN. APT.25 ED.LC, BLOCO B, QD. 95, LT.06</t>
  </si>
  <si>
    <t xml:space="preserve">FELIIPECHRIS98@ICLOUD.COM</t>
  </si>
  <si>
    <t xml:space="preserve">(62) 991158965</t>
  </si>
  <si>
    <t xml:space="preserve">CENTRO UNIVERSITÁRIO ESTÁCIO DE SÁ GOIÁS</t>
  </si>
  <si>
    <t xml:space="preserve">13/04 - 13:30</t>
  </si>
  <si>
    <t xml:space="preserve">GISELE ALVES DOS SANTOS </t>
  </si>
  <si>
    <t xml:space="preserve">02742783164</t>
  </si>
  <si>
    <t xml:space="preserve">76700000</t>
  </si>
  <si>
    <t xml:space="preserve">MOZARLÂNDIA</t>
  </si>
  <si>
    <t xml:space="preserve">RUA CLOVES DE ALENCAR, 0. QD: E LT: 5</t>
  </si>
  <si>
    <t xml:space="preserve">SETOR AMAURY TORRES </t>
  </si>
  <si>
    <t xml:space="preserve">GISELEALVESDOSSANTOS98@GMAIL.COM</t>
  </si>
  <si>
    <t xml:space="preserve">(62) 984823893</t>
  </si>
  <si>
    <t xml:space="preserve">FACULDADE UNIVANGÉLICA DE RUBIATABA</t>
  </si>
  <si>
    <t xml:space="preserve">13/04 - 13:32</t>
  </si>
  <si>
    <t xml:space="preserve">03/05 - E-MAIL ENVIADO </t>
  </si>
  <si>
    <t xml:space="preserve">JACKSON OLIVEIRA SILVA</t>
  </si>
  <si>
    <t xml:space="preserve">6363210</t>
  </si>
  <si>
    <t xml:space="preserve">70435564145</t>
  </si>
  <si>
    <t xml:space="preserve">74255470</t>
  </si>
  <si>
    <t xml:space="preserve">RUA C125,  00. </t>
  </si>
  <si>
    <t xml:space="preserve">JARDIM AMÉRICA</t>
  </si>
  <si>
    <t xml:space="preserve">JACKSONLINE00@GMAIL.COM</t>
  </si>
  <si>
    <t xml:space="preserve">(62) 992374880</t>
  </si>
  <si>
    <t xml:space="preserve">UNIARAGUAIA </t>
  </si>
  <si>
    <t xml:space="preserve">13/04 - 13:33</t>
  </si>
  <si>
    <t xml:space="preserve">NATALIA SILVA ALMEIDA</t>
  </si>
  <si>
    <t xml:space="preserve">6332796</t>
  </si>
  <si>
    <t xml:space="preserve">04008818103</t>
  </si>
  <si>
    <t xml:space="preserve">74335040</t>
  </si>
  <si>
    <t xml:space="preserve">RUA CASSIMIRO DE ABREU, 00. </t>
  </si>
  <si>
    <t xml:space="preserve">ANHANGUERA</t>
  </si>
  <si>
    <t xml:space="preserve">NATALIASILVA1804@HOTMAIL.COM</t>
  </si>
  <si>
    <t xml:space="preserve">(62) 36093144</t>
  </si>
  <si>
    <t xml:space="preserve">(62) 999590112</t>
  </si>
  <si>
    <t xml:space="preserve">PUC </t>
  </si>
  <si>
    <t xml:space="preserve">LUAN SOARES DE FARIA</t>
  </si>
  <si>
    <t xml:space="preserve">05813304126</t>
  </si>
  <si>
    <t xml:space="preserve">75460000</t>
  </si>
  <si>
    <t xml:space="preserve">NERÓPOLIS</t>
  </si>
  <si>
    <t xml:space="preserve">RUA S7 QUADRA 23 LOTE 22, 22. PRÓXIMO IGREJA CATÓLICA</t>
  </si>
  <si>
    <t xml:space="preserve">LUANCHESTERFIELD17@GMAIL.COM</t>
  </si>
  <si>
    <t xml:space="preserve">(62) 991956491</t>
  </si>
  <si>
    <t xml:space="preserve">18/04 - 12:40</t>
  </si>
  <si>
    <t xml:space="preserve">POLIANA ALMEIDA DO CARMO</t>
  </si>
  <si>
    <t xml:space="preserve">06792037109</t>
  </si>
  <si>
    <t xml:space="preserve">76374000</t>
  </si>
  <si>
    <t xml:space="preserve">GUARINOS</t>
  </si>
  <si>
    <t xml:space="preserve">RUA VO-7, S/N. Q.05, L.21</t>
  </si>
  <si>
    <t xml:space="preserve"> BAIRRO RESIDENCIAL</t>
  </si>
  <si>
    <t xml:space="preserve">POLYALMEIDA2014@HOTMAIL.COM</t>
  </si>
  <si>
    <t xml:space="preserve">(62) 986043176</t>
  </si>
  <si>
    <t xml:space="preserve">UNIEVANGÉLICA CAMPUS CERES</t>
  </si>
  <si>
    <t xml:space="preserve">17/04 - 17:15</t>
  </si>
  <si>
    <t xml:space="preserve">ROMULO CIRQUEIRA REGES FILHO</t>
  </si>
  <si>
    <t xml:space="preserve">04400484190</t>
  </si>
  <si>
    <t xml:space="preserve">74375530</t>
  </si>
  <si>
    <t xml:space="preserve">RUA DO CRISÂNTEMO, 174. APTO 1207 TORRE 01</t>
  </si>
  <si>
    <t xml:space="preserve">ROMULO_FILHO88@HOTMAIL.COM</t>
  </si>
  <si>
    <t xml:space="preserve">(62) 35584597</t>
  </si>
  <si>
    <t xml:space="preserve">(62) 982934614</t>
  </si>
  <si>
    <t xml:space="preserve">17/04 - 17:20</t>
  </si>
  <si>
    <t xml:space="preserve">SOPHIE CAROLINE HELENA DA SILVA</t>
  </si>
  <si>
    <t xml:space="preserve">77860244179</t>
  </si>
  <si>
    <t xml:space="preserve">74965090</t>
  </si>
  <si>
    <t xml:space="preserve">RUA 108, 816. </t>
  </si>
  <si>
    <t xml:space="preserve">JARDIM SÃO CONRADO</t>
  </si>
  <si>
    <t xml:space="preserve">FALEWIY807@ONIECAN.COM</t>
  </si>
  <si>
    <t xml:space="preserve">(62) 997303006</t>
  </si>
  <si>
    <t xml:space="preserve">17/04 - 17:23</t>
  </si>
  <si>
    <t xml:space="preserve">ERIKA MARIA DA SILVA SANTOS</t>
  </si>
  <si>
    <t xml:space="preserve">01686506147</t>
  </si>
  <si>
    <t xml:space="preserve">74020170</t>
  </si>
  <si>
    <t xml:space="preserve">RUA 20, 325. APT- 304</t>
  </si>
  <si>
    <t xml:space="preserve">ERIKA290399@OUTLOOK.COM</t>
  </si>
  <si>
    <t xml:space="preserve">(62) 39245949</t>
  </si>
  <si>
    <t xml:space="preserve">(62) 998642709</t>
  </si>
  <si>
    <t xml:space="preserve">PONTIFICIA UNIVERSIDADE CATOLICA DE GOIAS </t>
  </si>
  <si>
    <t xml:space="preserve">17/04 - 17:25</t>
  </si>
  <si>
    <t xml:space="preserve">FERNANDA ARAUJO DE SOUZA</t>
  </si>
  <si>
    <t xml:space="preserve">6502963</t>
  </si>
  <si>
    <t xml:space="preserve">70563087161</t>
  </si>
  <si>
    <t xml:space="preserve">74605070</t>
  </si>
  <si>
    <t xml:space="preserve">RUA 239, 339. Q 88, LT 0</t>
  </si>
  <si>
    <t xml:space="preserve">NANDYNHAARAUJO15@GMAIL.COM</t>
  </si>
  <si>
    <t xml:space="preserve">(62) 991316684</t>
  </si>
  <si>
    <t xml:space="preserve">17/04 - 17:27</t>
  </si>
  <si>
    <t xml:space="preserve">MARCOS VINICIOS DE SOUSA BEZERRA</t>
  </si>
  <si>
    <t xml:space="preserve">82021155234</t>
  </si>
  <si>
    <t xml:space="preserve">74230045</t>
  </si>
  <si>
    <t xml:space="preserve">AVENIDA T 5, 1249. APTO 501, BLOCO DI LIVORNO</t>
  </si>
  <si>
    <t xml:space="preserve">SSMARCOSB@GMAIL.COM</t>
  </si>
  <si>
    <t xml:space="preserve">(62) 984151192</t>
  </si>
  <si>
    <t xml:space="preserve">PONTIFICIA UNIVERSIDADE CATOLICA</t>
  </si>
  <si>
    <t xml:space="preserve">JOÃO VICTOR SILVA SOUZA</t>
  </si>
  <si>
    <t xml:space="preserve">6776094</t>
  </si>
  <si>
    <t xml:space="preserve">70814500161</t>
  </si>
  <si>
    <t xml:space="preserve">75831002</t>
  </si>
  <si>
    <t xml:space="preserve">MINEIROS</t>
  </si>
  <si>
    <t xml:space="preserve">AVENIDA CONTORNO, SN. QD20 LT 17</t>
  </si>
  <si>
    <t xml:space="preserve">DIVINO ESPÍRITO SANTO</t>
  </si>
  <si>
    <t xml:space="preserve">JOAOVTOR2016@GMAIL.COM</t>
  </si>
  <si>
    <t xml:space="preserve">(64) 999416261</t>
  </si>
  <si>
    <t xml:space="preserve">CENTRO UNIVERSITÁRIO DE MINEIROS UNIFIMES</t>
  </si>
  <si>
    <t xml:space="preserve">17/04 - 17:47</t>
  </si>
  <si>
    <t xml:space="preserve">VICTOR ABRAO HENS</t>
  </si>
  <si>
    <t xml:space="preserve">07318276190</t>
  </si>
  <si>
    <t xml:space="preserve">74115070</t>
  </si>
  <si>
    <t xml:space="preserve">RUA 6, 85. AP 103</t>
  </si>
  <si>
    <t xml:space="preserve">VICTOR.JURIDICO21@OUTLOOK.COM</t>
  </si>
  <si>
    <t xml:space="preserve">(62) 32414772</t>
  </si>
  <si>
    <t xml:space="preserve">(62) 996913288</t>
  </si>
  <si>
    <t xml:space="preserve">PONTIFÍCIA UNIVERSIDADE CATÓLICA DE GOIÁS (PUC-GO)</t>
  </si>
  <si>
    <t xml:space="preserve">17/04 - 17:50</t>
  </si>
  <si>
    <t xml:space="preserve">ISABELLA STEPHANY SILVA BARBOSA</t>
  </si>
  <si>
    <t xml:space="preserve">6349648</t>
  </si>
  <si>
    <t xml:space="preserve">70411251147</t>
  </si>
  <si>
    <t xml:space="preserve">74474140</t>
  </si>
  <si>
    <t xml:space="preserve">RUA B, 1. QD 08 LT 18</t>
  </si>
  <si>
    <t xml:space="preserve">JARDIM DAS HORTÊNCIAS</t>
  </si>
  <si>
    <t xml:space="preserve">ISABELLASILVA210799@GMAIL.COM</t>
  </si>
  <si>
    <t xml:space="preserve">(62) 994655480</t>
  </si>
  <si>
    <t xml:space="preserve">17/04 - 17:42</t>
  </si>
  <si>
    <t xml:space="preserve">Cursando o 2° semestre</t>
  </si>
  <si>
    <t xml:space="preserve">sem retorno</t>
  </si>
  <si>
    <t xml:space="preserve">REBECA ALENCAR SILVA</t>
  </si>
  <si>
    <t xml:space="preserve">6550616</t>
  </si>
  <si>
    <t xml:space="preserve">70615009131</t>
  </si>
  <si>
    <t xml:space="preserve">74477024</t>
  </si>
  <si>
    <t xml:space="preserve">RUA A16, 08   . RUA A 16 QD 55 LT 08</t>
  </si>
  <si>
    <t xml:space="preserve">DA VITÓRIA</t>
  </si>
  <si>
    <t xml:space="preserve">ALENCARREBECA106@GMAIL.COM</t>
  </si>
  <si>
    <t xml:space="preserve">(62) 995018126</t>
  </si>
  <si>
    <t xml:space="preserve">PUC GOIÁS CAMPUS V </t>
  </si>
  <si>
    <t xml:space="preserve">17/04 - 17:43</t>
  </si>
  <si>
    <t xml:space="preserve">IGOR GONÇALVES FAVARO</t>
  </si>
  <si>
    <t xml:space="preserve">03898422143</t>
  </si>
  <si>
    <t xml:space="preserve">74180040</t>
  </si>
  <si>
    <t xml:space="preserve">AVENIDA 136, 515. EDIFICIO DJ OLIVEIRA, APTO 102</t>
  </si>
  <si>
    <t xml:space="preserve">SETOR MARISTA</t>
  </si>
  <si>
    <t xml:space="preserve">IGORGONFAVARO@GMAIL.COM</t>
  </si>
  <si>
    <t xml:space="preserve">(62) 34342899</t>
  </si>
  <si>
    <t xml:space="preserve">(62) 992737000</t>
  </si>
  <si>
    <t xml:space="preserve">PONTIFÍCIA UNIVERSIDADE CATÓLICA - PUC</t>
  </si>
  <si>
    <t xml:space="preserve">17/04 - 17:53</t>
  </si>
  <si>
    <t xml:space="preserve">DANIEL CARLOS AZEVEDO CRUZ</t>
  </si>
  <si>
    <t xml:space="preserve">07107977105</t>
  </si>
  <si>
    <t xml:space="preserve">75083450</t>
  </si>
  <si>
    <t xml:space="preserve">RUA DAYSE FANSTONE, 204. RESIDENCIAL AMORIM, AP 204</t>
  </si>
  <si>
    <t xml:space="preserve">CIDADE UNIVERSITÁRIA</t>
  </si>
  <si>
    <t xml:space="preserve">DANIELCARLOSDACRUZ@HOTMAIL.COM</t>
  </si>
  <si>
    <t xml:space="preserve">(62) 994255304</t>
  </si>
  <si>
    <t xml:space="preserve">UNIVERSIDADE EVANGÉLICA DE GOIAS </t>
  </si>
  <si>
    <t xml:space="preserve">17/04 - 17:58</t>
  </si>
  <si>
    <t xml:space="preserve">LUANA AREBAS FARIA DE OLIVEIRA</t>
  </si>
  <si>
    <t xml:space="preserve">5178823</t>
  </si>
  <si>
    <t xml:space="preserve">03884496166</t>
  </si>
  <si>
    <t xml:space="preserve">75254035</t>
  </si>
  <si>
    <t xml:space="preserve">AVENIDA DAS QUARESMEIRAS, 0. QD 31, LT 02</t>
  </si>
  <si>
    <t xml:space="preserve">RESIDENCIAL CONDOMÍNIO JARDIM VENEZA</t>
  </si>
  <si>
    <t xml:space="preserve">LUANAH.AREBAS@GMAIL.COM</t>
  </si>
  <si>
    <t xml:space="preserve">(62) 982948100</t>
  </si>
  <si>
    <t xml:space="preserve">UNIVERSIDADE SALGADO DE OLIVEIRA</t>
  </si>
  <si>
    <t xml:space="preserve">17/04 - 18:23</t>
  </si>
  <si>
    <t xml:space="preserve">WANESSA PEREIRA FARIA</t>
  </si>
  <si>
    <t xml:space="preserve">70235913111</t>
  </si>
  <si>
    <t xml:space="preserve">74430010</t>
  </si>
  <si>
    <t xml:space="preserve">RUA DO ALGODÃO, 0. CASA 4</t>
  </si>
  <si>
    <t xml:space="preserve">RODOVIÁRIO</t>
  </si>
  <si>
    <t xml:space="preserve">WANESSAFARIALIVE.COM@GMAIL.COM</t>
  </si>
  <si>
    <t xml:space="preserve">(62) 39960544</t>
  </si>
  <si>
    <t xml:space="preserve">(62) 983198242</t>
  </si>
  <si>
    <t xml:space="preserve">FACUCAMPS</t>
  </si>
  <si>
    <t xml:space="preserve">THALITA VITÓRIA DA SILVA ALMEIDA RIBEIRO</t>
  </si>
  <si>
    <t xml:space="preserve">70483863122</t>
  </si>
  <si>
    <t xml:space="preserve">74583420</t>
  </si>
  <si>
    <t xml:space="preserve">RUA BOA VISTA, 02. QUADRA 2 LOTE 12</t>
  </si>
  <si>
    <t xml:space="preserve">RECREIO PANORAMA</t>
  </si>
  <si>
    <t xml:space="preserve">VICTORI.NAVARRO@HOTMAIL.COM</t>
  </si>
  <si>
    <t xml:space="preserve">(92) 92908673</t>
  </si>
  <si>
    <t xml:space="preserve">(92) 992908673</t>
  </si>
  <si>
    <t xml:space="preserve">17/04 - 18:28</t>
  </si>
  <si>
    <t xml:space="preserve">KEMILE GONZAGA TOME</t>
  </si>
  <si>
    <t xml:space="preserve">6541992</t>
  </si>
  <si>
    <t xml:space="preserve">70603008135</t>
  </si>
  <si>
    <t xml:space="preserve">75689102</t>
  </si>
  <si>
    <t xml:space="preserve">CALDAS NOVAS</t>
  </si>
  <si>
    <t xml:space="preserve">RUA 12, 0. QD11 LT2-B</t>
  </si>
  <si>
    <t xml:space="preserve">CALDAS DO OESTE</t>
  </si>
  <si>
    <t xml:space="preserve">KEMILEGONZAGAA@GMAIL.COM</t>
  </si>
  <si>
    <t xml:space="preserve">(64) 992311371</t>
  </si>
  <si>
    <t xml:space="preserve">INTEGRA - FACULDADES INTEGRADAS DA AMÉRICA DO SUL</t>
  </si>
  <si>
    <t xml:space="preserve">17/04 - 18:30 </t>
  </si>
  <si>
    <t xml:space="preserve">local do estágio fica muito longe.</t>
  </si>
  <si>
    <t xml:space="preserve">HARYADNA IHSLAYRA BORGES DE OLIVEIRA </t>
  </si>
  <si>
    <t xml:space="preserve">06165368107</t>
  </si>
  <si>
    <t xml:space="preserve">74593410</t>
  </si>
  <si>
    <t xml:space="preserve">AVENIDA MARIA PESTANA, S / N . AO LADO DO BAR PIRÂMIDE </t>
  </si>
  <si>
    <t xml:space="preserve">HARYADNAPIRES22@GMAIL.COM</t>
  </si>
  <si>
    <t xml:space="preserve">(61) 98167459</t>
  </si>
  <si>
    <t xml:space="preserve">(61) 981674591</t>
  </si>
  <si>
    <t xml:space="preserve">UNIVERSIDADE ARAGUAIA </t>
  </si>
  <si>
    <t xml:space="preserve">GABRIEL CARDOSO DE SOUSA</t>
  </si>
  <si>
    <t xml:space="preserve">70887815146</t>
  </si>
  <si>
    <t xml:space="preserve">75250421</t>
  </si>
  <si>
    <t xml:space="preserve">RUA S 18, S/N. QUADRA 60 LOTE 06</t>
  </si>
  <si>
    <t xml:space="preserve">CONJUNTO MORADA DO MORRO</t>
  </si>
  <si>
    <t xml:space="preserve">GABRIELCDESOUSA1999@GMAIL.COM</t>
  </si>
  <si>
    <t xml:space="preserve">(62) 991392555</t>
  </si>
  <si>
    <t xml:space="preserve">STHEFANY DE SOUZA COSTA</t>
  </si>
  <si>
    <t xml:space="preserve">6219500</t>
  </si>
  <si>
    <t xml:space="preserve">70293026130</t>
  </si>
  <si>
    <t xml:space="preserve">74910430</t>
  </si>
  <si>
    <t xml:space="preserve">AVENIDA WALQUÍRIA, 50. CONDOMÍNIO PORTO SEGURO ITAPARICA </t>
  </si>
  <si>
    <t xml:space="preserve">VILA SANTOS DUMONT</t>
  </si>
  <si>
    <t xml:space="preserve">STHEFANYSOUZACOSTA054@GMAIL.COM</t>
  </si>
  <si>
    <t xml:space="preserve">(62) 98532699</t>
  </si>
  <si>
    <t xml:space="preserve">(62) 985326991</t>
  </si>
  <si>
    <t xml:space="preserve">SOPHIA GARCIA VITORELI BASSI DE CARVALHO</t>
  </si>
  <si>
    <t xml:space="preserve">6234546</t>
  </si>
  <si>
    <t xml:space="preserve">03853413188</t>
  </si>
  <si>
    <t xml:space="preserve">74810370</t>
  </si>
  <si>
    <t xml:space="preserve">RUA CASTORINA BITTENCOURT ALVES, 351. EDIFÍCIO THELMA MALHEIROS, AP. 301</t>
  </si>
  <si>
    <t xml:space="preserve">SOPHIAVITORELI@GMAIL.COM</t>
  </si>
  <si>
    <t xml:space="preserve">(62) 983021711</t>
  </si>
  <si>
    <t xml:space="preserve">HEVELLIM FELIX BRASILEIRO DA SILVA</t>
  </si>
  <si>
    <t xml:space="preserve">70801331145</t>
  </si>
  <si>
    <t xml:space="preserve">75180000</t>
  </si>
  <si>
    <t xml:space="preserve">SILVÂNIA</t>
  </si>
  <si>
    <t xml:space="preserve">RUA JOAQUIM BATISTA Q 54 LT 483, S/N. S/C</t>
  </si>
  <si>
    <t xml:space="preserve">DECO CORREIA</t>
  </si>
  <si>
    <t xml:space="preserve">HEVELLIM11@GMAIL.COM</t>
  </si>
  <si>
    <t xml:space="preserve">(62) 33322699</t>
  </si>
  <si>
    <t xml:space="preserve">(62) 999977744</t>
  </si>
  <si>
    <t xml:space="preserve">FACULDADE UNIDA DE CAMPINAS GOIÂNIA </t>
  </si>
  <si>
    <t xml:space="preserve">THIAGO SEDRIK VIEIRA DE ALMEIDA</t>
  </si>
  <si>
    <t xml:space="preserve">70206141165</t>
  </si>
  <si>
    <t xml:space="preserve">74675660</t>
  </si>
  <si>
    <t xml:space="preserve">RUA PITANGUI, 117. QUADRA 125, LOTE 14</t>
  </si>
  <si>
    <t xml:space="preserve">JARDIM GUANABARA</t>
  </si>
  <si>
    <t xml:space="preserve">THIAGOVIEIRA29@HOTMAIL.COM</t>
  </si>
  <si>
    <t xml:space="preserve">(62) 985351937</t>
  </si>
  <si>
    <t xml:space="preserve">PONTIFÍCIA UNIVERSIDADE CATÓLICA </t>
  </si>
  <si>
    <t xml:space="preserve">STHER WANDER PEREIRA DE SOUZA </t>
  </si>
  <si>
    <t xml:space="preserve">02775340202</t>
  </si>
  <si>
    <t xml:space="preserve">74643010</t>
  </si>
  <si>
    <t xml:space="preserve">AVENIDA ANHANGUERA, 45.  L16 Q13Z </t>
  </si>
  <si>
    <t xml:space="preserve">STHERWANDER@GMAIL.COM</t>
  </si>
  <si>
    <t xml:space="preserve">(62) 98280308</t>
  </si>
  <si>
    <t xml:space="preserve">(62) 981810740</t>
  </si>
  <si>
    <t xml:space="preserve">LUKKAHS ROCHESTER ASSIS CINTRA</t>
  </si>
  <si>
    <t xml:space="preserve">6198463</t>
  </si>
  <si>
    <t xml:space="preserve">03477692179</t>
  </si>
  <si>
    <t xml:space="preserve">74015090</t>
  </si>
  <si>
    <t xml:space="preserve">RUA DONA GERCINA BORGES TEIXEIRA 175 AP 301, 175. ED MONTE BRANCO </t>
  </si>
  <si>
    <t xml:space="preserve">XLYBF4@GMAIL.COM</t>
  </si>
  <si>
    <t xml:space="preserve">(62) 982037194</t>
  </si>
  <si>
    <t xml:space="preserve">UNIVERSO</t>
  </si>
  <si>
    <t xml:space="preserve">GABRIELA LUIZA DE SOUSA</t>
  </si>
  <si>
    <t xml:space="preserve">6350852</t>
  </si>
  <si>
    <t xml:space="preserve">70395082145</t>
  </si>
  <si>
    <t xml:space="preserve">74953300</t>
  </si>
  <si>
    <t xml:space="preserve">RUA DOS PAPAGAIOS Q52 L9, 52. LOTE 09 CASA</t>
  </si>
  <si>
    <t xml:space="preserve">PQ FLORESTA</t>
  </si>
  <si>
    <t xml:space="preserve">GABS.SOUSALD@GMAIL.COM</t>
  </si>
  <si>
    <t xml:space="preserve">(62) 35184478</t>
  </si>
  <si>
    <t xml:space="preserve">(62) 992855829</t>
  </si>
  <si>
    <t xml:space="preserve">PUC - GO </t>
  </si>
  <si>
    <t xml:space="preserve">03/05 - 15:30</t>
  </si>
  <si>
    <t xml:space="preserve">MARIA BEATRIZ GOMES DE OLIVEIRA</t>
  </si>
  <si>
    <t xml:space="preserve">3436434</t>
  </si>
  <si>
    <t xml:space="preserve">04679274131</t>
  </si>
  <si>
    <t xml:space="preserve">72912433</t>
  </si>
  <si>
    <t xml:space="preserve">ÁGUAS LINDAS DE GOIÁS</t>
  </si>
  <si>
    <t xml:space="preserve">QUADRA QUADRA 39, 39. PORTÃO BRANCO</t>
  </si>
  <si>
    <t xml:space="preserve">JARDIM GUAÍRA II</t>
  </si>
  <si>
    <t xml:space="preserve">BYAHLINDJA@GMAIL.COM</t>
  </si>
  <si>
    <t xml:space="preserve">(62) 36139758</t>
  </si>
  <si>
    <t xml:space="preserve">(61) 995297241</t>
  </si>
  <si>
    <t xml:space="preserve">CENTRO UNIVERSITÁRIO IESB</t>
  </si>
  <si>
    <t xml:space="preserve">INVIÁVEL ESTAGIAR EM GOIÂNIA</t>
  </si>
  <si>
    <t xml:space="preserve">WELLEN PINTO DO NASCIMENTO</t>
  </si>
  <si>
    <t xml:space="preserve">11615605</t>
  </si>
  <si>
    <t xml:space="preserve">01871036232</t>
  </si>
  <si>
    <t xml:space="preserve">74650030</t>
  </si>
  <si>
    <t xml:space="preserve">RUA COMENDADOR NEGRÃO DE LIMA, 151. PORTAL DOS LAGOS </t>
  </si>
  <si>
    <t xml:space="preserve">WELLEN.NASCIMENTO17@OUTLOOK.COM</t>
  </si>
  <si>
    <t xml:space="preserve">(62) 82688049</t>
  </si>
  <si>
    <t xml:space="preserve">(62) 982688049</t>
  </si>
  <si>
    <t xml:space="preserve">FACUNICAMPS</t>
  </si>
  <si>
    <t xml:space="preserve">IGOR ARROYO ALVES SUZUKI</t>
  </si>
  <si>
    <t xml:space="preserve">03682246193</t>
  </si>
  <si>
    <t xml:space="preserve">74850510</t>
  </si>
  <si>
    <t xml:space="preserve">AVENIDA NICOLAU COPÉRNICO, 1236. AVENIDA NICOLAU COPERNICO, QUADRA 01, LOTE 06</t>
  </si>
  <si>
    <t xml:space="preserve">IGORARROYO00@GMAIL.COM</t>
  </si>
  <si>
    <t xml:space="preserve">(62) 32492154</t>
  </si>
  <si>
    <t xml:space="preserve">(62) 985122166</t>
  </si>
  <si>
    <t xml:space="preserve">UNIP- UNIVERSIDADE PAULISTA</t>
  </si>
  <si>
    <t xml:space="preserve">GEOVANNA RIBEIRO DA SILVA COSTA</t>
  </si>
  <si>
    <t xml:space="preserve">70909932131</t>
  </si>
  <si>
    <t xml:space="preserve">74917540</t>
  </si>
  <si>
    <t xml:space="preserve">RUA MIRIM, S/N. CASA 02</t>
  </si>
  <si>
    <t xml:space="preserve">JARDIM MONT SERRAT</t>
  </si>
  <si>
    <t xml:space="preserve">GEOVIRIBEIRO@GMAIL.COM</t>
  </si>
  <si>
    <t xml:space="preserve">(62) 81735221</t>
  </si>
  <si>
    <t xml:space="preserve">(62) 981735221</t>
  </si>
  <si>
    <t xml:space="preserve">18/04 - 12:50  </t>
  </si>
  <si>
    <t xml:space="preserve">JOANA VITORIA FERREIRA SOUSA</t>
  </si>
  <si>
    <t xml:space="preserve">0489435320131</t>
  </si>
  <si>
    <t xml:space="preserve">61493564340</t>
  </si>
  <si>
    <t xml:space="preserve">74805552</t>
  </si>
  <si>
    <t xml:space="preserve">RUA 27 B, 15. AO LADO DA HAMBURGUERIA</t>
  </si>
  <si>
    <t xml:space="preserve">JARDIM GOIÁS - ÁREA I</t>
  </si>
  <si>
    <t xml:space="preserve">J.VITORIAFERRER@GMAIL.COM</t>
  </si>
  <si>
    <t xml:space="preserve">(83) 981475663</t>
  </si>
  <si>
    <t xml:space="preserve">E-mail enviado - optou pelo estágio na CAIXA</t>
  </si>
  <si>
    <t xml:space="preserve">RAQUEL GOMES FERREIRA</t>
  </si>
  <si>
    <t xml:space="preserve">03842625111</t>
  </si>
  <si>
    <t xml:space="preserve">72803430</t>
  </si>
  <si>
    <t xml:space="preserve">RUA ANTÔNIO DE OLIVEIRA MATOS, 05. ENFRENTE A QUADRA</t>
  </si>
  <si>
    <t xml:space="preserve">SETOR LESTE</t>
  </si>
  <si>
    <t xml:space="preserve">RAQUELGOMES248@GMAIL.COM</t>
  </si>
  <si>
    <t xml:space="preserve">(61) 36220923</t>
  </si>
  <si>
    <t xml:space="preserve">(61) 992016500</t>
  </si>
  <si>
    <t xml:space="preserve">FACULDADE PITÁGORAS </t>
  </si>
  <si>
    <t xml:space="preserve">DAYANE SOUSA SARTIN</t>
  </si>
  <si>
    <t xml:space="preserve">6588380</t>
  </si>
  <si>
    <t xml:space="preserve">70646728121</t>
  </si>
  <si>
    <t xml:space="preserve">74455090</t>
  </si>
  <si>
    <t xml:space="preserve">RUA GUARARAPES, 0. QUADRA 45 LOTE 05</t>
  </si>
  <si>
    <t xml:space="preserve">SÃO FRANCISCO</t>
  </si>
  <si>
    <t xml:space="preserve">DAYYSARTIN34@ICLOUD.COM</t>
  </si>
  <si>
    <t xml:space="preserve">(62) 32938313</t>
  </si>
  <si>
    <t xml:space="preserve">(62) 974000236</t>
  </si>
  <si>
    <t xml:space="preserve">ANA CLARA MELO DA SILVA FERRO</t>
  </si>
  <si>
    <t xml:space="preserve">6736503</t>
  </si>
  <si>
    <t xml:space="preserve">70788913174</t>
  </si>
  <si>
    <t xml:space="preserve">74303170</t>
  </si>
  <si>
    <t xml:space="preserve">RUA C83, 119. AO LADO DE UM ESCRITÓRIO DE ADVOCACIA </t>
  </si>
  <si>
    <t xml:space="preserve">SETOR SUDOESTE</t>
  </si>
  <si>
    <t xml:space="preserve">ANACLARAFERRO2000@GMAIL.COM</t>
  </si>
  <si>
    <t xml:space="preserve">(62) 32472392</t>
  </si>
  <si>
    <t xml:space="preserve">(62) 996868305</t>
  </si>
  <si>
    <t xml:space="preserve">CENTRO UNIVERSITÁRIO DE GOIÁS - UNIGOIÁS</t>
  </si>
  <si>
    <t xml:space="preserve">estudante informou que fica longe</t>
  </si>
  <si>
    <t xml:space="preserve">STEPHANIE AGNES LEAL ANDRADE</t>
  </si>
  <si>
    <t xml:space="preserve">6562721</t>
  </si>
  <si>
    <t xml:space="preserve">70383444128</t>
  </si>
  <si>
    <t xml:space="preserve">74914465</t>
  </si>
  <si>
    <t xml:space="preserve">RUA PRINCESA ISABEL,  0. QD 41-A LT 1/21</t>
  </si>
  <si>
    <t xml:space="preserve">JARDIM MARIA INÊS</t>
  </si>
  <si>
    <t xml:space="preserve">TETE.STEPHANIE15@GMAIL.COM</t>
  </si>
  <si>
    <t xml:space="preserve">(62) 32780435</t>
  </si>
  <si>
    <t xml:space="preserve">(62) 993067703</t>
  </si>
  <si>
    <t xml:space="preserve">VITOR CESAR FERREIRA PINHEIRO </t>
  </si>
  <si>
    <t xml:space="preserve">7121054</t>
  </si>
  <si>
    <t xml:space="preserve">02619001102</t>
  </si>
  <si>
    <t xml:space="preserve">72650200</t>
  </si>
  <si>
    <t xml:space="preserve">QUADRA QUADRA 802, 14A. A</t>
  </si>
  <si>
    <t xml:space="preserve">RECANTO DAS EMAS</t>
  </si>
  <si>
    <t xml:space="preserve">VITORSMITHPINHEIRO9@GMAIL.COM</t>
  </si>
  <si>
    <t xml:space="preserve">(61) 98100070</t>
  </si>
  <si>
    <t xml:space="preserve">(61) 998272699</t>
  </si>
  <si>
    <t xml:space="preserve">INSTITUTO DE ENSINO E PESQUISA DO PLANALTO CENTRAL LTDA - ME</t>
  </si>
  <si>
    <t xml:space="preserve">soliciou remanejamento</t>
  </si>
  <si>
    <t xml:space="preserve">JOAO MARCELO FERREIRA DE PAULA</t>
  </si>
  <si>
    <t xml:space="preserve">6125617</t>
  </si>
  <si>
    <t xml:space="preserve">70213414155</t>
  </si>
  <si>
    <t xml:space="preserve">75126300</t>
  </si>
  <si>
    <t xml:space="preserve">R NICE BATISTA, SN. QD 6 LT 40</t>
  </si>
  <si>
    <t xml:space="preserve">RESIDENCIAL BELA VISTA</t>
  </si>
  <si>
    <t xml:space="preserve">JMARCEELO9@GMAIL.COM</t>
  </si>
  <si>
    <t xml:space="preserve">(62) 993511936</t>
  </si>
  <si>
    <t xml:space="preserve">UNIVERSIDADE EVANGÉLICA DE GOIÁS </t>
  </si>
  <si>
    <t xml:space="preserve">BRUNO NERES REZENDE</t>
  </si>
  <si>
    <t xml:space="preserve">2620481</t>
  </si>
  <si>
    <t xml:space="preserve">01227446160</t>
  </si>
  <si>
    <t xml:space="preserve">72405135</t>
  </si>
  <si>
    <t xml:space="preserve">ÁREA ESPECIAL LADO LESTE, AP 1302. BLOCO A APT 1302 ED. ORION</t>
  </si>
  <si>
    <t xml:space="preserve">SETOR CENTRAL (GAMA)</t>
  </si>
  <si>
    <t xml:space="preserve">BNERES24@GMAIL.COM</t>
  </si>
  <si>
    <t xml:space="preserve">(61) 991002909</t>
  </si>
  <si>
    <t xml:space="preserve">CENTRO UNIVERSITÁRIO DO PLANALTO CENTRAL APPARECIDO DOS SANTOS - UNICEPLAC</t>
  </si>
  <si>
    <t xml:space="preserve">SUZANA RIBEIRO ZATTA</t>
  </si>
  <si>
    <t xml:space="preserve">6659299</t>
  </si>
  <si>
    <t xml:space="preserve">70586860177</t>
  </si>
  <si>
    <t xml:space="preserve">75261417</t>
  </si>
  <si>
    <t xml:space="preserve">RUA GUMERCINO NASCIMENTO, 1. QD. 8 B LT. 29</t>
  </si>
  <si>
    <t xml:space="preserve">JARDIM TODOS OS SANTOS</t>
  </si>
  <si>
    <t xml:space="preserve">SUZANARIBEIROZATTA@GMAIL.COM</t>
  </si>
  <si>
    <t xml:space="preserve">(62) 991308645</t>
  </si>
  <si>
    <t xml:space="preserve">GABRIELLA DOMINGOS PEIXOTO DA SILVA</t>
  </si>
  <si>
    <t xml:space="preserve">6623380</t>
  </si>
  <si>
    <t xml:space="preserve">70680480137</t>
  </si>
  <si>
    <t xml:space="preserve">74843470</t>
  </si>
  <si>
    <t xml:space="preserve">RUA PARANAGUÁ, 00. QD.114, LT.03</t>
  </si>
  <si>
    <t xml:space="preserve">JARDIM ATLÂNTICO</t>
  </si>
  <si>
    <t xml:space="preserve">GABRIELLADOMINGOS15@GMAIL.COM</t>
  </si>
  <si>
    <t xml:space="preserve">(62) 32804803</t>
  </si>
  <si>
    <t xml:space="preserve">(62) 996136006</t>
  </si>
  <si>
    <t xml:space="preserve">JENIFFER FERREIRA DE SOUZA</t>
  </si>
  <si>
    <t xml:space="preserve">6741968</t>
  </si>
  <si>
    <t xml:space="preserve">70794780148</t>
  </si>
  <si>
    <t xml:space="preserve">75369276</t>
  </si>
  <si>
    <t xml:space="preserve">GOIANIRA</t>
  </si>
  <si>
    <t xml:space="preserve">RUA BÁRBARA SILVEIRA, S/N. QD 1 A</t>
  </si>
  <si>
    <t xml:space="preserve">RESIDENCIAL MORUMBI</t>
  </si>
  <si>
    <t xml:space="preserve">JENIFFERFERREIRA.SOUZA2@GMAIL.COM</t>
  </si>
  <si>
    <t xml:space="preserve">(62) 94046406</t>
  </si>
  <si>
    <t xml:space="preserve">(62) 994044505</t>
  </si>
  <si>
    <t xml:space="preserve">KAUANI MIRANDA DOS SANTOS</t>
  </si>
  <si>
    <t xml:space="preserve">6571376</t>
  </si>
  <si>
    <t xml:space="preserve">70631527184</t>
  </si>
  <si>
    <t xml:space="preserve">74961500</t>
  </si>
  <si>
    <t xml:space="preserve">RUA 12, SN. QUADRA 105 LOTE 14</t>
  </si>
  <si>
    <t xml:space="preserve">KAUANISANTOS19.KS@GMAIL.COM</t>
  </si>
  <si>
    <t xml:space="preserve">(62) 995506250</t>
  </si>
  <si>
    <t xml:space="preserve">CENTRO UNIVERSITÁRIO ESTÁCIO DE GOIÁS</t>
  </si>
  <si>
    <t xml:space="preserve">JULIA SOUSA CAMPOS DA SILVEIRA SANTOS </t>
  </si>
  <si>
    <t xml:space="preserve">6956637</t>
  </si>
  <si>
    <t xml:space="preserve">06801449192</t>
  </si>
  <si>
    <t xml:space="preserve">74968458</t>
  </si>
  <si>
    <t xml:space="preserve">RUA NORMANDIA, S/N. QD. 84 LT. 26</t>
  </si>
  <si>
    <t xml:space="preserve">RESIDENCIAL VILLAGE GARAVELO - 2ª ETAPA</t>
  </si>
  <si>
    <t xml:space="preserve">JULIASOUSACAMPOS39@GMAIL.COM</t>
  </si>
  <si>
    <t xml:space="preserve">(62) 994948032</t>
  </si>
  <si>
    <t xml:space="preserve">IPOG - INSTITUTO DE PÓS-GRADUAÇÃO E GRADUAÇÃO </t>
  </si>
  <si>
    <t xml:space="preserve">VITOR TEODORO OLIVEIRA</t>
  </si>
  <si>
    <t xml:space="preserve">6556262</t>
  </si>
  <si>
    <t xml:space="preserve">04416299117</t>
  </si>
  <si>
    <t xml:space="preserve">RUA 4, SN. </t>
  </si>
  <si>
    <t xml:space="preserve">NOSSA SENHORA DE FÁTIMA </t>
  </si>
  <si>
    <t xml:space="preserve">VITORTEO16@GMAIL.COM</t>
  </si>
  <si>
    <t xml:space="preserve">(62) 33322686</t>
  </si>
  <si>
    <t xml:space="preserve">(62) 999780603</t>
  </si>
  <si>
    <t xml:space="preserve">UNIEVANGELICA </t>
  </si>
  <si>
    <t xml:space="preserve">THAINARA NASCIMENTO CÂNDIDO</t>
  </si>
  <si>
    <t xml:space="preserve">5774408</t>
  </si>
  <si>
    <t xml:space="preserve">75478706191</t>
  </si>
  <si>
    <t xml:space="preserve">74840460</t>
  </si>
  <si>
    <t xml:space="preserve">ALAMEDA IMBÉ, 1275. COND. GREEN VALLEY</t>
  </si>
  <si>
    <t xml:space="preserve">THAINARA.NC2409@GMAIL.COM</t>
  </si>
  <si>
    <t xml:space="preserve">(62) 982555075</t>
  </si>
  <si>
    <t xml:space="preserve">DHEYZIANE HIÊDA BRAGA SARAIVA</t>
  </si>
  <si>
    <t xml:space="preserve">5682988</t>
  </si>
  <si>
    <t xml:space="preserve">04365397133</t>
  </si>
  <si>
    <t xml:space="preserve">74952180</t>
  </si>
  <si>
    <t xml:space="preserve">RUA J 19, 21. QUADRA 32 LOTE 21</t>
  </si>
  <si>
    <t xml:space="preserve">MANSÕES PARAÍSO</t>
  </si>
  <si>
    <t xml:space="preserve">DAISABRAGA2016@GMAIL.COM</t>
  </si>
  <si>
    <t xml:space="preserve">(62) 99186150</t>
  </si>
  <si>
    <t xml:space="preserve">(62) 984153619</t>
  </si>
  <si>
    <t xml:space="preserve">CENTRO UNIVERSITÁRIO ALFREDO NASSER (UNIFAN)</t>
  </si>
  <si>
    <t xml:space="preserve">GRASIELE DE SOUSA OLIVEIRA</t>
  </si>
  <si>
    <t xml:space="preserve">6696142</t>
  </si>
  <si>
    <t xml:space="preserve">70757983162</t>
  </si>
  <si>
    <t xml:space="preserve">74948150</t>
  </si>
  <si>
    <t xml:space="preserve">RUA NOSSA SENHORA DA PENHA, 0. CHACARA 03 PODERES </t>
  </si>
  <si>
    <t xml:space="preserve">JARDIM ALTO PARAÍSO</t>
  </si>
  <si>
    <t xml:space="preserve">GRASIELEOLIVE1@GMAIL.COM</t>
  </si>
  <si>
    <t xml:space="preserve">(62) 982190218</t>
  </si>
  <si>
    <t xml:space="preserve">GABRIEL DA ROCHA SPERANDIO</t>
  </si>
  <si>
    <t xml:space="preserve">1441469</t>
  </si>
  <si>
    <t xml:space="preserve">04228505279</t>
  </si>
  <si>
    <t xml:space="preserve">74805350</t>
  </si>
  <si>
    <t xml:space="preserve">RUA 32, 915. PAÇO DAS ARTES</t>
  </si>
  <si>
    <t xml:space="preserve">GABRIELJIPA11@HOTMAIL.COM</t>
  </si>
  <si>
    <t xml:space="preserve">(62) 984540436</t>
  </si>
  <si>
    <t xml:space="preserve">PONTIFÍCIA UNIVERSIDADE CATOLICA DE GOIAS</t>
  </si>
  <si>
    <t xml:space="preserve">MARIA CLARA GAMA</t>
  </si>
  <si>
    <t xml:space="preserve">70024420158</t>
  </si>
  <si>
    <t xml:space="preserve">74015030</t>
  </si>
  <si>
    <t xml:space="preserve">RUA 13, 105. APTO 1002</t>
  </si>
  <si>
    <t xml:space="preserve">MARIACLARA25_@OUTLOOK.COM</t>
  </si>
  <si>
    <t xml:space="preserve">(62) 91474699</t>
  </si>
  <si>
    <t xml:space="preserve">(62) 994967777</t>
  </si>
  <si>
    <t xml:space="preserve">PONTÍFICIA UNIVERSIDADE CATÓLICA DE GOIÁS </t>
  </si>
  <si>
    <t xml:space="preserve">cursando o 4° semestre</t>
  </si>
  <si>
    <t xml:space="preserve">JACKELLYNE GONÇALVES DA SILVA</t>
  </si>
  <si>
    <t xml:space="preserve">6858795</t>
  </si>
  <si>
    <t xml:space="preserve">05908961132</t>
  </si>
  <si>
    <t xml:space="preserve">74655075</t>
  </si>
  <si>
    <t xml:space="preserve">AVENIDA COUTO MAGALHÃES, 977. CONDOMÍNIO QUINTA DAS OLIVEIRAS, BLOCO H</t>
  </si>
  <si>
    <t xml:space="preserve">VILA FRÓES</t>
  </si>
  <si>
    <t xml:space="preserve">JACKELLYNEGS@HOTMAIL.COM</t>
  </si>
  <si>
    <t xml:space="preserve">(62) 995198654</t>
  </si>
  <si>
    <t xml:space="preserve">AGATHA VITORIA GUIMARAES TEOFILO</t>
  </si>
  <si>
    <t xml:space="preserve">2310503</t>
  </si>
  <si>
    <t xml:space="preserve">05266911158</t>
  </si>
  <si>
    <t xml:space="preserve">74920785</t>
  </si>
  <si>
    <t xml:space="preserve">R MARIA DE LOURDES FERREIRA, 08. QD 18 LT 08</t>
  </si>
  <si>
    <t xml:space="preserve">PARQUE FLAMBOYANT</t>
  </si>
  <si>
    <t xml:space="preserve">AGATHAVIIT@GMAIL.COM</t>
  </si>
  <si>
    <t xml:space="preserve">(62) 32821465</t>
  </si>
  <si>
    <t xml:space="preserve">(62) 992754214</t>
  </si>
  <si>
    <t xml:space="preserve">CENTRO UNIVERSITÁRIO ALFREDO NASSER </t>
  </si>
  <si>
    <t xml:space="preserve">MATHEUS DE JESUS SILVA</t>
  </si>
  <si>
    <t xml:space="preserve">7244113</t>
  </si>
  <si>
    <t xml:space="preserve">04342572141</t>
  </si>
  <si>
    <t xml:space="preserve">74610155</t>
  </si>
  <si>
    <t xml:space="preserve">RUA 227-A, 256. QD 32 LT 01/14</t>
  </si>
  <si>
    <t xml:space="preserve">MATHEUS.JOMDJ@GMAIL.COM</t>
  </si>
  <si>
    <t xml:space="preserve">(62) 32610738</t>
  </si>
  <si>
    <t xml:space="preserve">(62) 993302495</t>
  </si>
  <si>
    <t xml:space="preserve">PUC GOIAS </t>
  </si>
  <si>
    <t xml:space="preserve">NICKOLAS ROBERT DE OLIVEIRA SOUZA</t>
  </si>
  <si>
    <t xml:space="preserve">6408206</t>
  </si>
  <si>
    <t xml:space="preserve">70469773138</t>
  </si>
  <si>
    <t xml:space="preserve">75094770</t>
  </si>
  <si>
    <t xml:space="preserve">RUA L-022, A. QD 47 LT 17</t>
  </si>
  <si>
    <t xml:space="preserve">NICKOLASOUZA71@GMAIL.COM</t>
  </si>
  <si>
    <t xml:space="preserve">(62) 33245598</t>
  </si>
  <si>
    <t xml:space="preserve">(62) 981825905</t>
  </si>
  <si>
    <t xml:space="preserve">EDUARDO VASCONCELOS SILVA</t>
  </si>
  <si>
    <t xml:space="preserve">7425025</t>
  </si>
  <si>
    <t xml:space="preserve">05595760214</t>
  </si>
  <si>
    <t xml:space="preserve">RUA PRINCESA ISABEL, 1. QD41 LT1\28 BL11 AP 301</t>
  </si>
  <si>
    <t xml:space="preserve">EDUARDOVASCONCELLOSP@GMAIL.COM</t>
  </si>
  <si>
    <t xml:space="preserve">(62) 986600040</t>
  </si>
  <si>
    <t xml:space="preserve">CENTRO UNIVERSITÁRIO SUL AMERICANO</t>
  </si>
  <si>
    <t xml:space="preserve">20/04 - 10:55</t>
  </si>
  <si>
    <t xml:space="preserve">INDYHORRANA VIEIRA DE SOUSA</t>
  </si>
  <si>
    <t xml:space="preserve">6645499</t>
  </si>
  <si>
    <t xml:space="preserve">05594541128</t>
  </si>
  <si>
    <t xml:space="preserve">74921231</t>
  </si>
  <si>
    <t xml:space="preserve">RUA LUIZ THOMAZI, 00. QUADRA-43 LOTE-20</t>
  </si>
  <si>
    <t xml:space="preserve">PARQUE TRINDADE</t>
  </si>
  <si>
    <t xml:space="preserve">INDYHORRANA7213VIEIRA@GMAIL.COM</t>
  </si>
  <si>
    <t xml:space="preserve">(64) 99943259</t>
  </si>
  <si>
    <t xml:space="preserve">(64) 984797213</t>
  </si>
  <si>
    <t xml:space="preserve">FACULDADE SUL AMERICANA - UNIFASAM</t>
  </si>
  <si>
    <t xml:space="preserve">YARITSSA MARTINS FERREIRA</t>
  </si>
  <si>
    <t xml:space="preserve">70797922156</t>
  </si>
  <si>
    <t xml:space="preserve">74490829</t>
  </si>
  <si>
    <t xml:space="preserve">VIA DE ACESSO 3, 87. RUA 3</t>
  </si>
  <si>
    <t xml:space="preserve">RESIDENCIAL BERTIM BELCHIOR 1ª ETAPA</t>
  </si>
  <si>
    <t xml:space="preserve">YARITSSAFERREIRA@GMAIL.COM</t>
  </si>
  <si>
    <t xml:space="preserve">(62) 993988055</t>
  </si>
  <si>
    <t xml:space="preserve">PUC GOIÁS </t>
  </si>
  <si>
    <t xml:space="preserve">JÚLIA BERNARDI RABELO</t>
  </si>
  <si>
    <t xml:space="preserve">6476269</t>
  </si>
  <si>
    <t xml:space="preserve">70544969146</t>
  </si>
  <si>
    <t xml:space="preserve">74075070</t>
  </si>
  <si>
    <t xml:space="preserve">RUA 1 A, 335. AP 602</t>
  </si>
  <si>
    <t xml:space="preserve">JULIARABELO598@GMAIL.COM</t>
  </si>
  <si>
    <t xml:space="preserve">(62) 981978720</t>
  </si>
  <si>
    <t xml:space="preserve">Solicitou final de lista</t>
  </si>
  <si>
    <t xml:space="preserve">KAUANNY XAVIER SOARES 26/12/2000</t>
  </si>
  <si>
    <t xml:space="preserve">70676781101</t>
  </si>
  <si>
    <t xml:space="preserve">74730180</t>
  </si>
  <si>
    <t xml:space="preserve">RUA 10, 10. </t>
  </si>
  <si>
    <t xml:space="preserve">CONJUNTO RIVIERA</t>
  </si>
  <si>
    <t xml:space="preserve">KAUXAVIERSOARES@GMAIL.COM</t>
  </si>
  <si>
    <t xml:space="preserve">(62) 85152173</t>
  </si>
  <si>
    <t xml:space="preserve">(62) 985152173</t>
  </si>
  <si>
    <t xml:space="preserve">MATEUS FELIPE DE OLIVEIRA</t>
  </si>
  <si>
    <t xml:space="preserve">6630064</t>
  </si>
  <si>
    <t xml:space="preserve">70683962167</t>
  </si>
  <si>
    <t xml:space="preserve">76160000</t>
  </si>
  <si>
    <t xml:space="preserve">SANCLERLÂNDIA</t>
  </si>
  <si>
    <t xml:space="preserve">RUA 5, S/N. Q13 L 6</t>
  </si>
  <si>
    <t xml:space="preserve">SERTOR GRAVILLE</t>
  </si>
  <si>
    <t xml:space="preserve">MATEUSFRAZAO31@GMAIL.COM</t>
  </si>
  <si>
    <t xml:space="preserve">(64) 93216348</t>
  </si>
  <si>
    <t xml:space="preserve">(64) 993216348</t>
  </si>
  <si>
    <t xml:space="preserve">CENTRO UNIVERSITÁRIO BRASÍLIA DE GOIÁS </t>
  </si>
  <si>
    <t xml:space="preserve">VERONICA FREITAS RIBEIRO</t>
  </si>
  <si>
    <t xml:space="preserve">00000000</t>
  </si>
  <si>
    <t xml:space="preserve">35908031852</t>
  </si>
  <si>
    <t xml:space="preserve">75890000</t>
  </si>
  <si>
    <t xml:space="preserve">SÃO SIMÃO</t>
  </si>
  <si>
    <t xml:space="preserve">RUA 14 Q 20 LT 17 CASA II , CASA II . CASA </t>
  </si>
  <si>
    <t xml:space="preserve">LIBERDADE II </t>
  </si>
  <si>
    <t xml:space="preserve">VERONICAFREITAS883@GMAIL.COM</t>
  </si>
  <si>
    <t xml:space="preserve">(64) 96663701</t>
  </si>
  <si>
    <t xml:space="preserve">FACULDADE FAQUI QUIRINÓPOLIS </t>
  </si>
  <si>
    <t xml:space="preserve">não mandou a doc.  no prazo.</t>
  </si>
  <si>
    <t xml:space="preserve">não deu retorno</t>
  </si>
  <si>
    <t xml:space="preserve">MARILIA DE OLIVEIRA ALVES</t>
  </si>
  <si>
    <t xml:space="preserve">04476401198</t>
  </si>
  <si>
    <t xml:space="preserve">71900100</t>
  </si>
  <si>
    <t xml:space="preserve">AVENIDA DAS CASTANHEIRAS, 0. QUADRA 104 LOTE 03 RES. COLINA AP 804 BL B</t>
  </si>
  <si>
    <t xml:space="preserve">NORTE (ÁGUAS CLARAS)</t>
  </si>
  <si>
    <t xml:space="preserve">M.OLIVEIRA17@HOTMAIL.COM</t>
  </si>
  <si>
    <t xml:space="preserve">(62) 999000969</t>
  </si>
  <si>
    <t xml:space="preserve">UNIVERSIDADE CATÓLICA DE BRASÍLIA </t>
  </si>
  <si>
    <t xml:space="preserve">CLARA CORIOLANO DA COSTA</t>
  </si>
  <si>
    <t xml:space="preserve">8036221</t>
  </si>
  <si>
    <t xml:space="preserve">05486577184</t>
  </si>
  <si>
    <t xml:space="preserve">74180010</t>
  </si>
  <si>
    <t xml:space="preserve">AVENIDA AMERICANO DO BRASIL, 100. BL A APT 303</t>
  </si>
  <si>
    <t xml:space="preserve">CLARACORIOLANO01@HOTMAIL.COM</t>
  </si>
  <si>
    <t xml:space="preserve">(62) 992544941</t>
  </si>
  <si>
    <t xml:space="preserve">MARCELO SCHINDEL COSTA</t>
  </si>
  <si>
    <t xml:space="preserve">5415863</t>
  </si>
  <si>
    <t xml:space="preserve">03307290126</t>
  </si>
  <si>
    <t xml:space="preserve">74350660</t>
  </si>
  <si>
    <t xml:space="preserve">ALAMEDA GILSON ALVES DE SOUZA, 00. QD. 229 LT. 06</t>
  </si>
  <si>
    <t xml:space="preserve">SETOR FAIÇALVILLE</t>
  </si>
  <si>
    <t xml:space="preserve">MARCELOUNDERLINESCHINDEL@GMAIL.COM</t>
  </si>
  <si>
    <t xml:space="preserve">(62) 996683131</t>
  </si>
  <si>
    <t xml:space="preserve">UEG - APARECIDA DE GOIÂNIA</t>
  </si>
  <si>
    <t xml:space="preserve">12/04 - 17:17</t>
  </si>
  <si>
    <t xml:space="preserve">EMANUELLE CRISTINA CAMPOS RODRIGUES</t>
  </si>
  <si>
    <t xml:space="preserve">19479783</t>
  </si>
  <si>
    <t xml:space="preserve">13189641641</t>
  </si>
  <si>
    <t xml:space="preserve">74367633</t>
  </si>
  <si>
    <t xml:space="preserve">AVENIDA RAVENA, 400. AP 902 TR 3 ED AGUA MARINHA</t>
  </si>
  <si>
    <t xml:space="preserve">RESIDENCIAL ELDORADO</t>
  </si>
  <si>
    <t xml:space="preserve">EMANUELLEC653@GMAIL.COM</t>
  </si>
  <si>
    <t xml:space="preserve">(33) 99930591</t>
  </si>
  <si>
    <t xml:space="preserve">(33) 999305917</t>
  </si>
  <si>
    <t xml:space="preserve">DÉBORA VICTÓRIA RODRIGUES SOUSA </t>
  </si>
  <si>
    <t xml:space="preserve">6835848</t>
  </si>
  <si>
    <t xml:space="preserve">07666207190</t>
  </si>
  <si>
    <t xml:space="preserve">75261486</t>
  </si>
  <si>
    <t xml:space="preserve">RUA 2, .. RUA 02 QUADRA 04 LOTE 14</t>
  </si>
  <si>
    <t xml:space="preserve">VILA BONSUCESSO</t>
  </si>
  <si>
    <t xml:space="preserve">DEBORAVICTORIA503@GMAIL.COM</t>
  </si>
  <si>
    <t xml:space="preserve">(62) 993601225</t>
  </si>
  <si>
    <t xml:space="preserve">UFG - UNIVERSIDADE FEDERAL DE GÓIAS </t>
  </si>
  <si>
    <t xml:space="preserve">12/04 - 18:26</t>
  </si>
  <si>
    <t xml:space="preserve">E-mail enviado - FALTA PLANO DE ATIVIDADES</t>
  </si>
  <si>
    <t xml:space="preserve">ARIANE BARBOSA E SILVA</t>
  </si>
  <si>
    <t xml:space="preserve">02570473103</t>
  </si>
  <si>
    <t xml:space="preserve">74914460</t>
  </si>
  <si>
    <t xml:space="preserve">RUA DAS OLIVEIRAS, SN. QD. 59, LT. 23</t>
  </si>
  <si>
    <t xml:space="preserve">ARIANE.BS12@GMAIL.COM</t>
  </si>
  <si>
    <t xml:space="preserve">(62) 32884719</t>
  </si>
  <si>
    <t xml:space="preserve">(62) 994386877</t>
  </si>
  <si>
    <t xml:space="preserve">ALFREDO NASSER </t>
  </si>
  <si>
    <t xml:space="preserve">AMANDA VIEIRA LELIS</t>
  </si>
  <si>
    <t xml:space="preserve">6510099</t>
  </si>
  <si>
    <t xml:space="preserve">70573295123</t>
  </si>
  <si>
    <t xml:space="preserve">74270230</t>
  </si>
  <si>
    <t xml:space="preserve">RUA C210, 352. QUADRA 517, LOTE 11</t>
  </si>
  <si>
    <t xml:space="preserve">AMANDALELIS221@GMAIL.COM</t>
  </si>
  <si>
    <t xml:space="preserve">(62) 32742761</t>
  </si>
  <si>
    <t xml:space="preserve">(62) 982617461</t>
  </si>
  <si>
    <t xml:space="preserve">GUSTAVO VIEIRA SANTOS</t>
  </si>
  <si>
    <t xml:space="preserve">6440312</t>
  </si>
  <si>
    <t xml:space="preserve">03648020145</t>
  </si>
  <si>
    <t xml:space="preserve">74920210</t>
  </si>
  <si>
    <t xml:space="preserve">RUA GASTÃO CRULS, S/N. Q 58 L 27</t>
  </si>
  <si>
    <t xml:space="preserve">CIDADE SATÉLITE SÃO LUIZ</t>
  </si>
  <si>
    <t xml:space="preserve">GUSTTAVOVS16@GMAIL.COM</t>
  </si>
  <si>
    <t xml:space="preserve">(62) 986084415</t>
  </si>
  <si>
    <t xml:space="preserve">IGOR MARTINS DUTRA DE OLIVEIRA</t>
  </si>
  <si>
    <t xml:space="preserve">7145496</t>
  </si>
  <si>
    <t xml:space="preserve">07613548163</t>
  </si>
  <si>
    <t xml:space="preserve">74375500</t>
  </si>
  <si>
    <t xml:space="preserve">RUA DAS CAMÉLIAS, 475. CONDOMÍNIO PAMPULHA, APTO 102, TORRE 3</t>
  </si>
  <si>
    <t xml:space="preserve">CONTATOIGORDUTRA@GMAIL.COM</t>
  </si>
  <si>
    <t xml:space="preserve">(62) 94467608</t>
  </si>
  <si>
    <t xml:space="preserve">(62) 994467608</t>
  </si>
  <si>
    <t xml:space="preserve">UNIGOIÁS</t>
  </si>
  <si>
    <t xml:space="preserve">THAINARA BARROSO DA COSTA</t>
  </si>
  <si>
    <t xml:space="preserve">06546571145</t>
  </si>
  <si>
    <t xml:space="preserve">74353240</t>
  </si>
  <si>
    <t xml:space="preserve">RUA PRESIDENTE JOSÉ LINHARES, 517. APARTAMENTO 306 NOROESTE</t>
  </si>
  <si>
    <t xml:space="preserve">THAINARA.COSTA40@OUTLOOK.COM</t>
  </si>
  <si>
    <t xml:space="preserve">(64) 992870599</t>
  </si>
  <si>
    <t xml:space="preserve">BÁRBARA FERNANDA MARTINS E SILVA</t>
  </si>
  <si>
    <t xml:space="preserve">05345859140</t>
  </si>
  <si>
    <t xml:space="preserve">74045155</t>
  </si>
  <si>
    <t xml:space="preserve">AVENIDA OESTE, 1700. RESIDENCIAL PORTAL DO OESTE </t>
  </si>
  <si>
    <t xml:space="preserve">BABI.BARBARAFERNANDA@GMAIL.COM</t>
  </si>
  <si>
    <t xml:space="preserve">(62) 996918482</t>
  </si>
  <si>
    <t xml:space="preserve">HEVELLY MARIA RODRIGUES COSTA</t>
  </si>
  <si>
    <t xml:space="preserve">6783466</t>
  </si>
  <si>
    <t xml:space="preserve">70462955141</t>
  </si>
  <si>
    <t xml:space="preserve">74475361</t>
  </si>
  <si>
    <t xml:space="preserve">RUA BM20, S/N. QD 19 LT 43</t>
  </si>
  <si>
    <t xml:space="preserve">RESIDENCIAL BRISAS DA MATA</t>
  </si>
  <si>
    <t xml:space="preserve">HEVELLYMRC@GMAIL.COM</t>
  </si>
  <si>
    <t xml:space="preserve">(62) 991027296</t>
  </si>
  <si>
    <t xml:space="preserve">CENTRO UNIVERSITÁRIO ESTÁCIO DE GOIÁS </t>
  </si>
  <si>
    <t xml:space="preserve">ISABELLA SOUSA OLIVEIRA</t>
  </si>
  <si>
    <t xml:space="preserve">05174264121</t>
  </si>
  <si>
    <t xml:space="preserve">75831029</t>
  </si>
  <si>
    <t xml:space="preserve">AVENIDA DAS NAÇÕES, 5. QD 22 LT 5</t>
  </si>
  <si>
    <t xml:space="preserve">ISABELLA.SOLIVEIRA001@GMAIL.COM</t>
  </si>
  <si>
    <t xml:space="preserve">(64) 999522066</t>
  </si>
  <si>
    <t xml:space="preserve">20/04 - 11:00</t>
  </si>
  <si>
    <t xml:space="preserve">VANESSA LEAL SILVA</t>
  </si>
  <si>
    <t xml:space="preserve">6816636</t>
  </si>
  <si>
    <t xml:space="preserve">70474229190</t>
  </si>
  <si>
    <t xml:space="preserve">74480600</t>
  </si>
  <si>
    <t xml:space="preserve">RUA JC20C, S/N. QUADRA 21 LOTE 14</t>
  </si>
  <si>
    <t xml:space="preserve">JARDIM CURITIBA</t>
  </si>
  <si>
    <t xml:space="preserve">VAVAH.LEAL.12@GMAIL.COM</t>
  </si>
  <si>
    <t xml:space="preserve">(62) 991182756</t>
  </si>
  <si>
    <t xml:space="preserve">SABRINA DOS REIS MOREIRA </t>
  </si>
  <si>
    <t xml:space="preserve">6730289</t>
  </si>
  <si>
    <t xml:space="preserve">07361976131</t>
  </si>
  <si>
    <t xml:space="preserve">74481715</t>
  </si>
  <si>
    <t xml:space="preserve">RUA AMADEUS, SN. QD 10 LT 10 CASA 1 </t>
  </si>
  <si>
    <t xml:space="preserve">RESIDENCIAL MANSÕES PARAÍSO</t>
  </si>
  <si>
    <t xml:space="preserve">MOREIRASABRINA910@GMAIL.COM</t>
  </si>
  <si>
    <t xml:space="preserve">(62) 981457350</t>
  </si>
  <si>
    <t xml:space="preserve">JOSILENE LUIZ CORDEIRO </t>
  </si>
  <si>
    <t xml:space="preserve">7355867</t>
  </si>
  <si>
    <t xml:space="preserve">71389597105</t>
  </si>
  <si>
    <t xml:space="preserve">74055210</t>
  </si>
  <si>
    <t xml:space="preserve">RUA 73, 149. </t>
  </si>
  <si>
    <t xml:space="preserve">JOSILENELUIZCORDEIRO3@GMAIL.COM</t>
  </si>
  <si>
    <t xml:space="preserve">(62) 999313601</t>
  </si>
  <si>
    <t xml:space="preserve">ANA CAROLINE OLIVEIRA DOS REIS </t>
  </si>
  <si>
    <t xml:space="preserve">61293260339</t>
  </si>
  <si>
    <t xml:space="preserve">71916000</t>
  </si>
  <si>
    <t xml:space="preserve">RUA 21, 0. RESIDENCIAL PALADIUM APTO 505 A</t>
  </si>
  <si>
    <t xml:space="preserve">C.O.REIS@HOTMAIL.COM</t>
  </si>
  <si>
    <t xml:space="preserve">(94) 92234922</t>
  </si>
  <si>
    <t xml:space="preserve">(94) 992234922</t>
  </si>
  <si>
    <t xml:space="preserve">ISCOM </t>
  </si>
  <si>
    <t xml:space="preserve">GUSTAVO PEREIRA DE SOUSA</t>
  </si>
  <si>
    <t xml:space="preserve">70347585140</t>
  </si>
  <si>
    <t xml:space="preserve">74565340</t>
  </si>
  <si>
    <t xml:space="preserve">RUA BOA VISTA, S/N. Q.3 L.4A CASA DE PORTÃO AMARELO</t>
  </si>
  <si>
    <t xml:space="preserve">SETOR URIAS MAGALHÃES</t>
  </si>
  <si>
    <t xml:space="preserve">GUSTAVOPERRE2019@GMAIL.COM</t>
  </si>
  <si>
    <t xml:space="preserve">(62) 92785112</t>
  </si>
  <si>
    <t xml:space="preserve">(62) 992785112</t>
  </si>
  <si>
    <t xml:space="preserve">UNIVERSIDADE SALGADO DE OLIVEIRA - UNIVERSO </t>
  </si>
  <si>
    <t xml:space="preserve">EDUARDO BORGES PEIXOTO</t>
  </si>
  <si>
    <t xml:space="preserve">3333255</t>
  </si>
  <si>
    <t xml:space="preserve">04163174133</t>
  </si>
  <si>
    <t xml:space="preserve">72876305</t>
  </si>
  <si>
    <t xml:space="preserve">VALPARAÍSO DE GOIÁS</t>
  </si>
  <si>
    <t xml:space="preserve">QUADRA QUADRA 5, 21. CASA</t>
  </si>
  <si>
    <t xml:space="preserve">PARQUE ESPLANADA III</t>
  </si>
  <si>
    <t xml:space="preserve">EBP504@GMAIL.COM</t>
  </si>
  <si>
    <t xml:space="preserve">(61) 985667978</t>
  </si>
  <si>
    <t xml:space="preserve">PROJEÇÃO </t>
  </si>
  <si>
    <t xml:space="preserve">GABRYELLA DE BORBA </t>
  </si>
  <si>
    <t xml:space="preserve">06903167129</t>
  </si>
  <si>
    <t xml:space="preserve">74815700</t>
  </si>
  <si>
    <t xml:space="preserve">AVENIDA SÃO JOÃO, 300. EM FRENTE AO COLÉGIO LOGOSÓFICO </t>
  </si>
  <si>
    <t xml:space="preserve">ALTO DA GLÓRIA</t>
  </si>
  <si>
    <t xml:space="preserve">GABRYELLABORBA48@GMAIL.COM</t>
  </si>
  <si>
    <t xml:space="preserve">(62) 984567871</t>
  </si>
  <si>
    <t xml:space="preserve">NAIARA DUARTE FERREIRA </t>
  </si>
  <si>
    <t xml:space="preserve">70858194139</t>
  </si>
  <si>
    <t xml:space="preserve">74413176</t>
  </si>
  <si>
    <t xml:space="preserve">RUA C 270, LOT 7 E 8. RESIDENCIAL LEAL II</t>
  </si>
  <si>
    <t xml:space="preserve">CIDADE JARDIM</t>
  </si>
  <si>
    <t xml:space="preserve">NAYARADUARTEORZ@GMAIL.COM</t>
  </si>
  <si>
    <t xml:space="preserve">(64) 99295477</t>
  </si>
  <si>
    <t xml:space="preserve">(64) 999295477</t>
  </si>
  <si>
    <t xml:space="preserve">ANDREZA APOLINÁRIA LEITE DE SOUZA</t>
  </si>
  <si>
    <t xml:space="preserve">3.641.821</t>
  </si>
  <si>
    <t xml:space="preserve">05915707181</t>
  </si>
  <si>
    <t xml:space="preserve">72460310</t>
  </si>
  <si>
    <t xml:space="preserve">QUADRA QUADRA 31, 187. </t>
  </si>
  <si>
    <t xml:space="preserve">SETOR LESTE (GAMA)</t>
  </si>
  <si>
    <t xml:space="preserve">ANDREZA.APOLINARIA@GMAIL.COM</t>
  </si>
  <si>
    <t xml:space="preserve">(61) 985067369</t>
  </si>
  <si>
    <t xml:space="preserve">UNICEPLAC - CENTRO EDUCACIONAL APPARECIDO DOS SANTOS</t>
  </si>
  <si>
    <t xml:space="preserve">LUANNA LORRAINY FLORIANO FUZETT</t>
  </si>
  <si>
    <t xml:space="preserve">6902022</t>
  </si>
  <si>
    <t xml:space="preserve">07788321125</t>
  </si>
  <si>
    <t xml:space="preserve">76255000</t>
  </si>
  <si>
    <t xml:space="preserve">MONTES CLAROS DE GOIÁS</t>
  </si>
  <si>
    <t xml:space="preserve">FAZENDA SÍTIO DAS FLORES , S/N. 14 KM DE MONTES CLAROS </t>
  </si>
  <si>
    <t xml:space="preserve">ZONA RURAL</t>
  </si>
  <si>
    <t xml:space="preserve">LUANNALORRAINY53@GMAIL.COM</t>
  </si>
  <si>
    <t xml:space="preserve">(62) 99918241</t>
  </si>
  <si>
    <t xml:space="preserve">(62) 999911142</t>
  </si>
  <si>
    <t xml:space="preserve">CENTRO UNIVERSITÁRIO UNICATHEDRAL </t>
  </si>
  <si>
    <t xml:space="preserve">LETICIA CLARA GOULART</t>
  </si>
  <si>
    <t xml:space="preserve">6859403</t>
  </si>
  <si>
    <t xml:space="preserve">07238066165</t>
  </si>
  <si>
    <t xml:space="preserve">74923420</t>
  </si>
  <si>
    <t xml:space="preserve">R FLAMBOYANT, 416. QD 35 LT 39</t>
  </si>
  <si>
    <t xml:space="preserve">JARDIM DOS BURITIS</t>
  </si>
  <si>
    <t xml:space="preserve">LECL2106@GMAIL.COM</t>
  </si>
  <si>
    <t xml:space="preserve">(62) 981279542</t>
  </si>
  <si>
    <t xml:space="preserve">PONTIFÍCIA CATÓLICA DO ESTADO DE GOIÁS</t>
  </si>
  <si>
    <t xml:space="preserve">MATHEUS</t>
  </si>
  <si>
    <t xml:space="preserve">03691593143</t>
  </si>
  <si>
    <t xml:space="preserve">RUA 32, 915. CONDOMINIO PAÇO DAS ARTES</t>
  </si>
  <si>
    <t xml:space="preserve">MATHEUSMIGNOSO@HOTMAIL.COM</t>
  </si>
  <si>
    <t xml:space="preserve">(66) 34684049</t>
  </si>
  <si>
    <t xml:space="preserve">(66) 984576092</t>
  </si>
  <si>
    <t xml:space="preserve">COOPERENSINO</t>
  </si>
  <si>
    <t xml:space="preserve">DEBORAH BATISTA NUNES</t>
  </si>
  <si>
    <t xml:space="preserve">6666989</t>
  </si>
  <si>
    <t xml:space="preserve">02771234106</t>
  </si>
  <si>
    <t xml:space="preserve">74393540</t>
  </si>
  <si>
    <t xml:space="preserve">RUA SR 13, 13. </t>
  </si>
  <si>
    <t xml:space="preserve">PARQUE SANTA RITA</t>
  </si>
  <si>
    <t xml:space="preserve">DEBORAHBATISTA2001@GMAIL.COM</t>
  </si>
  <si>
    <t xml:space="preserve">(62) 92140913</t>
  </si>
  <si>
    <t xml:space="preserve">(62) 992140913</t>
  </si>
  <si>
    <t xml:space="preserve">FELIPE FREITAS </t>
  </si>
  <si>
    <t xml:space="preserve">70801209188</t>
  </si>
  <si>
    <t xml:space="preserve">74333270</t>
  </si>
  <si>
    <t xml:space="preserve">AVENIDA AFONSO PENA, 820. CONDOMÍNIO VILLAS DO ATLÂNTICO </t>
  </si>
  <si>
    <t xml:space="preserve">JARDIM PLANALTO</t>
  </si>
  <si>
    <t xml:space="preserve">FELIPEFREITAS179@GMAIL.COM</t>
  </si>
  <si>
    <t xml:space="preserve">(62) 986244080</t>
  </si>
  <si>
    <t xml:space="preserve">PUC</t>
  </si>
  <si>
    <t xml:space="preserve">LETHÍCIA DE ALMEIDA MORAIS</t>
  </si>
  <si>
    <t xml:space="preserve">6885616</t>
  </si>
  <si>
    <t xml:space="preserve">03924964106</t>
  </si>
  <si>
    <t xml:space="preserve">74210060</t>
  </si>
  <si>
    <t xml:space="preserve">RUA T 30, 1284. RESIDENCIAL BUENO PARK</t>
  </si>
  <si>
    <t xml:space="preserve">LETHICIA.MORAIS10@OUTLOOK.COM</t>
  </si>
  <si>
    <t xml:space="preserve">(62) 982332210</t>
  </si>
  <si>
    <t xml:space="preserve">MARIA LUÍSA MORAIS GOMES</t>
  </si>
  <si>
    <t xml:space="preserve">70501871195</t>
  </si>
  <si>
    <t xml:space="preserve">74464135</t>
  </si>
  <si>
    <t xml:space="preserve">RUA RIO DAS GARÇAS, 02. QD 02 LOTE 30</t>
  </si>
  <si>
    <t xml:space="preserve">JARDIM NOVO PETRÓPOLIS</t>
  </si>
  <si>
    <t xml:space="preserve">MARIALUISAMORAISGOMES@GMAIL.COM</t>
  </si>
  <si>
    <t xml:space="preserve">(62) 982898993</t>
  </si>
  <si>
    <t xml:space="preserve">HEVELLIN PAES OLIVEIRA</t>
  </si>
  <si>
    <t xml:space="preserve">00225515229</t>
  </si>
  <si>
    <t xml:space="preserve">74810240</t>
  </si>
  <si>
    <t xml:space="preserve">RUA 56, 126. RESIDENCIAL MORADA CAMPESTRE APT. 103</t>
  </si>
  <si>
    <t xml:space="preserve">HEVELLINPAEES@HOTMAIL.COM</t>
  </si>
  <si>
    <t xml:space="preserve">(91) 991146899</t>
  </si>
  <si>
    <t xml:space="preserve">CURSANDO O NÍVEL SUPERIOR </t>
  </si>
  <si>
    <t xml:space="preserve">IZADORA LUIZ ALVES DA SILVA</t>
  </si>
  <si>
    <t xml:space="preserve">03066855155</t>
  </si>
  <si>
    <t xml:space="preserve">74922660</t>
  </si>
  <si>
    <t xml:space="preserve">RUA X 24, 000000. QD.59; LT:11</t>
  </si>
  <si>
    <t xml:space="preserve">SÍTIOS SANTA LUZIA</t>
  </si>
  <si>
    <t xml:space="preserve">IZADORALUIZ15@GMAIL.COM</t>
  </si>
  <si>
    <t xml:space="preserve">(62) 995322763</t>
  </si>
  <si>
    <t xml:space="preserve">DEFICIÊNCIA MOTORA NA MÃO DIREITA </t>
  </si>
  <si>
    <t xml:space="preserve">CURSANDO ENSINO SUPERIOR </t>
  </si>
  <si>
    <t xml:space="preserve">DEFICIENTE</t>
  </si>
  <si>
    <t xml:space="preserve">12/04 - 16:10</t>
  </si>
  <si>
    <t xml:space="preserve">JHULLY EMILLY DA SILVA ABREU</t>
  </si>
  <si>
    <t xml:space="preserve">70848170180</t>
  </si>
  <si>
    <t xml:space="preserve">74477734</t>
  </si>
  <si>
    <t xml:space="preserve">VIA DE ACESSO 7, 183. 183</t>
  </si>
  <si>
    <t xml:space="preserve">FAZENDA SÃO DOMINGOS - CONJUNTO RESIDENCIAL CAMPO BELO</t>
  </si>
  <si>
    <t xml:space="preserve">JHULLYNHA9170EMYY@GMAIL.COM</t>
  </si>
  <si>
    <t xml:space="preserve">(62) 35764783</t>
  </si>
  <si>
    <t xml:space="preserve">(62) 991706434</t>
  </si>
  <si>
    <t xml:space="preserve">MARIA AMÉLIA FREITAS DOS SANTOS</t>
  </si>
  <si>
    <t xml:space="preserve">00536805105</t>
  </si>
  <si>
    <t xml:space="preserve">79570000</t>
  </si>
  <si>
    <t xml:space="preserve">MS</t>
  </si>
  <si>
    <t xml:space="preserve">APARECIDA DO TABOADO</t>
  </si>
  <si>
    <t xml:space="preserve">AVENIDA PRESIDENTE VARGAS, 4471. </t>
  </si>
  <si>
    <t xml:space="preserve">MARIAFREITAS2307@ICLOUD.COM</t>
  </si>
  <si>
    <t xml:space="preserve">(67) 81191530</t>
  </si>
  <si>
    <t xml:space="preserve">(67) 981191530</t>
  </si>
  <si>
    <t xml:space="preserve">CENTRO UNIVERSITÁRIO DE SANTA FÉ DO SUL/SP</t>
  </si>
  <si>
    <t xml:space="preserve">mora em outro estado</t>
  </si>
  <si>
    <t xml:space="preserve">SABRYNA JULIA GONÇALVES DE OLIVEIRA </t>
  </si>
  <si>
    <t xml:space="preserve">07517285190</t>
  </si>
  <si>
    <t xml:space="preserve">74175110</t>
  </si>
  <si>
    <t xml:space="preserve">RUA 1122, 50. AP. 202 B</t>
  </si>
  <si>
    <t xml:space="preserve">SABRYNAJULIA1@GMAIL.COM</t>
  </si>
  <si>
    <t xml:space="preserve">(62) 996339264</t>
  </si>
  <si>
    <t xml:space="preserve">NICOLE DUARTE BELTRAO</t>
  </si>
  <si>
    <t xml:space="preserve">6238835</t>
  </si>
  <si>
    <t xml:space="preserve">06371320173</t>
  </si>
  <si>
    <t xml:space="preserve">74354647</t>
  </si>
  <si>
    <t xml:space="preserve">R JCA 30, 7. QUADRA 60</t>
  </si>
  <si>
    <t xml:space="preserve">JARDIM CARAVELAS</t>
  </si>
  <si>
    <t xml:space="preserve">DUARTENICOLE18@GMAIL.COM</t>
  </si>
  <si>
    <t xml:space="preserve">(62) 32896726</t>
  </si>
  <si>
    <t xml:space="preserve">(62) 999625518</t>
  </si>
  <si>
    <t xml:space="preserve">NATHALYA CAROLINE SILVA</t>
  </si>
  <si>
    <t xml:space="preserve">6110162</t>
  </si>
  <si>
    <t xml:space="preserve">70198782101</t>
  </si>
  <si>
    <t xml:space="preserve">74976020</t>
  </si>
  <si>
    <t xml:space="preserve">AV BRASIL, 00. BL 4 AP 205 COND FLORA PARK</t>
  </si>
  <si>
    <t xml:space="preserve">JARDIM BELO HORIZONTE</t>
  </si>
  <si>
    <t xml:space="preserve">NATHALYA.CAROLINE@HOTMAIL.COM</t>
  </si>
  <si>
    <t xml:space="preserve">(62) 35845990</t>
  </si>
  <si>
    <t xml:space="preserve">(62) 983224965</t>
  </si>
  <si>
    <t xml:space="preserve">UNIFASAM - CENTRO UNIVERSITÁRIO SUL-AMERICANO</t>
  </si>
  <si>
    <t xml:space="preserve">GUILHERME AUGUSTO ALVES NASCENTE</t>
  </si>
  <si>
    <t xml:space="preserve">147801</t>
  </si>
  <si>
    <t xml:space="preserve">07302099111</t>
  </si>
  <si>
    <t xml:space="preserve">74780560</t>
  </si>
  <si>
    <t xml:space="preserve">RUA VIEIRA CUNHA, SN. QD 14 LT 31</t>
  </si>
  <si>
    <t xml:space="preserve">PARQUE DAS AMENDOEIRAS</t>
  </si>
  <si>
    <t xml:space="preserve">GUILHERME1673@OUTLOOK.COM</t>
  </si>
  <si>
    <t xml:space="preserve">(62) 36263370</t>
  </si>
  <si>
    <t xml:space="preserve">(62) 995708210</t>
  </si>
  <si>
    <t xml:space="preserve">LUÍS EDUARDO MENDONÇA MENDES</t>
  </si>
  <si>
    <t xml:space="preserve">6826963</t>
  </si>
  <si>
    <t xml:space="preserve">00979169194</t>
  </si>
  <si>
    <t xml:space="preserve">76385885</t>
  </si>
  <si>
    <t xml:space="preserve">GOIANÉSIA</t>
  </si>
  <si>
    <t xml:space="preserve">RUA BEIJA-FLOR, 15. CASA</t>
  </si>
  <si>
    <t xml:space="preserve">AMIGO</t>
  </si>
  <si>
    <t xml:space="preserve">LUISEDUARDOMMENDES@GMAIL.COM</t>
  </si>
  <si>
    <t xml:space="preserve">(62) 81592734</t>
  </si>
  <si>
    <t xml:space="preserve">(62) 981592734</t>
  </si>
  <si>
    <t xml:space="preserve">FACULDADE EVANGÉLICA DE GOIANÉSIA - FACEG</t>
  </si>
  <si>
    <t xml:space="preserve">NÃO PODE ESTAGIAR EM GOIÂNIA</t>
  </si>
  <si>
    <t xml:space="preserve">JOÃO VICTOR HOSOKAWA AGUIAR </t>
  </si>
  <si>
    <t xml:space="preserve">06466233111</t>
  </si>
  <si>
    <t xml:space="preserve">74275080</t>
  </si>
  <si>
    <t xml:space="preserve">RUA C149, 700. </t>
  </si>
  <si>
    <t xml:space="preserve">HOSOKAWAAGUIAR123@HOTMAIL.COM</t>
  </si>
  <si>
    <t xml:space="preserve">(62) 33851316</t>
  </si>
  <si>
    <t xml:space="preserve">(62) 981650630</t>
  </si>
  <si>
    <t xml:space="preserve">LEANDRA AGNES TOMÉ DA CRUZ </t>
  </si>
  <si>
    <t xml:space="preserve">6760685</t>
  </si>
  <si>
    <t xml:space="preserve">05907219173</t>
  </si>
  <si>
    <t xml:space="preserve">74343245</t>
  </si>
  <si>
    <t xml:space="preserve">RUA DO PARQUE, 135. Q 145 L. AREA 1</t>
  </si>
  <si>
    <t xml:space="preserve">LEANDRAAGNESHTI@GMAIL.COM</t>
  </si>
  <si>
    <t xml:space="preserve">(62) 994634010</t>
  </si>
  <si>
    <t xml:space="preserve">FACULDADE CAMBURY</t>
  </si>
  <si>
    <t xml:space="preserve">IGOR GONÇALVES VIEIRA</t>
  </si>
  <si>
    <t xml:space="preserve">70614684161</t>
  </si>
  <si>
    <t xml:space="preserve">74420230</t>
  </si>
  <si>
    <t xml:space="preserve">AVENIDA CONSOLAÇÃO, 00. CONDOMÍNIO RESIDENCIAL AGUAS CLARAS </t>
  </si>
  <si>
    <t xml:space="preserve">NOSSA SENHORA DE FÁTIMA</t>
  </si>
  <si>
    <t xml:space="preserve">IGOR.GONCALVESV200145@GMAIL.COM</t>
  </si>
  <si>
    <t xml:space="preserve">(62) 993885830</t>
  </si>
  <si>
    <t xml:space="preserve">ALÍCYA DYOVANNA</t>
  </si>
  <si>
    <t xml:space="preserve">9555065</t>
  </si>
  <si>
    <t xml:space="preserve">12899507680</t>
  </si>
  <si>
    <t xml:space="preserve">75513030</t>
  </si>
  <si>
    <t xml:space="preserve">ITUMBIARA</t>
  </si>
  <si>
    <t xml:space="preserve">RUA MINEIROS, 1717. SEGUNDA CASA DEPOIS DA ESQUINA</t>
  </si>
  <si>
    <t xml:space="preserve">JARDIM LIBERDADE</t>
  </si>
  <si>
    <t xml:space="preserve">ALICYA.DYOVANNA26@GMAIL.COM</t>
  </si>
  <si>
    <t xml:space="preserve">(64) 34337915</t>
  </si>
  <si>
    <t xml:space="preserve">(64) 999924471</t>
  </si>
  <si>
    <t xml:space="preserve">UNIFASC</t>
  </si>
  <si>
    <t xml:space="preserve">20/04 - 12:35</t>
  </si>
  <si>
    <t xml:space="preserve">KAROLAYNE FERREIRA COSTA DOS SANTOS </t>
  </si>
  <si>
    <t xml:space="preserve">70880076143</t>
  </si>
  <si>
    <t xml:space="preserve">74370763</t>
  </si>
  <si>
    <t xml:space="preserve">RUA RV 2, 00. PORTÃO VERDE</t>
  </si>
  <si>
    <t xml:space="preserve">RESIDENCIAL RIO VERDE</t>
  </si>
  <si>
    <t xml:space="preserve">KAROLSINHABJ@HOTMAIL.COM</t>
  </si>
  <si>
    <t xml:space="preserve">(62) 98459982</t>
  </si>
  <si>
    <t xml:space="preserve">(62) 984599822</t>
  </si>
  <si>
    <t xml:space="preserve">IGOR DE OLIVEIRA SOUSA SILVA </t>
  </si>
  <si>
    <t xml:space="preserve">71064090141</t>
  </si>
  <si>
    <t xml:space="preserve">RUA HORTÊNSIAS, 01. QD 17 LT 16</t>
  </si>
  <si>
    <t xml:space="preserve">JARDIM DOS GIRASSÓIS</t>
  </si>
  <si>
    <t xml:space="preserve">INGO.OLIVEIRA9185@GMAIL.COM</t>
  </si>
  <si>
    <t xml:space="preserve">(62) 992873327</t>
  </si>
  <si>
    <t xml:space="preserve">UNIFANAP</t>
  </si>
  <si>
    <t xml:space="preserve">GABRIELA RODRIGUES DE FREITAS</t>
  </si>
  <si>
    <t xml:space="preserve">70493177132</t>
  </si>
  <si>
    <t xml:space="preserve">74460010</t>
  </si>
  <si>
    <t xml:space="preserve">RUA ANDRÔMEDA, 0. Q13 L02</t>
  </si>
  <si>
    <t xml:space="preserve">JARDIM PETRÓPOLIS</t>
  </si>
  <si>
    <t xml:space="preserve">GABIFREITAS.2001@HOTMAIL.COM</t>
  </si>
  <si>
    <t xml:space="preserve">(62) 994096206</t>
  </si>
  <si>
    <t xml:space="preserve">UNIGOIÁS </t>
  </si>
  <si>
    <t xml:space="preserve">JANAYNA MONTEL DE OLIVEIRA</t>
  </si>
  <si>
    <t xml:space="preserve">06157523140</t>
  </si>
  <si>
    <t xml:space="preserve">76600000</t>
  </si>
  <si>
    <t xml:space="preserve">ABADIA DE GOIÁS</t>
  </si>
  <si>
    <t xml:space="preserve">RUA 2, QD. 2, LT. 4, APT. 7, 7. </t>
  </si>
  <si>
    <t xml:space="preserve">JARDIM VILA BOA</t>
  </si>
  <si>
    <t xml:space="preserve">JANAYNA_MONTEL@DISCENTE.UFG.BR</t>
  </si>
  <si>
    <t xml:space="preserve">(66) 98440756</t>
  </si>
  <si>
    <t xml:space="preserve">(66) 984407562</t>
  </si>
  <si>
    <t xml:space="preserve">12/04 - 18:37</t>
  </si>
  <si>
    <t xml:space="preserve">PAULO HENRIQUE FERREIRA DOS SANTOS</t>
  </si>
  <si>
    <t xml:space="preserve">6653156</t>
  </si>
  <si>
    <t xml:space="preserve">70713424150</t>
  </si>
  <si>
    <t xml:space="preserve">75195000</t>
  </si>
  <si>
    <t xml:space="preserve">BONFINÓPOLIS</t>
  </si>
  <si>
    <t xml:space="preserve">RUA: MARIA DE JESUS. QUADRA: 107 LOTE: 18 SETOR: JULIANA, 18. </t>
  </si>
  <si>
    <t xml:space="preserve">SETOR JULIANA</t>
  </si>
  <si>
    <t xml:space="preserve">ADMPAULO2001@GMAIL.COM</t>
  </si>
  <si>
    <t xml:space="preserve">(62) 985863021</t>
  </si>
  <si>
    <t xml:space="preserve">PONTIFÍCIA UNIVERSIDADE  CATÓLICA DE GOIÁS</t>
  </si>
  <si>
    <t xml:space="preserve">08/05 - 12:00</t>
  </si>
  <si>
    <t xml:space="preserve">LAYANE APARECIDA DE MORAIS</t>
  </si>
  <si>
    <t xml:space="preserve">6684089</t>
  </si>
  <si>
    <t xml:space="preserve">70747037108</t>
  </si>
  <si>
    <t xml:space="preserve">75393752</t>
  </si>
  <si>
    <t xml:space="preserve">RUA DEILANY LUMIM SANTANA, 0. RECANTO PARAÍBA </t>
  </si>
  <si>
    <t xml:space="preserve">RESIDENCIAL CLEO PINHEIRO</t>
  </si>
  <si>
    <t xml:space="preserve">LALAYANEMORAIS@HOTMAIL.COM</t>
  </si>
  <si>
    <t xml:space="preserve">(62) 85723308</t>
  </si>
  <si>
    <t xml:space="preserve">(62) 984694925</t>
  </si>
  <si>
    <t xml:space="preserve">INSTITUTO APHONSIANO DE ENSINO SUPERIOR</t>
  </si>
  <si>
    <t xml:space="preserve">20/04 - 12:29</t>
  </si>
  <si>
    <t xml:space="preserve">fez estágio no TJGO 2x.</t>
  </si>
  <si>
    <t xml:space="preserve">GILSON ABRAÃO FARIA DA COSTA</t>
  </si>
  <si>
    <t xml:space="preserve">70541511190</t>
  </si>
  <si>
    <t xml:space="preserve">74893770</t>
  </si>
  <si>
    <t xml:space="preserve">RUA BURITI, 7A. </t>
  </si>
  <si>
    <t xml:space="preserve">FORZAFIVE18@GMAIL.COM</t>
  </si>
  <si>
    <t xml:space="preserve">(62) 985301048</t>
  </si>
  <si>
    <t xml:space="preserve">MARIA KAROLINA GONÇALVES DE CARVALHO </t>
  </si>
  <si>
    <t xml:space="preserve">6959124</t>
  </si>
  <si>
    <t xml:space="preserve">71001211162</t>
  </si>
  <si>
    <t xml:space="preserve">74655230</t>
  </si>
  <si>
    <t xml:space="preserve">RUA HENRIQUE SILVA, 00. QUADRA I, LOTE 10 CRIMEIA LESTE</t>
  </si>
  <si>
    <t xml:space="preserve">MAAH0674@GMAIL.COM</t>
  </si>
  <si>
    <t xml:space="preserve">(62) 986065649</t>
  </si>
  <si>
    <t xml:space="preserve">UNIP </t>
  </si>
  <si>
    <t xml:space="preserve">KEMILY VITÓRIA SOUZA SANTOS</t>
  </si>
  <si>
    <t xml:space="preserve">07842664170</t>
  </si>
  <si>
    <t xml:space="preserve">74356060</t>
  </si>
  <si>
    <t xml:space="preserve">RUA RI 29, 000. Q. 112 L. 30 CASA O2</t>
  </si>
  <si>
    <t xml:space="preserve">RESIDENCIAL ITAIPU</t>
  </si>
  <si>
    <t xml:space="preserve">KEMILYSOUZA132001@GMAIL.COM</t>
  </si>
  <si>
    <t xml:space="preserve">(62) 81450477</t>
  </si>
  <si>
    <t xml:space="preserve">(62) 984473119</t>
  </si>
  <si>
    <t xml:space="preserve">HELOÍSA FRANCISCA ALENCAR SERRÃO </t>
  </si>
  <si>
    <t xml:space="preserve">60511266359</t>
  </si>
  <si>
    <t xml:space="preserve">74410080</t>
  </si>
  <si>
    <t xml:space="preserve">RUA 50, 66. 201</t>
  </si>
  <si>
    <t xml:space="preserve">SETOR CASTELO BRANCO</t>
  </si>
  <si>
    <t xml:space="preserve">HELOISA.FRANCISCA@ESTUDANTE.UNIARAGUAIA.EDU.BR</t>
  </si>
  <si>
    <t xml:space="preserve">(62) 85300696</t>
  </si>
  <si>
    <t xml:space="preserve">(62) 985300696</t>
  </si>
  <si>
    <t xml:space="preserve">FACULDADE UNIARAGUAIA</t>
  </si>
  <si>
    <t xml:space="preserve">HADASSA SILVA BEZERRA </t>
  </si>
  <si>
    <t xml:space="preserve">03870045132</t>
  </si>
  <si>
    <t xml:space="preserve">74820310</t>
  </si>
  <si>
    <t xml:space="preserve">RUA 1018, 275. </t>
  </si>
  <si>
    <t xml:space="preserve">SETOR PEDRO LUDOVICO</t>
  </si>
  <si>
    <t xml:space="preserve">HADASSASSILVA1@GMAIL.COM</t>
  </si>
  <si>
    <t xml:space="preserve">(62) 981002047</t>
  </si>
  <si>
    <t xml:space="preserve">não mandou a declaração certa no prazo</t>
  </si>
  <si>
    <t xml:space="preserve">MATHEUS MEDEIROS SEVILHA</t>
  </si>
  <si>
    <t xml:space="preserve">6648305</t>
  </si>
  <si>
    <t xml:space="preserve">70482096152</t>
  </si>
  <si>
    <t xml:space="preserve">74630130</t>
  </si>
  <si>
    <t xml:space="preserve">RUA 7, S/N. QUADRA 10; LOTE 13-A; CASA-1</t>
  </si>
  <si>
    <t xml:space="preserve">PARQUE INDUSTRIAL DE GOIÂNIA</t>
  </si>
  <si>
    <t xml:space="preserve">MATHEUSMEDEIROS.SEVILHA720@GMAIL.COM</t>
  </si>
  <si>
    <t xml:space="preserve">(62) 998195582</t>
  </si>
  <si>
    <t xml:space="preserve">BRUNA MOREIRA CAMPOS</t>
  </si>
  <si>
    <t xml:space="preserve">3858475</t>
  </si>
  <si>
    <t xml:space="preserve">07687097173</t>
  </si>
  <si>
    <t xml:space="preserve">74603110</t>
  </si>
  <si>
    <t xml:space="preserve">RUA 218, 115. QD 68 LOTES 1/2</t>
  </si>
  <si>
    <t xml:space="preserve">BRUNAMOREIRACAMPOS01@GMAIL.COM</t>
  </si>
  <si>
    <t xml:space="preserve">(61) 39821017</t>
  </si>
  <si>
    <t xml:space="preserve">(61) 994213466</t>
  </si>
  <si>
    <t xml:space="preserve">JÚLIA MEDEIROS PEREZ BORGES </t>
  </si>
  <si>
    <t xml:space="preserve">6893846</t>
  </si>
  <si>
    <t xml:space="preserve">02025332203</t>
  </si>
  <si>
    <t xml:space="preserve">74045120</t>
  </si>
  <si>
    <t xml:space="preserve">RUA 72, 377. ED. PAULA REGINA, AP 302</t>
  </si>
  <si>
    <t xml:space="preserve">JUH8116@GMAIL.COM</t>
  </si>
  <si>
    <t xml:space="preserve">(62) 991487445</t>
  </si>
  <si>
    <t xml:space="preserve">GREICIELLE DA SILVA CORDEIRO</t>
  </si>
  <si>
    <t xml:space="preserve">05504247179</t>
  </si>
  <si>
    <t xml:space="preserve">73805256</t>
  </si>
  <si>
    <t xml:space="preserve">FORMOSA</t>
  </si>
  <si>
    <t xml:space="preserve">RUA 6, 303. </t>
  </si>
  <si>
    <t xml:space="preserve">JARDIM OLIVEIRA</t>
  </si>
  <si>
    <t xml:space="preserve">GREICIELLYCORDEIRO12@GMAIL.COM</t>
  </si>
  <si>
    <t xml:space="preserve">(61) 999451444</t>
  </si>
  <si>
    <t xml:space="preserve">FACULDADES INTEGRADAS IESGO</t>
  </si>
  <si>
    <t xml:space="preserve">JÁ É CONTRATADA PELO TJ</t>
  </si>
  <si>
    <t xml:space="preserve">ISABELLE CRISTHINE PEDROSO DE OLIVEIRA</t>
  </si>
  <si>
    <t xml:space="preserve">29146712</t>
  </si>
  <si>
    <t xml:space="preserve">06362322126</t>
  </si>
  <si>
    <t xml:space="preserve">74843550</t>
  </si>
  <si>
    <t xml:space="preserve">RUA CORONEL LUIZ SAMPAIO, 311. QD 08 LT 01</t>
  </si>
  <si>
    <t xml:space="preserve">BELAPEDROSO364@GMAIL.COM</t>
  </si>
  <si>
    <t xml:space="preserve">(62) 993980703</t>
  </si>
  <si>
    <t xml:space="preserve">Não mandou a decla. no prazo</t>
  </si>
  <si>
    <t xml:space="preserve">AMANDA MARIA FERREIRA DE SOUSA </t>
  </si>
  <si>
    <t xml:space="preserve">07002255100</t>
  </si>
  <si>
    <t xml:space="preserve">72156111</t>
  </si>
  <si>
    <t xml:space="preserve">QUADRA QNL 10 BLOCO A, 6199857516. EM FRENTE A PADARIA CIRANDINHA</t>
  </si>
  <si>
    <t xml:space="preserve">TAGUATINGA NORTE (TAGUATINGA)</t>
  </si>
  <si>
    <t xml:space="preserve">AMANDAMARIAF2002@GMAIL.COM</t>
  </si>
  <si>
    <t xml:space="preserve">(61) 999857516</t>
  </si>
  <si>
    <t xml:space="preserve">FACULDADE PROJEÇÃO </t>
  </si>
  <si>
    <t xml:space="preserve">MORA LONGE</t>
  </si>
  <si>
    <t xml:space="preserve">JOSÉ RANDER MOURA MEIRELES </t>
  </si>
  <si>
    <t xml:space="preserve">70706601114</t>
  </si>
  <si>
    <t xml:space="preserve">74917220</t>
  </si>
  <si>
    <t xml:space="preserve">RUA DOS PALMITOS, 182. QUADR 15 LOTE 63</t>
  </si>
  <si>
    <t xml:space="preserve">VILA CRUZEIRO DO SUL</t>
  </si>
  <si>
    <t xml:space="preserve">JOSERANDER11@GMAIL.COM</t>
  </si>
  <si>
    <t xml:space="preserve">(62) 98272943</t>
  </si>
  <si>
    <t xml:space="preserve">(62) 982729439</t>
  </si>
  <si>
    <t xml:space="preserve">KAROLINE PINHEIRO SIQUEIRA </t>
  </si>
  <si>
    <t xml:space="preserve">07571791189</t>
  </si>
  <si>
    <t xml:space="preserve">76200000</t>
  </si>
  <si>
    <t xml:space="preserve">IPORÁ</t>
  </si>
  <si>
    <t xml:space="preserve">RUA ANICUNS, 0. PRÓXIMO AO SUPERMERCADO SUPER 10</t>
  </si>
  <si>
    <t xml:space="preserve">NOVO HORIZONTE 1</t>
  </si>
  <si>
    <t xml:space="preserve">KAROLINEPINHEIROSIQUEIRA@GMAIL.COM</t>
  </si>
  <si>
    <t xml:space="preserve">(62) 998678038</t>
  </si>
  <si>
    <t xml:space="preserve">FACULDADE DE IPORA</t>
  </si>
  <si>
    <t xml:space="preserve">AARON BORÉM DUARTE MARTINS</t>
  </si>
  <si>
    <t xml:space="preserve">5188730</t>
  </si>
  <si>
    <t xml:space="preserve">07710201121</t>
  </si>
  <si>
    <t xml:space="preserve">74655200</t>
  </si>
  <si>
    <t xml:space="preserve">AVENIDA COUTO MAGALHÃES, 977. COND 5 DAS OLIVEIRAS</t>
  </si>
  <si>
    <t xml:space="preserve">VILA FRÓES ( GOIÂNIA)</t>
  </si>
  <si>
    <t xml:space="preserve">AARONBOREM@HOTMAIL.COM</t>
  </si>
  <si>
    <t xml:space="preserve">(62) 985469737</t>
  </si>
  <si>
    <t xml:space="preserve">UDALINO LUCAS VILELA MONTEIRO</t>
  </si>
  <si>
    <t xml:space="preserve">70574968180</t>
  </si>
  <si>
    <t xml:space="preserve">75836608</t>
  </si>
  <si>
    <t xml:space="preserve">RUA 4, 0. RUA 4 Q8 LT2A</t>
  </si>
  <si>
    <t xml:space="preserve">MARCELINO TEODORO GOMES</t>
  </si>
  <si>
    <t xml:space="preserve">LUCAS2002VILELA@GMAIL.COM</t>
  </si>
  <si>
    <t xml:space="preserve">(64) 999710345</t>
  </si>
  <si>
    <t xml:space="preserve">CENTRO UNIVERSITÁRIO DE MINEIROS </t>
  </si>
  <si>
    <t xml:space="preserve">JOICY DOS SANTOS MOREIRA</t>
  </si>
  <si>
    <t xml:space="preserve">6872883</t>
  </si>
  <si>
    <t xml:space="preserve">70894356100</t>
  </si>
  <si>
    <t xml:space="preserve">75369091</t>
  </si>
  <si>
    <t xml:space="preserve">RUA T-16, SN. QD 05 LOTE 16</t>
  </si>
  <si>
    <t xml:space="preserve">RESIDENCIAL TRIUNFO II</t>
  </si>
  <si>
    <t xml:space="preserve">JOICYDOSSANTOS14@GMAIL.COM</t>
  </si>
  <si>
    <t xml:space="preserve">(62) 994774159</t>
  </si>
  <si>
    <t xml:space="preserve">UNIGOIÁS - CENTRO UNIVERSITÁRIO DE GOIÁS</t>
  </si>
  <si>
    <t xml:space="preserve">KALITA MURIELY FERREIRA DE MORAIS</t>
  </si>
  <si>
    <t xml:space="preserve">07793185102</t>
  </si>
  <si>
    <t xml:space="preserve">74825140</t>
  </si>
  <si>
    <t xml:space="preserve">RUA 1047, SN. RUA 1046</t>
  </si>
  <si>
    <t xml:space="preserve">KALITAMURIELY449@GMAIL.COM</t>
  </si>
  <si>
    <t xml:space="preserve">(62) 995373175</t>
  </si>
  <si>
    <t xml:space="preserve">ENSINO SUPERIOR </t>
  </si>
  <si>
    <t xml:space="preserve">YASMIN FUJIOKA</t>
  </si>
  <si>
    <t xml:space="preserve">6599655</t>
  </si>
  <si>
    <t xml:space="preserve">05072833178</t>
  </si>
  <si>
    <t xml:space="preserve">74663270</t>
  </si>
  <si>
    <t xml:space="preserve">RUA DOS EUCALIPTOS, SN. QD.21 LT.23</t>
  </si>
  <si>
    <t xml:space="preserve">YASMINFUJIOKA123@GMAIL.COM</t>
  </si>
  <si>
    <t xml:space="preserve">(62) 36264461</t>
  </si>
  <si>
    <t xml:space="preserve">(62) 981208851</t>
  </si>
  <si>
    <t xml:space="preserve">PUC GOIÁS</t>
  </si>
  <si>
    <t xml:space="preserve">20/04 - 12:40</t>
  </si>
  <si>
    <t xml:space="preserve">JULLYA VIEIRA DE OLIVEIRA</t>
  </si>
  <si>
    <t xml:space="preserve">06751271140</t>
  </si>
  <si>
    <t xml:space="preserve">74210112</t>
  </si>
  <si>
    <t xml:space="preserve">RUA DIAMANTINA, 50. QD A LT 6 CASA 2</t>
  </si>
  <si>
    <t xml:space="preserve">VILA TEÓFILO NETO</t>
  </si>
  <si>
    <t xml:space="preserve">FABYANABA@HOTMAIL.COM</t>
  </si>
  <si>
    <t xml:space="preserve">(62) 99133729</t>
  </si>
  <si>
    <t xml:space="preserve">(62) 985408446</t>
  </si>
  <si>
    <t xml:space="preserve">PONTÍFICA UNIVERSIDADE CATÓLICA </t>
  </si>
  <si>
    <t xml:space="preserve">JOÃO PAULO BORGES ARRAES</t>
  </si>
  <si>
    <t xml:space="preserve">523167581</t>
  </si>
  <si>
    <t xml:space="preserve">70565032178</t>
  </si>
  <si>
    <t xml:space="preserve">74730160</t>
  </si>
  <si>
    <t xml:space="preserve">RUA 8, 0. QUADRA 16, LOTE 14, CASA 2</t>
  </si>
  <si>
    <t xml:space="preserve">JP.ARRAES@HOTMAIL.COM</t>
  </si>
  <si>
    <t xml:space="preserve">(62) 98153232</t>
  </si>
  <si>
    <t xml:space="preserve">(62) 982010623</t>
  </si>
  <si>
    <t xml:space="preserve">PONTIFÍCIA UNIVERSIDADE CATÓLICA</t>
  </si>
  <si>
    <t xml:space="preserve">estagiando no TJGO</t>
  </si>
  <si>
    <t xml:space="preserve">DANIELA ALVES DOS SANTOS </t>
  </si>
  <si>
    <t xml:space="preserve">08338816124</t>
  </si>
  <si>
    <t xml:space="preserve">74515030</t>
  </si>
  <si>
    <t xml:space="preserve">RUA JOSÉ HERMANO, S/N. QD. 06 LT. 21/22, CASA 01</t>
  </si>
  <si>
    <t xml:space="preserve">SETOR CAMPINAS</t>
  </si>
  <si>
    <t xml:space="preserve">DANIELAALVESDOSSANTOS8103@GMAIL.COM</t>
  </si>
  <si>
    <t xml:space="preserve">(62) 981033498</t>
  </si>
  <si>
    <t xml:space="preserve">IPOG - INSTITUTO DE PÓS-GRADUAÇÃO E GRADUAÇÃO LTDA </t>
  </si>
  <si>
    <t xml:space="preserve">DYOICE LENNYER FARIA OLIVEIRA </t>
  </si>
  <si>
    <t xml:space="preserve">70914691198</t>
  </si>
  <si>
    <t xml:space="preserve">75903015</t>
  </si>
  <si>
    <t xml:space="preserve">RIO VERDE</t>
  </si>
  <si>
    <t xml:space="preserve">RUA SÓ O AMOR CONSTRÓI, 152. PROLONGAMENTO </t>
  </si>
  <si>
    <t xml:space="preserve">ELDORADO</t>
  </si>
  <si>
    <t xml:space="preserve">DYIOCEFARIA2017@GMAIL.COM</t>
  </si>
  <si>
    <t xml:space="preserve">(64) 992008148</t>
  </si>
  <si>
    <t xml:space="preserve">CENTRO UNIVERSITÁRIO UNIBRASILIA </t>
  </si>
  <si>
    <t xml:space="preserve">LAYANE EVEN MENDONÇA CORRÊA </t>
  </si>
  <si>
    <t xml:space="preserve">01723155144</t>
  </si>
  <si>
    <t xml:space="preserve">75388692</t>
  </si>
  <si>
    <t xml:space="preserve">RUA CORONEL ANACLETO, 1347. </t>
  </si>
  <si>
    <t xml:space="preserve">LAYANEEVEN@ICLOUD.COM</t>
  </si>
  <si>
    <t xml:space="preserve">(62) 991344433</t>
  </si>
  <si>
    <t xml:space="preserve">IZADORA AZEVEDOS GOMES BARBOSA</t>
  </si>
  <si>
    <t xml:space="preserve">6465974</t>
  </si>
  <si>
    <t xml:space="preserve">70111432111</t>
  </si>
  <si>
    <t xml:space="preserve">74595223</t>
  </si>
  <si>
    <t xml:space="preserve">RUA FL 32, 209. </t>
  </si>
  <si>
    <t xml:space="preserve">PARQUE DAS FLORES</t>
  </si>
  <si>
    <t xml:space="preserve">IZAAZGOB8@GMAIL.COM</t>
  </si>
  <si>
    <t xml:space="preserve">(62) 983207765</t>
  </si>
  <si>
    <t xml:space="preserve">GEOVANA VITÓRIA REIS ALVES </t>
  </si>
  <si>
    <t xml:space="preserve">08060679180</t>
  </si>
  <si>
    <t xml:space="preserve">RUA 1122, 50. BLOCO B, APARTAMENTO 202</t>
  </si>
  <si>
    <t xml:space="preserve">GEOVANAVITORIAREISALVES@GMAIL.COM</t>
  </si>
  <si>
    <t xml:space="preserve">(62) 998068096</t>
  </si>
  <si>
    <t xml:space="preserve">JUAN RICARDO RIBEIRO PORTILHO DÂMASO</t>
  </si>
  <si>
    <t xml:space="preserve">08421027107</t>
  </si>
  <si>
    <t xml:space="preserve">74905142</t>
  </si>
  <si>
    <t xml:space="preserve">RUA APORÉ, 2. RESIDENCIAL BRASÍLIA SUL </t>
  </si>
  <si>
    <t xml:space="preserve">VILA BRASÍLIA SUL</t>
  </si>
  <si>
    <t xml:space="preserve">JUANRICARDODAMASO@GMAIL.COM</t>
  </si>
  <si>
    <t xml:space="preserve">(62) 985882603</t>
  </si>
  <si>
    <t xml:space="preserve">RAFAELA BEATRIZ QUEIROZ DA SILVA</t>
  </si>
  <si>
    <t xml:space="preserve">07179216119</t>
  </si>
  <si>
    <t xml:space="preserve">74916190</t>
  </si>
  <si>
    <t xml:space="preserve">AVENIDA BARÃO DO RIO BRANCO, 0. QDR. 23, AREA 1</t>
  </si>
  <si>
    <t xml:space="preserve">JARDIM NOVA ERA</t>
  </si>
  <si>
    <t xml:space="preserve">RAFAELABQS@GMAIL.COM</t>
  </si>
  <si>
    <t xml:space="preserve">(62) 32188298</t>
  </si>
  <si>
    <t xml:space="preserve">(62) 986193703</t>
  </si>
  <si>
    <t xml:space="preserve">UNIVERSIDADE FEDERAL DE GOIÁS</t>
  </si>
  <si>
    <t xml:space="preserve">YAN CHIACCHIO CANDIDO</t>
  </si>
  <si>
    <t xml:space="preserve">14848657660</t>
  </si>
  <si>
    <t xml:space="preserve">74810130</t>
  </si>
  <si>
    <t xml:space="preserve">RUA 6, 109. 301B</t>
  </si>
  <si>
    <t xml:space="preserve">YANCHIACCHIO@GMAIL.COM</t>
  </si>
  <si>
    <t xml:space="preserve">(62) 986275597</t>
  </si>
  <si>
    <t xml:space="preserve">SAMIRYS MENDONÇA SILVA</t>
  </si>
  <si>
    <t xml:space="preserve">04342738139</t>
  </si>
  <si>
    <t xml:space="preserve">75255100</t>
  </si>
  <si>
    <t xml:space="preserve">RUA T 7, S/N. PRÓX. À RUA DA FEIRA</t>
  </si>
  <si>
    <t xml:space="preserve">CONJUNTO HABITACIONAL NOVA MORADA</t>
  </si>
  <si>
    <t xml:space="preserve">MENDONCASAMIRYS@GMAIL.COM</t>
  </si>
  <si>
    <t xml:space="preserve">(62) 981342404</t>
  </si>
  <si>
    <t xml:space="preserve">NARYELLE APARECIDA MARTINS FERNANDES DE FREITAS</t>
  </si>
  <si>
    <t xml:space="preserve">11813264600</t>
  </si>
  <si>
    <t xml:space="preserve">75710440</t>
  </si>
  <si>
    <t xml:space="preserve">CATALÃO</t>
  </si>
  <si>
    <t xml:space="preserve">AVENIDA TIRADENTES, 711. </t>
  </si>
  <si>
    <t xml:space="preserve">SAFATLE</t>
  </si>
  <si>
    <t xml:space="preserve">NARYELLEM7@GMAIL.COM</t>
  </si>
  <si>
    <t xml:space="preserve">(34) 998226357</t>
  </si>
  <si>
    <t xml:space="preserve">INSTITUIÇÃO DE ENSINO UNA - CATALÃO</t>
  </si>
  <si>
    <t xml:space="preserve">OSCAR SANTOS NETO</t>
  </si>
  <si>
    <t xml:space="preserve">7000938</t>
  </si>
  <si>
    <t xml:space="preserve">04745646143</t>
  </si>
  <si>
    <t xml:space="preserve">AVENIDA NICOLAU COPÉRNICO, 251. CONDOMÍNIO GRAN CASTELL 502-B</t>
  </si>
  <si>
    <t xml:space="preserve">OSCARSANTOSNETO@OUTLOOK.COM.BR</t>
  </si>
  <si>
    <t xml:space="preserve">(62) 98523343</t>
  </si>
  <si>
    <t xml:space="preserve">(62) 998523343</t>
  </si>
  <si>
    <t xml:space="preserve">UNIVERCIDADE PAULISTA  UNIP</t>
  </si>
  <si>
    <t xml:space="preserve">ANA GABRIELLE SOUZA COSTA</t>
  </si>
  <si>
    <t xml:space="preserve">6573553</t>
  </si>
  <si>
    <t xml:space="preserve">06787214162</t>
  </si>
  <si>
    <t xml:space="preserve">74215110</t>
  </si>
  <si>
    <t xml:space="preserve">AVENIDA T 3, 1069. APARTAMENTO 1402</t>
  </si>
  <si>
    <t xml:space="preserve">ANAGABRIELLESOUZACOSTA@GMAIL.COM</t>
  </si>
  <si>
    <t xml:space="preserve">(62) 35053193</t>
  </si>
  <si>
    <t xml:space="preserve">(62) 985032667</t>
  </si>
  <si>
    <t xml:space="preserve">solicitou final de lista</t>
  </si>
  <si>
    <t xml:space="preserve">ISABELLA CRISTINA TAVARES QUERINO</t>
  </si>
  <si>
    <t xml:space="preserve">6673536</t>
  </si>
  <si>
    <t xml:space="preserve">70731947150</t>
  </si>
  <si>
    <t xml:space="preserve">74863060</t>
  </si>
  <si>
    <t xml:space="preserve">RUA DO COMÉRCIO, SN. QUADRA J1 LOTE 19</t>
  </si>
  <si>
    <t xml:space="preserve">JARDIM BELA VISTA</t>
  </si>
  <si>
    <t xml:space="preserve">ISABELLATAVARES4545@GMAIL.COM</t>
  </si>
  <si>
    <t xml:space="preserve">(62) 30935308</t>
  </si>
  <si>
    <t xml:space="preserve">(62) 983152842</t>
  </si>
  <si>
    <t xml:space="preserve">ARTHUR GABRIEL MENDES DE SOUZA</t>
  </si>
  <si>
    <t xml:space="preserve">70772081174</t>
  </si>
  <si>
    <t xml:space="preserve">74785250</t>
  </si>
  <si>
    <t xml:space="preserve">RUA SR 54, RUA SR 54. QD.74 LT.09</t>
  </si>
  <si>
    <t xml:space="preserve">SETOR RECANTO DAS MINAS GERAIS</t>
  </si>
  <si>
    <t xml:space="preserve">RUHTRAGABRIEL1011@HOTMAIL.COM</t>
  </si>
  <si>
    <t xml:space="preserve">(62) 32085356</t>
  </si>
  <si>
    <t xml:space="preserve">(62) 998694066</t>
  </si>
  <si>
    <t xml:space="preserve">RAFAELLA SEMIEMA DE CASTRO </t>
  </si>
  <si>
    <t xml:space="preserve">71118355148</t>
  </si>
  <si>
    <t xml:space="preserve">74477228</t>
  </si>
  <si>
    <t xml:space="preserve">AVENIDA COMERCIAL, SN. QUADRA 7 LOTE 29</t>
  </si>
  <si>
    <t xml:space="preserve">CONJUNTO PRIMAVERA</t>
  </si>
  <si>
    <t xml:space="preserve">RAFAELLASEMIEMA18@GMAIL.COM</t>
  </si>
  <si>
    <t xml:space="preserve">(62) 91426000</t>
  </si>
  <si>
    <t xml:space="preserve">(62) 991215452</t>
  </si>
  <si>
    <t xml:space="preserve">UNI-GOIÁS</t>
  </si>
  <si>
    <t xml:space="preserve">IANNE RODRIGUES PEREIRA</t>
  </si>
  <si>
    <t xml:space="preserve">71142601137</t>
  </si>
  <si>
    <t xml:space="preserve">74959280</t>
  </si>
  <si>
    <t xml:space="preserve">RUA 64, SN. QD. 117 LOTE 19</t>
  </si>
  <si>
    <t xml:space="preserve">INDEPENDÊNCIA - 1º COMPLEMENTO SETOR DAS MANSÕES</t>
  </si>
  <si>
    <t xml:space="preserve">IANNEE.RODRIGUES@GMAIL.COM</t>
  </si>
  <si>
    <t xml:space="preserve">(62) 91563781</t>
  </si>
  <si>
    <t xml:space="preserve">(62) 991787074</t>
  </si>
  <si>
    <t xml:space="preserve">cursando 4° semestre</t>
  </si>
  <si>
    <t xml:space="preserve">NATÁLIA BALDUINO DE FARIA </t>
  </si>
  <si>
    <t xml:space="preserve">6935003</t>
  </si>
  <si>
    <t xml:space="preserve">04530643107</t>
  </si>
  <si>
    <t xml:space="preserve">AVENIDA ENGENHEIRO EURICO VIANA, S/N. EDIFÍCIO ART DÉCO</t>
  </si>
  <si>
    <t xml:space="preserve">NATALIABF05@HOTMAIL.COM</t>
  </si>
  <si>
    <t xml:space="preserve">(64) 984065542</t>
  </si>
  <si>
    <t xml:space="preserve">LARYSSA VITÓRIA DE OLIVEIRA MESSIAS</t>
  </si>
  <si>
    <t xml:space="preserve">7106825</t>
  </si>
  <si>
    <t xml:space="preserve">70897014170</t>
  </si>
  <si>
    <t xml:space="preserve">74947160</t>
  </si>
  <si>
    <t xml:space="preserve">RUA 206, 2. QD 27 LT 01</t>
  </si>
  <si>
    <t xml:space="preserve">LARYSSA_OMESSIAS@HOTMAIL.COM</t>
  </si>
  <si>
    <t xml:space="preserve">(62) 35825047</t>
  </si>
  <si>
    <t xml:space="preserve">(62) 984845829</t>
  </si>
  <si>
    <t xml:space="preserve">HAILA MOURA BARBOSA </t>
  </si>
  <si>
    <t xml:space="preserve">6892783</t>
  </si>
  <si>
    <t xml:space="preserve">70937479144</t>
  </si>
  <si>
    <t xml:space="preserve">74930140</t>
  </si>
  <si>
    <t xml:space="preserve">RUA 7 D, 0. </t>
  </si>
  <si>
    <t xml:space="preserve">SETOR GARAVELO</t>
  </si>
  <si>
    <t xml:space="preserve">HAILAMOURAB@GMAIL.COM</t>
  </si>
  <si>
    <t xml:space="preserve">(62) 981079803</t>
  </si>
  <si>
    <t xml:space="preserve">EMANUELE MARYANA SOUSA NERY </t>
  </si>
  <si>
    <t xml:space="preserve">06736307147</t>
  </si>
  <si>
    <t xml:space="preserve">72900734</t>
  </si>
  <si>
    <t xml:space="preserve">SANTO ANTÔNIO DO DESCOBERTO</t>
  </si>
  <si>
    <t xml:space="preserve">QUADRA 3, 08. PRÓXIMO AO ATACADÃO DIA A DIA </t>
  </si>
  <si>
    <t xml:space="preserve">VILA PARAÍSO I</t>
  </si>
  <si>
    <t xml:space="preserve">MARYANAEMANUELE2@GMAIL.COM</t>
  </si>
  <si>
    <t xml:space="preserve">(61) 36267929</t>
  </si>
  <si>
    <t xml:space="preserve">(61) 999340430</t>
  </si>
  <si>
    <t xml:space="preserve">FACULDADE ANHANGUERA DE BRASÍLIA ( TAGUATINGA SHOPPING )</t>
  </si>
  <si>
    <t xml:space="preserve">desclassificada pois mora longe</t>
  </si>
  <si>
    <t xml:space="preserve">MARCELO AUGUSTO MARINHO SIQUIERO</t>
  </si>
  <si>
    <t xml:space="preserve">6105500</t>
  </si>
  <si>
    <t xml:space="preserve">01425777155</t>
  </si>
  <si>
    <t xml:space="preserve">74343500</t>
  </si>
  <si>
    <t xml:space="preserve">RUA DO SALMÃO, 138. QD 16 L 11</t>
  </si>
  <si>
    <t xml:space="preserve">MARINHOMARCELO23@GMAIL.COM</t>
  </si>
  <si>
    <t xml:space="preserve">(62) 981657747</t>
  </si>
  <si>
    <t xml:space="preserve">15/05 - 12:40</t>
  </si>
  <si>
    <t xml:space="preserve">INGRYD RODRIGUES DE SOUZA </t>
  </si>
  <si>
    <t xml:space="preserve">70870909177</t>
  </si>
  <si>
    <t xml:space="preserve">74703040</t>
  </si>
  <si>
    <t xml:space="preserve">AVENIDA SKODA, 05. </t>
  </si>
  <si>
    <t xml:space="preserve">INGRYD.IRS@GMAIL.COM</t>
  </si>
  <si>
    <t xml:space="preserve">(62) 991037633</t>
  </si>
  <si>
    <t xml:space="preserve">UNI FASAM </t>
  </si>
  <si>
    <t xml:space="preserve">MAYSA HELENA DE OLIVEIRA CAMPOS</t>
  </si>
  <si>
    <t xml:space="preserve">70698400127</t>
  </si>
  <si>
    <t xml:space="preserve">74823040</t>
  </si>
  <si>
    <t xml:space="preserve">RUA 1024, 1230. ED.FREI GALVÃO AP.1204</t>
  </si>
  <si>
    <t xml:space="preserve">MAYSAHELENAAA@ICLOUD.COM</t>
  </si>
  <si>
    <t xml:space="preserve">(62) 982435180</t>
  </si>
  <si>
    <t xml:space="preserve">MARIANA BARRETO DE AVELLAR</t>
  </si>
  <si>
    <t xml:space="preserve">71003221114</t>
  </si>
  <si>
    <t xml:space="preserve">74280130</t>
  </si>
  <si>
    <t xml:space="preserve">RUA C235, 1287. APT 501</t>
  </si>
  <si>
    <t xml:space="preserve">NOVA SUIÇA</t>
  </si>
  <si>
    <t xml:space="preserve">MARIANABARRETOAV@ICLOUD.COM</t>
  </si>
  <si>
    <t xml:space="preserve">(62) 32550564</t>
  </si>
  <si>
    <t xml:space="preserve">(62) 994004977</t>
  </si>
  <si>
    <t xml:space="preserve">ANA BEATRIZ MARQUES ALVES</t>
  </si>
  <si>
    <t xml:space="preserve">6849850</t>
  </si>
  <si>
    <t xml:space="preserve">70573137137</t>
  </si>
  <si>
    <t xml:space="preserve">75870000</t>
  </si>
  <si>
    <t xml:space="preserve">CACHOEIRA ALTA</t>
  </si>
  <si>
    <t xml:space="preserve">AVENIDA BRASIL, 648. CASA, LOTE 2</t>
  </si>
  <si>
    <t xml:space="preserve">PEDRO SOBRINHO</t>
  </si>
  <si>
    <t xml:space="preserve">ANABEATRIZ6538@GMAIL.COM</t>
  </si>
  <si>
    <t xml:space="preserve">(64) 96057294</t>
  </si>
  <si>
    <t xml:space="preserve">(64) 996057294</t>
  </si>
  <si>
    <t xml:space="preserve">UNIVERSIDADE DE RIO VERDE</t>
  </si>
  <si>
    <t xml:space="preserve">KARLA ANDRADE RODRIGUES </t>
  </si>
  <si>
    <t xml:space="preserve">70329618199</t>
  </si>
  <si>
    <t xml:space="preserve">74480390</t>
  </si>
  <si>
    <t xml:space="preserve">RUA VM 4 C, SN. NOVO PLANALTO </t>
  </si>
  <si>
    <t xml:space="preserve">SETOR NOVO PLANALTO</t>
  </si>
  <si>
    <t xml:space="preserve">KARLA17148@GMAIL.COM</t>
  </si>
  <si>
    <t xml:space="preserve">(62) 92102210</t>
  </si>
  <si>
    <t xml:space="preserve">(62) 992102210</t>
  </si>
  <si>
    <t xml:space="preserve">PEDRO ALLYSON CASTRO BARROSO </t>
  </si>
  <si>
    <t xml:space="preserve">7132286</t>
  </si>
  <si>
    <t xml:space="preserve">04728121143</t>
  </si>
  <si>
    <t xml:space="preserve">74905710</t>
  </si>
  <si>
    <t xml:space="preserve">RUA TIETÊ, 00. QUADRA 109 LOTE 07</t>
  </si>
  <si>
    <t xml:space="preserve">VILA BRASÍLIA</t>
  </si>
  <si>
    <t xml:space="preserve">PEDROALLYSON@LIVE.COM</t>
  </si>
  <si>
    <t xml:space="preserve">(62) 41055934</t>
  </si>
  <si>
    <t xml:space="preserve">(62) 982868662</t>
  </si>
  <si>
    <t xml:space="preserve">CENTRO UNIVERSITÁRIO ALFREDO NASSER</t>
  </si>
  <si>
    <t xml:space="preserve">GREICY KELLY BARBOSA FERREIRA</t>
  </si>
  <si>
    <t xml:space="preserve">11143714598</t>
  </si>
  <si>
    <t xml:space="preserve">74370702</t>
  </si>
  <si>
    <t xml:space="preserve">RUA PROSOLINA ALCÂNTARA PEREIRA, 02. Q.3, L.24</t>
  </si>
  <si>
    <t xml:space="preserve">RESIDENCIAL FORTEVILLE</t>
  </si>
  <si>
    <t xml:space="preserve">GK82027905@GMAIL.COM</t>
  </si>
  <si>
    <t xml:space="preserve">(62) 99646545</t>
  </si>
  <si>
    <t xml:space="preserve">(62) 996465457</t>
  </si>
  <si>
    <t xml:space="preserve">EMILLY A G LOMAZZI</t>
  </si>
  <si>
    <t xml:space="preserve">06618838177</t>
  </si>
  <si>
    <t xml:space="preserve">74840090</t>
  </si>
  <si>
    <t xml:space="preserve">AVENIDA ANTÔNIO FIDELIS, 0. RESIDENCIAL VIVAZ, 1201-B</t>
  </si>
  <si>
    <t xml:space="preserve">EMILLYARATAQUELOMAZZI@GMAIL.COM</t>
  </si>
  <si>
    <t xml:space="preserve">(63) 999855252</t>
  </si>
  <si>
    <t xml:space="preserve">20/04 - 12:45</t>
  </si>
  <si>
    <t xml:space="preserve">ARIANNY BRITO FERREIRA</t>
  </si>
  <si>
    <t xml:space="preserve">6849117</t>
  </si>
  <si>
    <t xml:space="preserve">70642502170</t>
  </si>
  <si>
    <t xml:space="preserve">74610190</t>
  </si>
  <si>
    <t xml:space="preserve">RUA 255, 136. APTO 204, RESIDENCIAL ARTE HOME</t>
  </si>
  <si>
    <t xml:space="preserve">ARIANNYBFERREIRA@GMAIL.COM</t>
  </si>
  <si>
    <t xml:space="preserve">(62) 99214448</t>
  </si>
  <si>
    <t xml:space="preserve">(62) 986296017</t>
  </si>
  <si>
    <t xml:space="preserve">FACULDADE UNIDA DE CAMPINAS - FACUNICAMPS</t>
  </si>
  <si>
    <t xml:space="preserve">MARI VITORIA MATOS DA COSTA</t>
  </si>
  <si>
    <t xml:space="preserve">6890097</t>
  </si>
  <si>
    <t xml:space="preserve">04357029120</t>
  </si>
  <si>
    <t xml:space="preserve">74474315</t>
  </si>
  <si>
    <t xml:space="preserve">RUA RB 6, 89. QUADRA 46</t>
  </si>
  <si>
    <t xml:space="preserve">MARICOSTA903@GMAIL.COM</t>
  </si>
  <si>
    <t xml:space="preserve">(62) 92157740</t>
  </si>
  <si>
    <t xml:space="preserve">(62) 992157740</t>
  </si>
  <si>
    <t xml:space="preserve">12/04 - 19:01</t>
  </si>
  <si>
    <t xml:space="preserve">ANA BEATRIZ DE OLIVEIRA SILVA</t>
  </si>
  <si>
    <t xml:space="preserve">06327781560</t>
  </si>
  <si>
    <t xml:space="preserve">74936260</t>
  </si>
  <si>
    <t xml:space="preserve">RUA H 74, 10. </t>
  </si>
  <si>
    <t xml:space="preserve">ANA1313130107@GMAIL.COM</t>
  </si>
  <si>
    <t xml:space="preserve">(77) 999888383</t>
  </si>
  <si>
    <t xml:space="preserve">BÁRBARA HONÓRIO SILVA </t>
  </si>
  <si>
    <t xml:space="preserve">7179120</t>
  </si>
  <si>
    <t xml:space="preserve">02719596140</t>
  </si>
  <si>
    <t xml:space="preserve">75390494</t>
  </si>
  <si>
    <t xml:space="preserve">RUA G, 00. QD 10 LT 01 </t>
  </si>
  <si>
    <t xml:space="preserve">JARDIM DAS TAMAREIRAS</t>
  </si>
  <si>
    <t xml:space="preserve">BARBARAHONORIO02@GMAIL.COM</t>
  </si>
  <si>
    <t xml:space="preserve">(62) 99138479</t>
  </si>
  <si>
    <t xml:space="preserve">(62) 991384792</t>
  </si>
  <si>
    <t xml:space="preserve">UNIVERSIDADE ESTADUAL DE GOIAS </t>
  </si>
  <si>
    <t xml:space="preserve">GRAZIELLE BARROS PEREIRA</t>
  </si>
  <si>
    <t xml:space="preserve">6593129</t>
  </si>
  <si>
    <t xml:space="preserve">70651330106</t>
  </si>
  <si>
    <t xml:space="preserve">74055100</t>
  </si>
  <si>
    <t xml:space="preserve">RUA 68, 593. 03</t>
  </si>
  <si>
    <t xml:space="preserve">GRAZIPRANDO2013@HOTMAIL.COM</t>
  </si>
  <si>
    <t xml:space="preserve">(62) 986434442</t>
  </si>
  <si>
    <t xml:space="preserve">JOÃO VICTOR SOARES BASTOS</t>
  </si>
  <si>
    <t xml:space="preserve">6838371</t>
  </si>
  <si>
    <t xml:space="preserve">02998465129</t>
  </si>
  <si>
    <t xml:space="preserve">74865040</t>
  </si>
  <si>
    <t xml:space="preserve">RUA CASTRO ALVES, 17. QD. 20</t>
  </si>
  <si>
    <t xml:space="preserve">JARDIM VITÓRIA</t>
  </si>
  <si>
    <t xml:space="preserve">VIRITOR300@OUTLOOK.COM</t>
  </si>
  <si>
    <t xml:space="preserve">(62) 998282525</t>
  </si>
  <si>
    <t xml:space="preserve">13/04 - 08:22</t>
  </si>
  <si>
    <t xml:space="preserve">sem interesse na vaga</t>
  </si>
  <si>
    <t xml:space="preserve">SARAH PEREIRA CESAR DE SOUZA CRUZ</t>
  </si>
  <si>
    <t xml:space="preserve">5773785</t>
  </si>
  <si>
    <t xml:space="preserve">03190071110</t>
  </si>
  <si>
    <t xml:space="preserve">AV JOAQUIM GARROTE ESQUINA COM ALOISIO RODRIGUES, 0. </t>
  </si>
  <si>
    <t xml:space="preserve">RESIDENCIAL CAMPO BELO</t>
  </si>
  <si>
    <t xml:space="preserve">IVONETERP62@YAHOO.COM.BR</t>
  </si>
  <si>
    <t xml:space="preserve">(62) 993359014</t>
  </si>
  <si>
    <t xml:space="preserve">UNIFISAM </t>
  </si>
  <si>
    <t xml:space="preserve">20/04 - 12:45 </t>
  </si>
  <si>
    <t xml:space="preserve">AMANDA MARTINS DE CARVALHO</t>
  </si>
  <si>
    <t xml:space="preserve">70651903157</t>
  </si>
  <si>
    <t xml:space="preserve">74575370</t>
  </si>
  <si>
    <t xml:space="preserve">ALAMEDA VELAZQUES, 00. QD 9 LT 4</t>
  </si>
  <si>
    <t xml:space="preserve">SETOR GENTIL MEIRELES</t>
  </si>
  <si>
    <t xml:space="preserve">AMANDAMCARVALHO022@GMAIL.COM</t>
  </si>
  <si>
    <t xml:space="preserve">(62) 98103420</t>
  </si>
  <si>
    <t xml:space="preserve">(62) 981034205</t>
  </si>
  <si>
    <t xml:space="preserve">ISAC FELIPE ANTUNES ANDRADE</t>
  </si>
  <si>
    <t xml:space="preserve">75230550104</t>
  </si>
  <si>
    <t xml:space="preserve">74375740</t>
  </si>
  <si>
    <t xml:space="preserve">RUA DAS PALMAS, 472. QUADRA 94 LOTE 15</t>
  </si>
  <si>
    <t xml:space="preserve">LAILA.ADV@OUTLOOK.COM</t>
  </si>
  <si>
    <t xml:space="preserve">(62) 991386458</t>
  </si>
  <si>
    <t xml:space="preserve">UNI-GOIAS </t>
  </si>
  <si>
    <t xml:space="preserve">KEROLLY DE OLIVEIRA PEREIRA CHAVES</t>
  </si>
  <si>
    <t xml:space="preserve">6739070</t>
  </si>
  <si>
    <t xml:space="preserve">03773320116</t>
  </si>
  <si>
    <t xml:space="preserve">74730495</t>
  </si>
  <si>
    <t xml:space="preserve">AVENIDA PERIMETRAL TRÊS, 3. CASA 3</t>
  </si>
  <si>
    <t xml:space="preserve">RESIDENCIAL SONHO VERDE</t>
  </si>
  <si>
    <t xml:space="preserve">KEROLLYOLIVEIRACHAVE@GMAIL.COM</t>
  </si>
  <si>
    <t xml:space="preserve">(62) 99463539</t>
  </si>
  <si>
    <t xml:space="preserve">(62) 999463539</t>
  </si>
  <si>
    <t xml:space="preserve">UNIVERSIDADE ALFREDO NASSER </t>
  </si>
  <si>
    <t xml:space="preserve">LUCAS VIEIRA SANTOS</t>
  </si>
  <si>
    <t xml:space="preserve">03648019139</t>
  </si>
  <si>
    <t xml:space="preserve">RUA GASTÃO CRULS, 1. QD 58 LT 27</t>
  </si>
  <si>
    <t xml:space="preserve">LUCASSANTOSVIEIRA16082002@GMAIL.COM</t>
  </si>
  <si>
    <t xml:space="preserve">(62) 99151579</t>
  </si>
  <si>
    <t xml:space="preserve">(62) 991515759</t>
  </si>
  <si>
    <t xml:space="preserve">THAIS GOMES MULLER</t>
  </si>
  <si>
    <t xml:space="preserve">70798985100</t>
  </si>
  <si>
    <t xml:space="preserve">74353270</t>
  </si>
  <si>
    <t xml:space="preserve">RUA PRESIDENTE LEBRUM, 0. QUADRA 52 LOTE 23</t>
  </si>
  <si>
    <t xml:space="preserve">THAISGMULLER11@GMAIL.COM</t>
  </si>
  <si>
    <t xml:space="preserve">(62) 992492400</t>
  </si>
  <si>
    <t xml:space="preserve">PUC GO </t>
  </si>
  <si>
    <t xml:space="preserve">BRUNA KARINE RODRIGUES DE OLIVEIRA </t>
  </si>
  <si>
    <t xml:space="preserve">3747407</t>
  </si>
  <si>
    <t xml:space="preserve">07386424108</t>
  </si>
  <si>
    <t xml:space="preserve">73813330</t>
  </si>
  <si>
    <t xml:space="preserve">RUA 3, 672. </t>
  </si>
  <si>
    <t xml:space="preserve">FORMOSINHA</t>
  </si>
  <si>
    <t xml:space="preserve">BRUNAKARINERODRIGUES@GMAIL.COM</t>
  </si>
  <si>
    <t xml:space="preserve">(61) 996778307</t>
  </si>
  <si>
    <t xml:space="preserve">VITORIA GABRIELLE DE MOURA</t>
  </si>
  <si>
    <t xml:space="preserve">70743333101</t>
  </si>
  <si>
    <t xml:space="preserve">74369022</t>
  </si>
  <si>
    <t xml:space="preserve">RUA CV 12, S/N. QUADRA 21 LOTE 34</t>
  </si>
  <si>
    <t xml:space="preserve">RESIDENCIAL CENTER VILLE</t>
  </si>
  <si>
    <t xml:space="preserve">VITORIAGABRIELLE097@GMAIL.COM</t>
  </si>
  <si>
    <t xml:space="preserve">(62) 32581472</t>
  </si>
  <si>
    <t xml:space="preserve">(62) 981488193</t>
  </si>
  <si>
    <t xml:space="preserve">UNIVERSIDADE SALGADO DE OLIVEIRA - UNIVERSO</t>
  </si>
  <si>
    <t xml:space="preserve">VITOR MARIANI TAVARES MACHADO</t>
  </si>
  <si>
    <t xml:space="preserve">6480856</t>
  </si>
  <si>
    <t xml:space="preserve">07166612177</t>
  </si>
  <si>
    <t xml:space="preserve">74055230</t>
  </si>
  <si>
    <t xml:space="preserve">AVENIDA ARAGUAIA, 655. </t>
  </si>
  <si>
    <t xml:space="preserve">VTAVARESM9@GMAIL.COM</t>
  </si>
  <si>
    <t xml:space="preserve">(62) 998663039</t>
  </si>
  <si>
    <t xml:space="preserve">DOUGLAS MACEDO CAMPOS</t>
  </si>
  <si>
    <t xml:space="preserve">05839883506</t>
  </si>
  <si>
    <t xml:space="preserve">74495110</t>
  </si>
  <si>
    <t xml:space="preserve">RUA MARIA HENRIQUETA PECLAT, 0. APTO 204 BLOCO M</t>
  </si>
  <si>
    <t xml:space="preserve">CAMPOSMACEDO19@GMAIL.COM</t>
  </si>
  <si>
    <t xml:space="preserve">(62) 985312443</t>
  </si>
  <si>
    <t xml:space="preserve">HEMELLY KELISHERLLY SOUSA MENDES </t>
  </si>
  <si>
    <t xml:space="preserve">71133949142</t>
  </si>
  <si>
    <t xml:space="preserve">74392125</t>
  </si>
  <si>
    <t xml:space="preserve">RUA 2, 19. </t>
  </si>
  <si>
    <t xml:space="preserve">CHÁCARAS ANHANGUERA</t>
  </si>
  <si>
    <t xml:space="preserve">HEMSKELISHERLLY2002@GMAIL.COM</t>
  </si>
  <si>
    <t xml:space="preserve">(62) 32919093</t>
  </si>
  <si>
    <t xml:space="preserve">(62) 986414346</t>
  </si>
  <si>
    <t xml:space="preserve">ANA JULIA SOARES LOPES </t>
  </si>
  <si>
    <t xml:space="preserve">70828406162</t>
  </si>
  <si>
    <t xml:space="preserve">74474011</t>
  </si>
  <si>
    <t xml:space="preserve">RUA SC 9, SN. QUADRA 17 LOTE 14</t>
  </si>
  <si>
    <t xml:space="preserve">JARDIM COLORADO</t>
  </si>
  <si>
    <t xml:space="preserve">ANAJULIASOARES581@GMAIL.COM</t>
  </si>
  <si>
    <t xml:space="preserve">(62) 982938210</t>
  </si>
  <si>
    <t xml:space="preserve">MATHEUS PHELLIPE VELASCO TAVARES</t>
  </si>
  <si>
    <t xml:space="preserve">7022578</t>
  </si>
  <si>
    <t xml:space="preserve">71001178106</t>
  </si>
  <si>
    <t xml:space="preserve">74780410</t>
  </si>
  <si>
    <t xml:space="preserve">RUA ANTENOR NASCENTE, SN. QD 42 L 19 </t>
  </si>
  <si>
    <t xml:space="preserve">MATHEUSPHELLIPEVELASCO@GMAIL.COM</t>
  </si>
  <si>
    <t xml:space="preserve">(62) 994257545</t>
  </si>
  <si>
    <t xml:space="preserve">MARCY KELLY INÁCIO SANTOS </t>
  </si>
  <si>
    <t xml:space="preserve">6637494</t>
  </si>
  <si>
    <t xml:space="preserve">70698027140</t>
  </si>
  <si>
    <t xml:space="preserve">74475520</t>
  </si>
  <si>
    <t xml:space="preserve">RUA TRANSVERSAL, 0.  RUA VMB11 QD. 76 LT.32</t>
  </si>
  <si>
    <t xml:space="preserve">MARCYKELLYINACIO@GMAIL.COM</t>
  </si>
  <si>
    <t xml:space="preserve">(62) 992586640</t>
  </si>
  <si>
    <t xml:space="preserve">MARIA ALEJANDRA ESCALONA JIMENEZ</t>
  </si>
  <si>
    <t xml:space="preserve">SE2142146</t>
  </si>
  <si>
    <t xml:space="preserve">70892424206</t>
  </si>
  <si>
    <t xml:space="preserve">VENEZUELA</t>
  </si>
  <si>
    <t xml:space="preserve">74475500</t>
  </si>
  <si>
    <t xml:space="preserve">AV. SÃO DOMINGOS , 0. RES. GRAN VALENCE BLOCO 7 APT.403</t>
  </si>
  <si>
    <t xml:space="preserve">VILA MUTIRÃO I</t>
  </si>
  <si>
    <t xml:space="preserve">MARIALESCALONA6@GMAIL.COM</t>
  </si>
  <si>
    <t xml:space="preserve">(62) 981246390</t>
  </si>
  <si>
    <t xml:space="preserve">FABIANE MENDES GOMES DE JESUS</t>
  </si>
  <si>
    <t xml:space="preserve">71068378140</t>
  </si>
  <si>
    <t xml:space="preserve">RUA 56, 184. FLAMPARK AP 1002</t>
  </si>
  <si>
    <t xml:space="preserve">FABIANEMENDES67@GMAIL.COM</t>
  </si>
  <si>
    <t xml:space="preserve">(62) 993770918</t>
  </si>
  <si>
    <t xml:space="preserve">UNIP- FLAMBOYANT </t>
  </si>
  <si>
    <t xml:space="preserve">LUCAS OLIVEIRA LIMA</t>
  </si>
  <si>
    <t xml:space="preserve">02288618108</t>
  </si>
  <si>
    <t xml:space="preserve">73807620</t>
  </si>
  <si>
    <t xml:space="preserve">RUA EDUARDO JOSÉ DE PAIVA, 180. QUADRA 15</t>
  </si>
  <si>
    <t xml:space="preserve">JARDIM CALIFÓRNIA</t>
  </si>
  <si>
    <t xml:space="preserve">LIMALUCASFSA@GMAIL.COM</t>
  </si>
  <si>
    <t xml:space="preserve">(61) 998236109</t>
  </si>
  <si>
    <t xml:space="preserve">fez estágio no TJGO e solicitou rescisão</t>
  </si>
  <si>
    <t xml:space="preserve">ANA LUIZA REIS MARTINS DA COSTA</t>
  </si>
  <si>
    <t xml:space="preserve">05482261131</t>
  </si>
  <si>
    <t xml:space="preserve">74150260</t>
  </si>
  <si>
    <t xml:space="preserve">RUA MÁRIO BITTAR, 134. APTO 801B</t>
  </si>
  <si>
    <t xml:space="preserve">ALRMDC2002@YAHOO.COM.BR</t>
  </si>
  <si>
    <t xml:space="preserve">(62) 998482235</t>
  </si>
  <si>
    <t xml:space="preserve">COLÉGIO PREPARA ENEM</t>
  </si>
  <si>
    <t xml:space="preserve">BRENNER CELESTINO FERREIRA</t>
  </si>
  <si>
    <t xml:space="preserve">75793377115</t>
  </si>
  <si>
    <t xml:space="preserve">74948120</t>
  </si>
  <si>
    <t xml:space="preserve">RUA NOSSA SENHORA AUXILIADORA, 1. QUADRA 72 LOTE 4</t>
  </si>
  <si>
    <t xml:space="preserve">SOBRINHOBRENNER@GMAIL.COM</t>
  </si>
  <si>
    <t xml:space="preserve">(62) 99247487</t>
  </si>
  <si>
    <t xml:space="preserve">(62) 992474870</t>
  </si>
  <si>
    <t xml:space="preserve">COLÉGIO DELOS</t>
  </si>
  <si>
    <t xml:space="preserve">NATAN NOGUEIRA XAVIER FILHO</t>
  </si>
  <si>
    <t xml:space="preserve">5236980</t>
  </si>
  <si>
    <t xml:space="preserve">03948990166</t>
  </si>
  <si>
    <t xml:space="preserve">74445302</t>
  </si>
  <si>
    <t xml:space="preserve">RUA DOUTOR JOÃO DE ABREU, 17. </t>
  </si>
  <si>
    <t xml:space="preserve">CAPUAVA RESIDENCIAL PRIVÊ</t>
  </si>
  <si>
    <t xml:space="preserve">NATANFILHO2002@GMAIL.COM</t>
  </si>
  <si>
    <t xml:space="preserve">(62) 32717788</t>
  </si>
  <si>
    <t xml:space="preserve">(62) 982366779</t>
  </si>
  <si>
    <t xml:space="preserve">UNIALFA - PERIMETRAL </t>
  </si>
  <si>
    <t xml:space="preserve">GEOVANA DOS SANTOS FASSA</t>
  </si>
  <si>
    <t xml:space="preserve">28933648</t>
  </si>
  <si>
    <t xml:space="preserve">06948571140</t>
  </si>
  <si>
    <t xml:space="preserve">74805480</t>
  </si>
  <si>
    <t xml:space="preserve">RUA 72, 2514. EDIFÍCIO TREND OFFICE HOME </t>
  </si>
  <si>
    <t xml:space="preserve">GEOVANAFASSA@ICLOUD.COM</t>
  </si>
  <si>
    <t xml:space="preserve">(17) 996310101</t>
  </si>
  <si>
    <t xml:space="preserve">PONTIFÍCIA UNIVERSIDADE CATÓLICA DE GOIÁS - PUC GO</t>
  </si>
  <si>
    <t xml:space="preserve">ANA LUÍSA DE MORAES CARVALHO GARCIA </t>
  </si>
  <si>
    <t xml:space="preserve">03343807150</t>
  </si>
  <si>
    <t xml:space="preserve">74230050</t>
  </si>
  <si>
    <t xml:space="preserve">AVENIDA T-13, 1390. ED LE QUARTIER, TORRE SAN GERMAN, APART 1503</t>
  </si>
  <si>
    <t xml:space="preserve">ANALUISACARVALHOG@GMAIL.COM</t>
  </si>
  <si>
    <t xml:space="preserve">(64) 99675684</t>
  </si>
  <si>
    <t xml:space="preserve">(64) 999973659</t>
  </si>
  <si>
    <t xml:space="preserve">NICOLE RODRIGUES DOS SANTOS</t>
  </si>
  <si>
    <t xml:space="preserve">38731710824</t>
  </si>
  <si>
    <t xml:space="preserve">74805270</t>
  </si>
  <si>
    <t xml:space="preserve">RUA 24, AP 303. PRÓXIMO A PUC</t>
  </si>
  <si>
    <t xml:space="preserve">2018NICOLE18@GMAIL.COM</t>
  </si>
  <si>
    <t xml:space="preserve">(77) 981319176</t>
  </si>
  <si>
    <t xml:space="preserve">ELISA PARREIRA DE CASTRO ALVES</t>
  </si>
  <si>
    <t xml:space="preserve">6808464</t>
  </si>
  <si>
    <t xml:space="preserve">05401576196</t>
  </si>
  <si>
    <t xml:space="preserve">74675530</t>
  </si>
  <si>
    <t xml:space="preserve">RUA MARANHÃO, 01. QUADRA 7A LOTE 7</t>
  </si>
  <si>
    <t xml:space="preserve">ELI2ACA2TRO2016@GMAIL.COM</t>
  </si>
  <si>
    <t xml:space="preserve">(62) 32075174</t>
  </si>
  <si>
    <t xml:space="preserve">(62) 993208783</t>
  </si>
  <si>
    <t xml:space="preserve">GUILHERME HENRIQUES SILVA FREIRE DE ASSIS</t>
  </si>
  <si>
    <t xml:space="preserve">6279278</t>
  </si>
  <si>
    <t xml:space="preserve">70348160186</t>
  </si>
  <si>
    <t xml:space="preserve">74674080</t>
  </si>
  <si>
    <t xml:space="preserve">AVENIDA PEDRO ÁLVARES CABRAL, 265. QUADRA 156A LOTE 17</t>
  </si>
  <si>
    <t xml:space="preserve">SETOR JAÓ</t>
  </si>
  <si>
    <t xml:space="preserve">GUILHERME_HSFA@HOTMAIL.COM</t>
  </si>
  <si>
    <t xml:space="preserve">(62) 991288416</t>
  </si>
  <si>
    <t xml:space="preserve">ROBERTA CORTES DOS SANTOS </t>
  </si>
  <si>
    <t xml:space="preserve">07144912178</t>
  </si>
  <si>
    <t xml:space="preserve">AVENIDA NICOLAU COPÉRNICO, S/N. COND. GRAN CASTELL </t>
  </si>
  <si>
    <t xml:space="preserve">RROBERTACORTESDOSSANTOS@GMAIL.COM</t>
  </si>
  <si>
    <t xml:space="preserve">(62) 999699863</t>
  </si>
  <si>
    <t xml:space="preserve">TAYSSA ISADORA SILVA BUENO</t>
  </si>
  <si>
    <t xml:space="preserve">06973212158</t>
  </si>
  <si>
    <t xml:space="preserve">74583266</t>
  </si>
  <si>
    <t xml:space="preserve">RUA RSC 6, 00. CASA</t>
  </si>
  <si>
    <t xml:space="preserve">JARDIM SANTA CECÍLIA</t>
  </si>
  <si>
    <t xml:space="preserve">TAYSADORA@GMAIL.COM</t>
  </si>
  <si>
    <t xml:space="preserve">(62) 32714161</t>
  </si>
  <si>
    <t xml:space="preserve">(62) 993227342</t>
  </si>
  <si>
    <t xml:space="preserve">LUKAS ALVES DE SOUZA</t>
  </si>
  <si>
    <t xml:space="preserve">04340619132</t>
  </si>
  <si>
    <t xml:space="preserve">74665590</t>
  </si>
  <si>
    <t xml:space="preserve">RUA SC 3, 17. QD.17 LT 18</t>
  </si>
  <si>
    <t xml:space="preserve">LUKASALVESDESOU@GMAIL.COM</t>
  </si>
  <si>
    <t xml:space="preserve">(62) 99281027</t>
  </si>
  <si>
    <t xml:space="preserve">(62) 999281027</t>
  </si>
  <si>
    <t xml:space="preserve">DÉBORA BEATRIZ LOPES DA SILVA</t>
  </si>
  <si>
    <t xml:space="preserve">06200824100</t>
  </si>
  <si>
    <t xml:space="preserve">78810000</t>
  </si>
  <si>
    <t xml:space="preserve">MT</t>
  </si>
  <si>
    <t xml:space="preserve">JUSCIMEIRA</t>
  </si>
  <si>
    <t xml:space="preserve">DISTRITO DE IRENÓPOLIS, S/N. AO LADO DA CRECHE</t>
  </si>
  <si>
    <t xml:space="preserve">AVENIDA IRENÓPOLIS</t>
  </si>
  <si>
    <t xml:space="preserve">BEATRIZLOPES90@OUTLOOK.PT</t>
  </si>
  <si>
    <t xml:space="preserve">(66) 996331539</t>
  </si>
  <si>
    <t xml:space="preserve">EDUVALE</t>
  </si>
  <si>
    <t xml:space="preserve">GUILHERME FERNANDES SERRANO</t>
  </si>
  <si>
    <t xml:space="preserve">6850713</t>
  </si>
  <si>
    <t xml:space="preserve">06855562124</t>
  </si>
  <si>
    <t xml:space="preserve">74615300</t>
  </si>
  <si>
    <t xml:space="preserve">RUA 262, 45. CONDOMÍNIO BARÃO DE DUAS BARRAS</t>
  </si>
  <si>
    <t xml:space="preserve">GUILHERMEFSERRANO@GMAIL.COM</t>
  </si>
  <si>
    <t xml:space="preserve">(62) 34561120</t>
  </si>
  <si>
    <t xml:space="preserve">(62) 999416934</t>
  </si>
  <si>
    <t xml:space="preserve">ANA LUIZA MERENCIO SOARES </t>
  </si>
  <si>
    <t xml:space="preserve">70125909128</t>
  </si>
  <si>
    <t xml:space="preserve">74356070</t>
  </si>
  <si>
    <t xml:space="preserve">RUA RI 2, 0. CONDOMINIO LAKESIDE AP 304 BLOCO 7 </t>
  </si>
  <si>
    <t xml:space="preserve">ANALUIZAMERENCIO0@GMAIL.COM</t>
  </si>
  <si>
    <t xml:space="preserve">(62) 99839620</t>
  </si>
  <si>
    <t xml:space="preserve">(62) 995123940</t>
  </si>
  <si>
    <t xml:space="preserve">IPOG INSTITUTO DE PÓS GRADUAÇÃO E GRADUAÇÃO </t>
  </si>
  <si>
    <t xml:space="preserve">AMANDA GABRIELA DE OLIVEIRA PAIVA </t>
  </si>
  <si>
    <t xml:space="preserve">71221114158</t>
  </si>
  <si>
    <t xml:space="preserve">74357042</t>
  </si>
  <si>
    <t xml:space="preserve">RUA DAS TARUMÃS, 00. QD05 LOTE07</t>
  </si>
  <si>
    <t xml:space="preserve">AMANDAGOP1994@GMAIL.COM</t>
  </si>
  <si>
    <t xml:space="preserve">(62) 993364276</t>
  </si>
  <si>
    <t xml:space="preserve">ISABELLI VASCONCELOS  SANTOS </t>
  </si>
  <si>
    <t xml:space="preserve">08533052189</t>
  </si>
  <si>
    <t xml:space="preserve">74922050</t>
  </si>
  <si>
    <t xml:space="preserve">RUA F 4, 0. QD. C CHAC. 03</t>
  </si>
  <si>
    <t xml:space="preserve">JARDIM OLÍMPICO</t>
  </si>
  <si>
    <t xml:space="preserve">ISABELLIVASCONCELOS015@GMAIL.COM</t>
  </si>
  <si>
    <t xml:space="preserve">(62) 32490709</t>
  </si>
  <si>
    <t xml:space="preserve">(62) 993195317</t>
  </si>
  <si>
    <t xml:space="preserve">LUCAS RYAN MORAIS PINHO</t>
  </si>
  <si>
    <t xml:space="preserve">02940276102</t>
  </si>
  <si>
    <t xml:space="preserve">74815705</t>
  </si>
  <si>
    <t xml:space="preserve">RUA NATAL, 327. APTO.1301A</t>
  </si>
  <si>
    <t xml:space="preserve">LUCASRMORAIIS@GMAIL.COM</t>
  </si>
  <si>
    <t xml:space="preserve">(62) 81050009</t>
  </si>
  <si>
    <t xml:space="preserve">(62) 981050009</t>
  </si>
  <si>
    <t xml:space="preserve">VICTOR GABRIEL DA SILVA</t>
  </si>
  <si>
    <t xml:space="preserve">7228044</t>
  </si>
  <si>
    <t xml:space="preserve">08972434124</t>
  </si>
  <si>
    <t xml:space="preserve">74643090</t>
  </si>
  <si>
    <t xml:space="preserve">RUA 202, 209. RES. BEIJA FLOR AP 209</t>
  </si>
  <si>
    <t xml:space="preserve">GVICT736@GMAIL.COM</t>
  </si>
  <si>
    <t xml:space="preserve">(62) 993391916</t>
  </si>
  <si>
    <t xml:space="preserve">CENTRO UNIVERSO SALGADO DE OLIVEIRA</t>
  </si>
  <si>
    <t xml:space="preserve">HENRIQUE BARBOSA TEIXEIRA SANTANA</t>
  </si>
  <si>
    <t xml:space="preserve">6251247</t>
  </si>
  <si>
    <t xml:space="preserve">08091409184</t>
  </si>
  <si>
    <t xml:space="preserve">74935710</t>
  </si>
  <si>
    <t xml:space="preserve">RUA GERMANO BRUGGER, 0. QD.45 LT.29-30 CS.1</t>
  </si>
  <si>
    <t xml:space="preserve">ILDA</t>
  </si>
  <si>
    <t xml:space="preserve">HENRIQUE.OFC70@GMAIL.COM</t>
  </si>
  <si>
    <t xml:space="preserve">(62) 999140403</t>
  </si>
  <si>
    <t xml:space="preserve">SAMUEL SANDES SILVA</t>
  </si>
  <si>
    <t xml:space="preserve">6566562</t>
  </si>
  <si>
    <t xml:space="preserve">01371034176</t>
  </si>
  <si>
    <t xml:space="preserve">74888030</t>
  </si>
  <si>
    <t xml:space="preserve">RUA EUNICE DE ALENCAR BRAGA COSTA CAMPOS, S/N. QD. 08 LT. 09 CASA 2</t>
  </si>
  <si>
    <t xml:space="preserve">RESIDENCIAL RECANTO DOS BURITIS</t>
  </si>
  <si>
    <t xml:space="preserve">SAMUELSANDES05@GMAIL.COM</t>
  </si>
  <si>
    <t xml:space="preserve">(62) 986224030</t>
  </si>
  <si>
    <t xml:space="preserve">JHENNIFER AMORIM DE OLIVEIRA BARBOSA </t>
  </si>
  <si>
    <t xml:space="preserve">70599359161</t>
  </si>
  <si>
    <t xml:space="preserve">74485767</t>
  </si>
  <si>
    <t xml:space="preserve">RUA BASILISIA JOAQUIM DE OLIVEIRA, 00. QD 08 LT 26</t>
  </si>
  <si>
    <t xml:space="preserve">RESIDENCIAL RECANTO DAS GARÇAS</t>
  </si>
  <si>
    <t xml:space="preserve">JHENNIFERBARBOSA76@GMAIL.COM</t>
  </si>
  <si>
    <t xml:space="preserve">(62) 995630574</t>
  </si>
  <si>
    <t xml:space="preserve">FAC UNICAMPS</t>
  </si>
  <si>
    <t xml:space="preserve">MATHEUS CAMPOS DA COSTA</t>
  </si>
  <si>
    <t xml:space="preserve">09108880190</t>
  </si>
  <si>
    <t xml:space="preserve">75391756</t>
  </si>
  <si>
    <t xml:space="preserve">AVENIDA JOÃO PAULO I, 5. Q11 L1B</t>
  </si>
  <si>
    <t xml:space="preserve">SETOR JARDIM IMPERIAL</t>
  </si>
  <si>
    <t xml:space="preserve">MATHEUSCAMPOSDACOSTA@GMAIL.COM</t>
  </si>
  <si>
    <t xml:space="preserve">(62) 84314553</t>
  </si>
  <si>
    <t xml:space="preserve">(62) 984314553</t>
  </si>
  <si>
    <t xml:space="preserve">FACULDADES APHONSIANO</t>
  </si>
  <si>
    <t xml:space="preserve">MARIA TALYNY DOS SANTOS COSTA </t>
  </si>
  <si>
    <t xml:space="preserve">07870571342</t>
  </si>
  <si>
    <t xml:space="preserve">74923065</t>
  </si>
  <si>
    <t xml:space="preserve">RUA ADELINA REIS E SILVA, 00. QD351A LT22</t>
  </si>
  <si>
    <t xml:space="preserve">CHÁCARAS SÃO PEDRO</t>
  </si>
  <si>
    <t xml:space="preserve">TMARIATALYNYDOSSANTOS@GMAIL.COM</t>
  </si>
  <si>
    <t xml:space="preserve">(62) 99262862</t>
  </si>
  <si>
    <t xml:space="preserve">(62) 994416634</t>
  </si>
  <si>
    <t xml:space="preserve">UNIP- UNIVERSIDADE PAULISTA </t>
  </si>
  <si>
    <t xml:space="preserve">AMANDA MIRELLA ASSIS MOURA</t>
  </si>
  <si>
    <t xml:space="preserve">07620028161</t>
  </si>
  <si>
    <t xml:space="preserve">75255713</t>
  </si>
  <si>
    <t xml:space="preserve">RUA PA 16, 000. QD.08 LT. 10 </t>
  </si>
  <si>
    <t xml:space="preserve">PARQUE ALVORADA</t>
  </si>
  <si>
    <t xml:space="preserve">AMANDA.MIRELLA@HOTMAIL.COM.BR</t>
  </si>
  <si>
    <t xml:space="preserve">(62) 32089604</t>
  </si>
  <si>
    <t xml:space="preserve">(62) 995326130</t>
  </si>
  <si>
    <t xml:space="preserve">DEIVID PEREIRA BATISTA FARIA</t>
  </si>
  <si>
    <t xml:space="preserve">6733057</t>
  </si>
  <si>
    <t xml:space="preserve">06786345131</t>
  </si>
  <si>
    <t xml:space="preserve">74395745</t>
  </si>
  <si>
    <t xml:space="preserve">RUA COLÉGIO, 1. QD 93 LT 22</t>
  </si>
  <si>
    <t xml:space="preserve">RESIDENCIAL SANTA FÉ I</t>
  </si>
  <si>
    <t xml:space="preserve">DEIVIDDPERIRA@GMAIL.COM</t>
  </si>
  <si>
    <t xml:space="preserve">(62) 992368148</t>
  </si>
  <si>
    <t xml:space="preserve">MARCUS AUGUSTUS MARÇAL LIMA</t>
  </si>
  <si>
    <t xml:space="preserve">06534972107</t>
  </si>
  <si>
    <t xml:space="preserve">74255250</t>
  </si>
  <si>
    <t xml:space="preserve">RUA C130A, 14. QD 251 LT 14</t>
  </si>
  <si>
    <t xml:space="preserve">MARCUS_AUGUSTUS@DISCENTE.UFG.BR</t>
  </si>
  <si>
    <t xml:space="preserve">(62) 985851646</t>
  </si>
  <si>
    <t xml:space="preserve">LUIZ FELIPE BERNARDES </t>
  </si>
  <si>
    <t xml:space="preserve">70287215156</t>
  </si>
  <si>
    <t xml:space="preserve">74735500</t>
  </si>
  <si>
    <t xml:space="preserve">RUA JOVINO BORGES DA SILVA, SN . QUADRA 2 LOTE 3</t>
  </si>
  <si>
    <t xml:space="preserve">RESIDENCIAL VALE DO ARAGUAIA</t>
  </si>
  <si>
    <t xml:space="preserve">LUIZFELIPEBERNARD@GMAIL.COM</t>
  </si>
  <si>
    <t xml:space="preserve">(62) 92001689</t>
  </si>
  <si>
    <t xml:space="preserve">(62) 992001689</t>
  </si>
  <si>
    <t xml:space="preserve">DAVI LIMA CARDOSO</t>
  </si>
  <si>
    <t xml:space="preserve">3451944</t>
  </si>
  <si>
    <t xml:space="preserve">06310926179</t>
  </si>
  <si>
    <t xml:space="preserve">72850320</t>
  </si>
  <si>
    <t xml:space="preserve">RUA PORTUGAL, 96. LOTE 17- APT 102</t>
  </si>
  <si>
    <t xml:space="preserve">JARDIM DO INGÁ</t>
  </si>
  <si>
    <t xml:space="preserve">DAVICARDOSO8603@GMAIL.COM</t>
  </si>
  <si>
    <t xml:space="preserve">(61) 92593678</t>
  </si>
  <si>
    <t xml:space="preserve">(61) 996535683</t>
  </si>
  <si>
    <t xml:space="preserve">UNIPROCESSUS</t>
  </si>
  <si>
    <t xml:space="preserve">SAMARA ALVES DE JESUS</t>
  </si>
  <si>
    <t xml:space="preserve">6983978</t>
  </si>
  <si>
    <t xml:space="preserve">71024818101</t>
  </si>
  <si>
    <t xml:space="preserve">74815540</t>
  </si>
  <si>
    <t xml:space="preserve">RUA 1065, 0000. QD 145 LT 13</t>
  </si>
  <si>
    <t xml:space="preserve">SAMARAJESUS856@GMAIL.COM</t>
  </si>
  <si>
    <t xml:space="preserve">(62) 99435650</t>
  </si>
  <si>
    <t xml:space="preserve">(62) 994356509</t>
  </si>
  <si>
    <t xml:space="preserve">LUIZ FELIPE TEIXEIRA DE BARROS</t>
  </si>
  <si>
    <t xml:space="preserve">7177067</t>
  </si>
  <si>
    <t xml:space="preserve">07226806193</t>
  </si>
  <si>
    <t xml:space="preserve">74884652</t>
  </si>
  <si>
    <t xml:space="preserve">RUA SB 42, SN. </t>
  </si>
  <si>
    <t xml:space="preserve">LOTEAMENTO PORTAL DO SOL II</t>
  </si>
  <si>
    <t xml:space="preserve">LUIZFELIPETEIXEIRADEBARROS@GMAIL.COM</t>
  </si>
  <si>
    <t xml:space="preserve">(62) 99620881</t>
  </si>
  <si>
    <t xml:space="preserve">(62) 996208816</t>
  </si>
  <si>
    <t xml:space="preserve">PUC CAMPUS V</t>
  </si>
  <si>
    <t xml:space="preserve">ROSILDA CARDOZO DURÃES </t>
  </si>
  <si>
    <t xml:space="preserve">10075013592</t>
  </si>
  <si>
    <t xml:space="preserve">74960560</t>
  </si>
  <si>
    <t xml:space="preserve">AVENIDA CENTRAL, SN. PRÓXIMO IGREJA ASSEMBLÉIA </t>
  </si>
  <si>
    <t xml:space="preserve">PARQUE IBIRAPUERA</t>
  </si>
  <si>
    <t xml:space="preserve">ROSILDA2703@GMAIL.COM</t>
  </si>
  <si>
    <t xml:space="preserve">(77) 98126024</t>
  </si>
  <si>
    <t xml:space="preserve">(77) 999506456</t>
  </si>
  <si>
    <t xml:space="preserve">SABRYNA KARLA COSTA LOPES</t>
  </si>
  <si>
    <t xml:space="preserve">70000137103</t>
  </si>
  <si>
    <t xml:space="preserve">75350000</t>
  </si>
  <si>
    <t xml:space="preserve">GUAPÓ</t>
  </si>
  <si>
    <t xml:space="preserve">RUA SANTA ROSA, 0. QUADRA 06, LOTE 59</t>
  </si>
  <si>
    <t xml:space="preserve">SABRYNAKARL@GMAIL.COM</t>
  </si>
  <si>
    <t xml:space="preserve">(62) 981318819</t>
  </si>
  <si>
    <t xml:space="preserve">AMANDA SOUZA ARAÚJO </t>
  </si>
  <si>
    <t xml:space="preserve">7113976</t>
  </si>
  <si>
    <t xml:space="preserve">71136859195</t>
  </si>
  <si>
    <t xml:space="preserve">74835530</t>
  </si>
  <si>
    <t xml:space="preserve">RUA TAMBUQUI, 108. RESIDENCIAL TAMBUQUI AP 302</t>
  </si>
  <si>
    <t xml:space="preserve">AMANDASOUZA20099@GMAIL.COM</t>
  </si>
  <si>
    <t xml:space="preserve">(62) 96736384</t>
  </si>
  <si>
    <t xml:space="preserve">(62) 996736384</t>
  </si>
  <si>
    <t xml:space="preserve">MARCOS DIEGO DE CASTRO </t>
  </si>
  <si>
    <t xml:space="preserve">05226946163</t>
  </si>
  <si>
    <t xml:space="preserve">76400000</t>
  </si>
  <si>
    <t xml:space="preserve">URUAÇU</t>
  </si>
  <si>
    <t xml:space="preserve">RUA PORTO NACIONAL , 10. QD 03 LT 38 A</t>
  </si>
  <si>
    <t xml:space="preserve">SÃO SEBASTIÃO </t>
  </si>
  <si>
    <t xml:space="preserve">MARCOSDIEGO17@HOTMAIL.COM</t>
  </si>
  <si>
    <t xml:space="preserve">(62) 99368780</t>
  </si>
  <si>
    <t xml:space="preserve">(62) 999368780</t>
  </si>
  <si>
    <t xml:space="preserve">LUCAS EDUARDO DE OLIVEIRA DIAS</t>
  </si>
  <si>
    <t xml:space="preserve">7294013</t>
  </si>
  <si>
    <t xml:space="preserve">08321237142</t>
  </si>
  <si>
    <t xml:space="preserve">74020155</t>
  </si>
  <si>
    <t xml:space="preserve">AVENIDA ARAGUAIA, 910. </t>
  </si>
  <si>
    <t xml:space="preserve">LUCASDEDIAS10@GMAIL.COM</t>
  </si>
  <si>
    <t xml:space="preserve">(62) 995511351</t>
  </si>
  <si>
    <t xml:space="preserve">MARIANA TAVARES MARTINS DE OLIVEIRA </t>
  </si>
  <si>
    <t xml:space="preserve">03589286130</t>
  </si>
  <si>
    <t xml:space="preserve">74921541</t>
  </si>
  <si>
    <t xml:space="preserve">RUA JOSÉ GABRIEL MEDEIROS, 000. QD.2 LT.3</t>
  </si>
  <si>
    <t xml:space="preserve">CONJUNTO RESIDENCIAL STORIL</t>
  </si>
  <si>
    <t xml:space="preserve">MARIANABJJ23@GMAIL.COM</t>
  </si>
  <si>
    <t xml:space="preserve">(62) 32771613</t>
  </si>
  <si>
    <t xml:space="preserve">(62) 984318439</t>
  </si>
  <si>
    <t xml:space="preserve">KLAIVER  SILVA COSTA</t>
  </si>
  <si>
    <t xml:space="preserve">09677926144</t>
  </si>
  <si>
    <t xml:space="preserve">75835054</t>
  </si>
  <si>
    <t xml:space="preserve">RUA 4, 0. RUA 4 Q8 LT 2A</t>
  </si>
  <si>
    <t xml:space="preserve">SETOR MARCELINO TEODORO GOMES</t>
  </si>
  <si>
    <t xml:space="preserve">KLAIVERSILVACOSTA@GMAIL.COM</t>
  </si>
  <si>
    <t xml:space="preserve">(64) 992345807</t>
  </si>
  <si>
    <t xml:space="preserve">CENTRO UNIVERSITÁRIO UNIFIMES</t>
  </si>
  <si>
    <t xml:space="preserve">GUSTAVO GOULÃO DUTRA</t>
  </si>
  <si>
    <t xml:space="preserve">08363817180</t>
  </si>
  <si>
    <t xml:space="preserve">72980000</t>
  </si>
  <si>
    <t xml:space="preserve">PIRENÓPOLIS</t>
  </si>
  <si>
    <t xml:space="preserve">RUA CAMPOS VERDES , 08. CASA </t>
  </si>
  <si>
    <t xml:space="preserve">PARQUE BRASÍLIA </t>
  </si>
  <si>
    <t xml:space="preserve">GOULAODUTRA@GMAIL.COM</t>
  </si>
  <si>
    <t xml:space="preserve">(62) 33312802</t>
  </si>
  <si>
    <t xml:space="preserve">(62) 992893807</t>
  </si>
  <si>
    <t xml:space="preserve">FACULDADE RAIZES </t>
  </si>
  <si>
    <t xml:space="preserve">MARIANA MONTEIRO FREITAS</t>
  </si>
  <si>
    <t xml:space="preserve">70499879139</t>
  </si>
  <si>
    <t xml:space="preserve">74620230</t>
  </si>
  <si>
    <t xml:space="preserve">RUA 20, 825. QUADRA S LOTE 11 </t>
  </si>
  <si>
    <t xml:space="preserve">VILA MORAIS</t>
  </si>
  <si>
    <t xml:space="preserve">MGNFREITAS1@GMAIL.COM</t>
  </si>
  <si>
    <t xml:space="preserve">(62) 32061225</t>
  </si>
  <si>
    <t xml:space="preserve">(62) 984586905</t>
  </si>
  <si>
    <t xml:space="preserve">VICTÓRIA QUEIROZ COELHO SOARES</t>
  </si>
  <si>
    <t xml:space="preserve">5336162</t>
  </si>
  <si>
    <t xml:space="preserve">03144099120</t>
  </si>
  <si>
    <t xml:space="preserve">74685460</t>
  </si>
  <si>
    <t xml:space="preserve">RUA SANTANA, 00. CASA 01</t>
  </si>
  <si>
    <t xml:space="preserve">VILA JARDIM SÃO JUDAS TADEU</t>
  </si>
  <si>
    <t xml:space="preserve">VICTORIAQUEIROZ2020@OUTLOOK.COM</t>
  </si>
  <si>
    <t xml:space="preserve">(62) 999161188</t>
  </si>
  <si>
    <t xml:space="preserve">NADIA SOCORRO SANDES PAIVA</t>
  </si>
  <si>
    <t xml:space="preserve">44050534134</t>
  </si>
  <si>
    <t xml:space="preserve">RUA EUNICE DE ALENCAR BRAGA COSTA CAMPOS, 167. QD 08 LT 09</t>
  </si>
  <si>
    <t xml:space="preserve">NADIASANDES@OUTLOOK.COM</t>
  </si>
  <si>
    <t xml:space="preserve">(62) 981628866</t>
  </si>
  <si>
    <t xml:space="preserve">ANTÔNIO CARLOS TIOSSO</t>
  </si>
  <si>
    <t xml:space="preserve">14949333810</t>
  </si>
  <si>
    <t xml:space="preserve">74835700</t>
  </si>
  <si>
    <t xml:space="preserve">AVENIDA FEIRA DE SANTANA, 1618. RESIDENCIAL RIO NEGRO</t>
  </si>
  <si>
    <t xml:space="preserve">ANTONIOTIOSSO@HOTMAIL.COM</t>
  </si>
  <si>
    <t xml:space="preserve">(62) 982776000</t>
  </si>
  <si>
    <t xml:space="preserve">FACULDADE UNIARAGUAIA </t>
  </si>
  <si>
    <t xml:space="preserve">VANESSA DE ANDRADE FLORENCIO MATOS</t>
  </si>
  <si>
    <t xml:space="preserve">1724365</t>
  </si>
  <si>
    <t xml:space="preserve">66986028172</t>
  </si>
  <si>
    <t xml:space="preserve">72926084</t>
  </si>
  <si>
    <t xml:space="preserve">QUADRA QUADRA 43, 1. </t>
  </si>
  <si>
    <t xml:space="preserve">PARQUE DAS ÁGUAS BONITAS I</t>
  </si>
  <si>
    <t xml:space="preserve">NESSAMATOS758@GMAIL.COM</t>
  </si>
  <si>
    <t xml:space="preserve">(61) 99649718</t>
  </si>
  <si>
    <t xml:space="preserve">(61) 992390722</t>
  </si>
  <si>
    <t xml:space="preserve">UNI-LS</t>
  </si>
  <si>
    <t xml:space="preserve">mora longe</t>
  </si>
  <si>
    <t xml:space="preserve">FABIANA RODRIGUES COSTA</t>
  </si>
  <si>
    <t xml:space="preserve">4069131</t>
  </si>
  <si>
    <t xml:space="preserve">94975124149</t>
  </si>
  <si>
    <t xml:space="preserve">74371360</t>
  </si>
  <si>
    <t xml:space="preserve">RUA MDV 22, 22. QD49 LT20</t>
  </si>
  <si>
    <t xml:space="preserve">MOINHO DOS VENTOS</t>
  </si>
  <si>
    <t xml:space="preserve">FABICOSTA1923@GMAIL.COM</t>
  </si>
  <si>
    <t xml:space="preserve">(62) 84570420</t>
  </si>
  <si>
    <t xml:space="preserve">(62) 992816614</t>
  </si>
  <si>
    <t xml:space="preserve">ROBERTA LISBOA DOS SANTOS</t>
  </si>
  <si>
    <t xml:space="preserve">85155233100</t>
  </si>
  <si>
    <t xml:space="preserve">74223170</t>
  </si>
  <si>
    <t xml:space="preserve">RUA T 61, 265. </t>
  </si>
  <si>
    <t xml:space="preserve">BETAPAZZINATTO@HOTMAIL.COM</t>
  </si>
  <si>
    <t xml:space="preserve">(62) 983235835</t>
  </si>
  <si>
    <t xml:space="preserve">UNIAARAGUAIA</t>
  </si>
  <si>
    <t xml:space="preserve">ALESSANDRA ALVES DE OLIVEIRA </t>
  </si>
  <si>
    <t xml:space="preserve">5040955</t>
  </si>
  <si>
    <t xml:space="preserve">02253927120</t>
  </si>
  <si>
    <t xml:space="preserve">AVENIDA BRASIL, S/N. BLOCO 3 AP 402 RESIDENCIAL FLORA PARK </t>
  </si>
  <si>
    <t xml:space="preserve">ALESSANDRLOPES2007@HOTMAIL.COM</t>
  </si>
  <si>
    <t xml:space="preserve">(62) 992849249</t>
  </si>
  <si>
    <t xml:space="preserve">PUC-GO</t>
  </si>
  <si>
    <t xml:space="preserve">11/05 - 13:00</t>
  </si>
  <si>
    <t xml:space="preserve">VALTINEI BENTO DUARTE</t>
  </si>
  <si>
    <t xml:space="preserve">03380839108</t>
  </si>
  <si>
    <t xml:space="preserve">75260120</t>
  </si>
  <si>
    <t xml:space="preserve">RUA RP 34, S/N. QD59 LT22</t>
  </si>
  <si>
    <t xml:space="preserve">RESIDENCIAL PARAÍSO II</t>
  </si>
  <si>
    <t xml:space="preserve">VALTINEIDUARTE.GO@GMAIL.COM</t>
  </si>
  <si>
    <t xml:space="preserve">(62) 993055100</t>
  </si>
  <si>
    <t xml:space="preserve">DAWTON ALVES DE SOUSA</t>
  </si>
  <si>
    <t xml:space="preserve">02665664135</t>
  </si>
  <si>
    <t xml:space="preserve">74475010</t>
  </si>
  <si>
    <t xml:space="preserve">RUA A, S/N. QUADRA 12 LOTE 01</t>
  </si>
  <si>
    <t xml:space="preserve">SETOR PARQUE TREMENDÃO</t>
  </si>
  <si>
    <t xml:space="preserve">DAWTONALVES@GMAIL.COM</t>
  </si>
  <si>
    <t xml:space="preserve">(62) 992500700</t>
  </si>
  <si>
    <t xml:space="preserve">UNIVERSO SALGADO DE OLIVEIRA</t>
  </si>
  <si>
    <t xml:space="preserve">DÊNIS SOARES DA SILVA</t>
  </si>
  <si>
    <t xml:space="preserve">70286089483</t>
  </si>
  <si>
    <t xml:space="preserve">54240120</t>
  </si>
  <si>
    <t xml:space="preserve">PE</t>
  </si>
  <si>
    <t xml:space="preserve">JABOATÃO DOS GUARARAPES</t>
  </si>
  <si>
    <t xml:space="preserve">RUA TREZE, 315. A</t>
  </si>
  <si>
    <t xml:space="preserve">CURADO</t>
  </si>
  <si>
    <t xml:space="preserve">DDENISSOARESSILVA@OUTLOOK.COM</t>
  </si>
  <si>
    <t xml:space="preserve">(81) 98562676</t>
  </si>
  <si>
    <t xml:space="preserve">(81) 985626766</t>
  </si>
  <si>
    <t xml:space="preserve">FACULDADE FRASSINETTI DO RECIFE</t>
  </si>
  <si>
    <t xml:space="preserve">VINICIUS MARCAL DIAS SILVA</t>
  </si>
  <si>
    <t xml:space="preserve">5919289</t>
  </si>
  <si>
    <t xml:space="preserve">04904517130</t>
  </si>
  <si>
    <t xml:space="preserve">74305360</t>
  </si>
  <si>
    <t xml:space="preserve">RUA C57, S/N. QD 108 LT 09</t>
  </si>
  <si>
    <t xml:space="preserve">VINICIUSMARCAL96@GMAIL.COM</t>
  </si>
  <si>
    <t xml:space="preserve">(62) 95006261</t>
  </si>
  <si>
    <t xml:space="preserve">(62) 995006261</t>
  </si>
  <si>
    <t xml:space="preserve">ÍCARO DOMINGUES REGO </t>
  </si>
  <si>
    <t xml:space="preserve">04520936519</t>
  </si>
  <si>
    <t xml:space="preserve">74915485</t>
  </si>
  <si>
    <t xml:space="preserve">RUA NARAYOLA, AP 703. RESIDENCIAL CARIBE</t>
  </si>
  <si>
    <t xml:space="preserve">JARDIM LUZ </t>
  </si>
  <si>
    <t xml:space="preserve">ICARODOMINGUESRV@GMAIL.COM</t>
  </si>
  <si>
    <t xml:space="preserve">(62) 98269232</t>
  </si>
  <si>
    <t xml:space="preserve">(62) 982692324</t>
  </si>
  <si>
    <t xml:space="preserve">JOAO VITOR RAMOS SOUZA</t>
  </si>
  <si>
    <t xml:space="preserve">5267843</t>
  </si>
  <si>
    <t xml:space="preserve">01407076116</t>
  </si>
  <si>
    <t xml:space="preserve">74490207</t>
  </si>
  <si>
    <t xml:space="preserve">AVENIDA GYN 20, QUADRA 3 A. LOTE 1</t>
  </si>
  <si>
    <t xml:space="preserve">PARQUE ELDORADO OESTE</t>
  </si>
  <si>
    <t xml:space="preserve">JOAOESPERTO@ICLOUD.COM</t>
  </si>
  <si>
    <t xml:space="preserve">(62) 981702141</t>
  </si>
  <si>
    <t xml:space="preserve">PUC-GOIAS</t>
  </si>
  <si>
    <t xml:space="preserve">MIRELLA FERNANDES CARDOSO</t>
  </si>
  <si>
    <t xml:space="preserve">5620080</t>
  </si>
  <si>
    <t xml:space="preserve">05347906154</t>
  </si>
  <si>
    <t xml:space="preserve">74580230</t>
  </si>
  <si>
    <t xml:space="preserve">RUA SP 1, S/N. QUADRA 29, LOTE 30A</t>
  </si>
  <si>
    <t xml:space="preserve">SETOR PERIM</t>
  </si>
  <si>
    <t xml:space="preserve">MIRELLAMATHEUS@HOTMAIL.COM</t>
  </si>
  <si>
    <t xml:space="preserve">(62) 92542801</t>
  </si>
  <si>
    <t xml:space="preserve">(62) 995451649</t>
  </si>
  <si>
    <t xml:space="preserve">KAREN CRISTINA BATISTA CAMPOS </t>
  </si>
  <si>
    <t xml:space="preserve">08513025135</t>
  </si>
  <si>
    <t xml:space="preserve">74215010</t>
  </si>
  <si>
    <t xml:space="preserve">AVENIDA T 2, APT 102. EDIFÍCIO BOM JARDIM </t>
  </si>
  <si>
    <t xml:space="preserve">KAREN.16CRISTIN@GMAIL.COM</t>
  </si>
  <si>
    <t xml:space="preserve">(61) 993922034</t>
  </si>
  <si>
    <t xml:space="preserve">FACULDADE UNICAMBURY </t>
  </si>
  <si>
    <t xml:space="preserve">25/04 - 08:25</t>
  </si>
  <si>
    <t xml:space="preserve">LUAN JOHN SANTOS BARROS </t>
  </si>
  <si>
    <t xml:space="preserve">04220775269</t>
  </si>
  <si>
    <t xml:space="preserve">74820260</t>
  </si>
  <si>
    <t xml:space="preserve">RUA 1013, 9. Q 29 LT 8</t>
  </si>
  <si>
    <t xml:space="preserve">LUANJOHN03@GMAIL.COM</t>
  </si>
  <si>
    <t xml:space="preserve">(62) 983105978</t>
  </si>
  <si>
    <t xml:space="preserve">VITORIA CAROLINE RODRIGUES DE SOUZA</t>
  </si>
  <si>
    <t xml:space="preserve">6711824</t>
  </si>
  <si>
    <t xml:space="preserve">06811907100</t>
  </si>
  <si>
    <t xml:space="preserve">75670000</t>
  </si>
  <si>
    <t xml:space="preserve">MARZAGÃO</t>
  </si>
  <si>
    <t xml:space="preserve">RUA M1, 159. </t>
  </si>
  <si>
    <t xml:space="preserve">SETOR ANTONIO BUENO </t>
  </si>
  <si>
    <t xml:space="preserve">VITORIACAROLINERDGES@GMAIL.COM</t>
  </si>
  <si>
    <t xml:space="preserve">(64) 992855662</t>
  </si>
  <si>
    <t xml:space="preserve">UNA CATALÃO</t>
  </si>
  <si>
    <t xml:space="preserve">25/04 - 11:20</t>
  </si>
  <si>
    <t xml:space="preserve">FLÁVIA PEREIRA BORGES</t>
  </si>
  <si>
    <t xml:space="preserve">31515290</t>
  </si>
  <si>
    <t xml:space="preserve">06795688160</t>
  </si>
  <si>
    <t xml:space="preserve">78780000</t>
  </si>
  <si>
    <t xml:space="preserve">ALTO ARAGUAIA</t>
  </si>
  <si>
    <t xml:space="preserve">RUA CUSTÓDIA TORRES CARVALHO, 29. </t>
  </si>
  <si>
    <t xml:space="preserve">PARQUE DO CERRADO</t>
  </si>
  <si>
    <t xml:space="preserve">FLAHBORGES082@GMAIL.COM</t>
  </si>
  <si>
    <t xml:space="preserve">(55) 66996337</t>
  </si>
  <si>
    <t xml:space="preserve">(66) 96337552</t>
  </si>
  <si>
    <t xml:space="preserve">UNIFIMES </t>
  </si>
  <si>
    <t xml:space="preserve">LAÍS FERREIRA DE MAGALHÃES </t>
  </si>
  <si>
    <t xml:space="preserve">69947664</t>
  </si>
  <si>
    <t xml:space="preserve">71027163114</t>
  </si>
  <si>
    <t xml:space="preserve">RUA, S/N. QD 12 LT 06</t>
  </si>
  <si>
    <t xml:space="preserve">SAO PEDRO </t>
  </si>
  <si>
    <t xml:space="preserve">FLAIS7563@GMAIL.COM</t>
  </si>
  <si>
    <t xml:space="preserve">(62) 993944283</t>
  </si>
  <si>
    <t xml:space="preserve">UNIP</t>
  </si>
  <si>
    <t xml:space="preserve">NATALIA LOPES BEZERRA</t>
  </si>
  <si>
    <t xml:space="preserve">70747861102</t>
  </si>
  <si>
    <t xml:space="preserve">74684033</t>
  </si>
  <si>
    <t xml:space="preserve">RUA JP8, 0. 0</t>
  </si>
  <si>
    <t xml:space="preserve">RESIDENCIAL JOÃO PAULO II</t>
  </si>
  <si>
    <t xml:space="preserve">NATYLOPESBEZERRA18@GMAIL.COM</t>
  </si>
  <si>
    <t xml:space="preserve">(62) 99826050</t>
  </si>
  <si>
    <t xml:space="preserve">(62) 998260502</t>
  </si>
  <si>
    <t xml:space="preserve">FACULDADE LIONS</t>
  </si>
  <si>
    <t xml:space="preserve">IANA VITÓRIA CARVALHO LOUZEIRA </t>
  </si>
  <si>
    <t xml:space="preserve">06381869356</t>
  </si>
  <si>
    <t xml:space="preserve">74944330</t>
  </si>
  <si>
    <t xml:space="preserve">RUA DO CARMO, 00. QD;52 LT:13</t>
  </si>
  <si>
    <t xml:space="preserve">JARDIM BURITI SERENO</t>
  </si>
  <si>
    <t xml:space="preserve">IANAVITORIACARVALHOLOUZEIRO@GMAIL.COM</t>
  </si>
  <si>
    <t xml:space="preserve">(62) 91808027</t>
  </si>
  <si>
    <t xml:space="preserve">(62) 992217671</t>
  </si>
  <si>
    <t xml:space="preserve">SENSU</t>
  </si>
  <si>
    <t xml:space="preserve">NICOLE ESTER APARECIDA DE SÁ </t>
  </si>
  <si>
    <t xml:space="preserve">70787248100</t>
  </si>
  <si>
    <t xml:space="preserve">74942400</t>
  </si>
  <si>
    <t xml:space="preserve">RUA RIO DAS FLORES, 00. </t>
  </si>
  <si>
    <t xml:space="preserve">NICOLEESTER987@GMAIL.COM</t>
  </si>
  <si>
    <t xml:space="preserve">(62) 991275231</t>
  </si>
  <si>
    <t xml:space="preserve">REBECA RODRIGUES DOS SANTOS </t>
  </si>
  <si>
    <t xml:space="preserve">6947017</t>
  </si>
  <si>
    <t xml:space="preserve">70206181116</t>
  </si>
  <si>
    <t xml:space="preserve">74560075</t>
  </si>
  <si>
    <t xml:space="preserve">RUA 23, 87. Q 24, L 13</t>
  </si>
  <si>
    <t xml:space="preserve">SETOR MARECHAL RONDON</t>
  </si>
  <si>
    <t xml:space="preserve">BECA_ISSA@HOTMAIL.COM</t>
  </si>
  <si>
    <t xml:space="preserve">(62) 993271685</t>
  </si>
  <si>
    <t xml:space="preserve">LEONARDO COSTA E SANTANA</t>
  </si>
  <si>
    <t xml:space="preserve">70771541147</t>
  </si>
  <si>
    <t xml:space="preserve">74936320</t>
  </si>
  <si>
    <t xml:space="preserve">RUA H 79, 02. QD 235 LT 19</t>
  </si>
  <si>
    <t xml:space="preserve">LEONARDOCS113@GMAIL.COM</t>
  </si>
  <si>
    <t xml:space="preserve">(62) 993468970</t>
  </si>
  <si>
    <t xml:space="preserve">FANAP</t>
  </si>
  <si>
    <t xml:space="preserve">ANNA LYSSA FERREIRA CABALINE</t>
  </si>
  <si>
    <t xml:space="preserve">05798113108</t>
  </si>
  <si>
    <t xml:space="preserve">GOIÁS</t>
  </si>
  <si>
    <t xml:space="preserve">RUA DO BARREIRINHO, QD 00, L. 00, 000. </t>
  </si>
  <si>
    <t xml:space="preserve">AREIÃO</t>
  </si>
  <si>
    <t xml:space="preserve">ANNALYSSACABALINE@GMAIL.COM</t>
  </si>
  <si>
    <t xml:space="preserve">(62) 991821227</t>
  </si>
  <si>
    <t xml:space="preserve">UNIVERSIDADE FEDERAL DE GOIÁS (UFG) - CAMPUS GOIÁS</t>
  </si>
  <si>
    <t xml:space="preserve">impossível o estágio presencial</t>
  </si>
  <si>
    <t xml:space="preserve">PATRICK LUIS FASOLO FILHO</t>
  </si>
  <si>
    <t xml:space="preserve">06312313158</t>
  </si>
  <si>
    <t xml:space="preserve">74835085</t>
  </si>
  <si>
    <t xml:space="preserve">AVENIDA T 14, 300. 1102A</t>
  </si>
  <si>
    <t xml:space="preserve">SERRINHA</t>
  </si>
  <si>
    <t xml:space="preserve">PATRICKFILHO2002@GMAIL.COM</t>
  </si>
  <si>
    <t xml:space="preserve">(62) 994399489</t>
  </si>
  <si>
    <t xml:space="preserve">UEG </t>
  </si>
  <si>
    <t xml:space="preserve">26/04 - 12:30</t>
  </si>
  <si>
    <t xml:space="preserve">VITORIA GABRIELLY</t>
  </si>
  <si>
    <t xml:space="preserve">6757691</t>
  </si>
  <si>
    <t xml:space="preserve">70808455133</t>
  </si>
  <si>
    <t xml:space="preserve">74477327</t>
  </si>
  <si>
    <t xml:space="preserve">RUA BS7A, 1218. CASA</t>
  </si>
  <si>
    <t xml:space="preserve">SÃO DOMINGOS</t>
  </si>
  <si>
    <t xml:space="preserve">VGABRIELLY207@GMAIL.COM</t>
  </si>
  <si>
    <t xml:space="preserve">(62) 999674942</t>
  </si>
  <si>
    <t xml:space="preserve">FACULDADE UNIDA DE CAMPINAS- FACUNICAMPS </t>
  </si>
  <si>
    <t xml:space="preserve">REMANEJADO</t>
  </si>
  <si>
    <t xml:space="preserve">GEOVANNA DA SILVA BARBOSA</t>
  </si>
  <si>
    <t xml:space="preserve">7041577</t>
  </si>
  <si>
    <t xml:space="preserve">71073873161</t>
  </si>
  <si>
    <t xml:space="preserve">75053333</t>
  </si>
  <si>
    <t xml:space="preserve">RUA LINDA, 0. QUADRA 38, LOTE 10</t>
  </si>
  <si>
    <t xml:space="preserve">ADRIANA PARQUE</t>
  </si>
  <si>
    <t xml:space="preserve">MAYA88643@GMAIL.COM</t>
  </si>
  <si>
    <t xml:space="preserve">(62) 92189604</t>
  </si>
  <si>
    <t xml:space="preserve">(62) 991300828</t>
  </si>
  <si>
    <t xml:space="preserve">UNIVERSIDADE EVANGÉLICA DE GOIÁS UNIEVANGÉLICA </t>
  </si>
  <si>
    <t xml:space="preserve">cursando o 4°semestre</t>
  </si>
  <si>
    <t xml:space="preserve">DEYVISON RODRIGUES DE JESUS </t>
  </si>
  <si>
    <t xml:space="preserve">71218404132</t>
  </si>
  <si>
    <t xml:space="preserve">74440560</t>
  </si>
  <si>
    <t xml:space="preserve">RUA 610, 00. QUADRA 557 LOTE 04 CASA 04</t>
  </si>
  <si>
    <t xml:space="preserve">SETOR SÃO JOSÉ</t>
  </si>
  <si>
    <t xml:space="preserve">DEYVISONROCA12@GMAIL.COM</t>
  </si>
  <si>
    <t xml:space="preserve">(62) 32950042</t>
  </si>
  <si>
    <t xml:space="preserve">(62) 982765005</t>
  </si>
  <si>
    <t xml:space="preserve">UNIVERSIDADE ALVES FARIAS </t>
  </si>
  <si>
    <t xml:space="preserve">BEATRIZ CARVALHO REIS</t>
  </si>
  <si>
    <t xml:space="preserve">5857890</t>
  </si>
  <si>
    <t xml:space="preserve">70019486162</t>
  </si>
  <si>
    <t xml:space="preserve">75084080</t>
  </si>
  <si>
    <t xml:space="preserve">AVENIDA ARCHIMEDES ROSA, 00. QD.48 LT.14 CASA 01</t>
  </si>
  <si>
    <t xml:space="preserve">BIIAAREIIS12@GMAIL.COM</t>
  </si>
  <si>
    <t xml:space="preserve">(62) 992286641</t>
  </si>
  <si>
    <t xml:space="preserve">UNIVERSIDADE EVANGÉLICA DE GOIÁS</t>
  </si>
  <si>
    <t xml:space="preserve">STEFANY DEMETRIO GONCALVES</t>
  </si>
  <si>
    <t xml:space="preserve">6994345</t>
  </si>
  <si>
    <t xml:space="preserve">70865073180</t>
  </si>
  <si>
    <t xml:space="preserve">75257728</t>
  </si>
  <si>
    <t xml:space="preserve">RUA IPÊ 29, S/N. QD.37 LT.24</t>
  </si>
  <si>
    <t xml:space="preserve">RESIDENCIAL FLOR DO IPÊ II</t>
  </si>
  <si>
    <t xml:space="preserve">STEFANNYDEMMETRIO@GMAIL.COM</t>
  </si>
  <si>
    <t xml:space="preserve">(62) 995670626</t>
  </si>
  <si>
    <t xml:space="preserve">JOÃO MARCELO SANTOS SILVA</t>
  </si>
  <si>
    <t xml:space="preserve">5776773</t>
  </si>
  <si>
    <t xml:space="preserve">75496585104</t>
  </si>
  <si>
    <t xml:space="preserve">74343520</t>
  </si>
  <si>
    <t xml:space="preserve">RUA DO SAVEU, 00. QUADRA 23 LOTE 21</t>
  </si>
  <si>
    <t xml:space="preserve">JOAOM4455@GMAIL.COM</t>
  </si>
  <si>
    <t xml:space="preserve">(62) 82805000</t>
  </si>
  <si>
    <t xml:space="preserve">(62) 981208708</t>
  </si>
  <si>
    <t xml:space="preserve">PUC - GOIÁS</t>
  </si>
  <si>
    <t xml:space="preserve">BRENDA DO NASCIMENTO SOUSA</t>
  </si>
  <si>
    <t xml:space="preserve">07364961143</t>
  </si>
  <si>
    <t xml:space="preserve">75240000</t>
  </si>
  <si>
    <t xml:space="preserve">BELA VISTA DE GOIÁS</t>
  </si>
  <si>
    <t xml:space="preserve">FRANCISCO MEDEIROS , 380. CENTRO</t>
  </si>
  <si>
    <t xml:space="preserve">SOUSABRENDA1005@GMAIL.COM</t>
  </si>
  <si>
    <t xml:space="preserve">(62) 96836520</t>
  </si>
  <si>
    <t xml:space="preserve">(62) 999636425</t>
  </si>
  <si>
    <t xml:space="preserve">MICHELLE PEREIRA DA CONCEIÇÃO</t>
  </si>
  <si>
    <t xml:space="preserve">08780475140</t>
  </si>
  <si>
    <t xml:space="preserve">AVENIDA PERIMETRAL NORTE, 1002. RESIDENCIAL MARESIA GUARUJÁ</t>
  </si>
  <si>
    <t xml:space="preserve">MICHELLEPP535@GMAIL.COM</t>
  </si>
  <si>
    <t xml:space="preserve">(61) 998669621</t>
  </si>
  <si>
    <t xml:space="preserve">CENTRO UNIVERSITÁRIO ALVES FARIA </t>
  </si>
  <si>
    <t xml:space="preserve">VÍTOR MORATO COSTA YAMADA RODRIGUES</t>
  </si>
  <si>
    <t xml:space="preserve">6249124</t>
  </si>
  <si>
    <t xml:space="preserve">05820297164</t>
  </si>
  <si>
    <t xml:space="preserve">74884644</t>
  </si>
  <si>
    <t xml:space="preserve">RUA SB 34, S/N. Q. 55 L. 6</t>
  </si>
  <si>
    <t xml:space="preserve">VITOR.MORATO.YAMADA@GMAIL.COM</t>
  </si>
  <si>
    <t xml:space="preserve">(62) 982136756</t>
  </si>
  <si>
    <t xml:space="preserve">KAROLAINE KAUANE DE SÁ </t>
  </si>
  <si>
    <t xml:space="preserve">05416790580</t>
  </si>
  <si>
    <t xml:space="preserve">48603004</t>
  </si>
  <si>
    <t xml:space="preserve">BA</t>
  </si>
  <si>
    <t xml:space="preserve">PAULO AFONSO</t>
  </si>
  <si>
    <t xml:space="preserve">RUA VEREADOR JOSÉ MOREIRA, 1230. </t>
  </si>
  <si>
    <t xml:space="preserve">PERPÉTUO SOCORRO</t>
  </si>
  <si>
    <t xml:space="preserve">KAROLAINEKAUANE2019@GMAIL.COM</t>
  </si>
  <si>
    <t xml:space="preserve">(75) 992596782</t>
  </si>
  <si>
    <t xml:space="preserve">ENSINO MÉDIO </t>
  </si>
  <si>
    <t xml:space="preserve">26/04 - 13:20 </t>
  </si>
  <si>
    <t xml:space="preserve">ANDERSON ALMEIDA NASCIMENTO</t>
  </si>
  <si>
    <t xml:space="preserve">61443695386</t>
  </si>
  <si>
    <t xml:space="preserve">AVENIDA BRASIL, 04. BLOCO 04, APARTAMENTO 103</t>
  </si>
  <si>
    <t xml:space="preserve">ANDERSONALMEIDANASCIMENTO564@GMAIL.COM</t>
  </si>
  <si>
    <t xml:space="preserve">(62) 999182292</t>
  </si>
  <si>
    <t xml:space="preserve">26/04 - 13:20</t>
  </si>
  <si>
    <t xml:space="preserve">IARA PEREIRA BRITO</t>
  </si>
  <si>
    <t xml:space="preserve">2165251010</t>
  </si>
  <si>
    <t xml:space="preserve">07700359571</t>
  </si>
  <si>
    <t xml:space="preserve">74640140</t>
  </si>
  <si>
    <t xml:space="preserve">RUA 210, SN. QUADRA 803, LOTE 16</t>
  </si>
  <si>
    <t xml:space="preserve">IARAPBRITO0610@GMAIL.COM</t>
  </si>
  <si>
    <t xml:space="preserve">(62) 984649988</t>
  </si>
  <si>
    <t xml:space="preserve">JOÃO PEDRO BOZOLÃO MARTINS </t>
  </si>
  <si>
    <t xml:space="preserve">36178511850</t>
  </si>
  <si>
    <t xml:space="preserve">07703085</t>
  </si>
  <si>
    <t xml:space="preserve">CAIEIRAS</t>
  </si>
  <si>
    <t xml:space="preserve">AVENIDA PREFEITO DONALD SAVAZONI, 446. CASA</t>
  </si>
  <si>
    <t xml:space="preserve">NOVA CAIEIRAS</t>
  </si>
  <si>
    <t xml:space="preserve">JOAOPEDROBMARTINS@USP.BR</t>
  </si>
  <si>
    <t xml:space="preserve">(11) 44454685</t>
  </si>
  <si>
    <t xml:space="preserve">(11) 955543468</t>
  </si>
  <si>
    <t xml:space="preserve">FDRP-USP </t>
  </si>
  <si>
    <t xml:space="preserve">ALZIRA CAROLINA SANTANA </t>
  </si>
  <si>
    <t xml:space="preserve">03707205126</t>
  </si>
  <si>
    <t xml:space="preserve">AVENIDA GOIÁS, 981. EM FRENTE AO BANCO DO BRASIL</t>
  </si>
  <si>
    <t xml:space="preserve">CAROLINA.SANTANA0125@GMAIL.COM</t>
  </si>
  <si>
    <t xml:space="preserve">(62) 96514855</t>
  </si>
  <si>
    <t xml:space="preserve">(62) 996514855</t>
  </si>
  <si>
    <t xml:space="preserve">KAMYLA CAMPOS FERREIRA ROSA</t>
  </si>
  <si>
    <t xml:space="preserve">6741817</t>
  </si>
  <si>
    <t xml:space="preserve">04504661160</t>
  </si>
  <si>
    <t xml:space="preserve">74255120</t>
  </si>
  <si>
    <t xml:space="preserve">RUA C161, 265. (SETOR LOCALIZADO EM GOIANIA)</t>
  </si>
  <si>
    <t xml:space="preserve">KAMYLA.CAMPOSGL@GMAIL.COM</t>
  </si>
  <si>
    <t xml:space="preserve">(62) 982357594</t>
  </si>
  <si>
    <t xml:space="preserve">IPOG INSTITUTO DE PÓS GRADUACAO E GRADUACAO </t>
  </si>
  <si>
    <t xml:space="preserve">OTAIR SILVA LOBO JUNIOR</t>
  </si>
  <si>
    <t xml:space="preserve">65800650</t>
  </si>
  <si>
    <t xml:space="preserve">70548254117</t>
  </si>
  <si>
    <t xml:space="preserve">74935410</t>
  </si>
  <si>
    <t xml:space="preserve">RUA H 41, 12. RUA H41 QD49 LT12 </t>
  </si>
  <si>
    <t xml:space="preserve">CONJUNTO ESTRELA DO SUL</t>
  </si>
  <si>
    <t xml:space="preserve">OTAIRSLJ8@YAHOO.COM</t>
  </si>
  <si>
    <t xml:space="preserve">(62) 35873624</t>
  </si>
  <si>
    <t xml:space="preserve">(62) 995112065</t>
  </si>
  <si>
    <t xml:space="preserve">CENTRO UNIVERSITARIO ALFREDO NASSER</t>
  </si>
  <si>
    <t xml:space="preserve">RHÁVYLLA KAREN DE SOUSA RIBEIRO </t>
  </si>
  <si>
    <t xml:space="preserve">05919923105</t>
  </si>
  <si>
    <t xml:space="preserve">74473830</t>
  </si>
  <si>
    <t xml:space="preserve">RUA DA DIVISA, 0. QUADRA 7 LOTE 67</t>
  </si>
  <si>
    <t xml:space="preserve">SETOR MORADA DO SOL</t>
  </si>
  <si>
    <t xml:space="preserve">RHAVYLLAKAREN59@ICLOUD.COM</t>
  </si>
  <si>
    <t xml:space="preserve">(62) 993361943</t>
  </si>
  <si>
    <t xml:space="preserve">UNIALFA- UNIDADE PERIMETRAL </t>
  </si>
  <si>
    <t xml:space="preserve">ANA CLARA SILVA BRANDAO</t>
  </si>
  <si>
    <t xml:space="preserve">6579893</t>
  </si>
  <si>
    <t xml:space="preserve">70633523186</t>
  </si>
  <si>
    <t xml:space="preserve">76382012</t>
  </si>
  <si>
    <t xml:space="preserve">RUA 12, 439. ESQUINA COM A 13</t>
  </si>
  <si>
    <t xml:space="preserve">ANINHA.SILVA.BRANDAO@HOTMAIL.COM</t>
  </si>
  <si>
    <t xml:space="preserve">(62) 986204955</t>
  </si>
  <si>
    <t xml:space="preserve">FACULDADE EVANGÉLICA DE GOIANÉSIA </t>
  </si>
  <si>
    <t xml:space="preserve">ANA BEATRIZ DE FREITAS FERNANDES </t>
  </si>
  <si>
    <t xml:space="preserve">07146265110</t>
  </si>
  <si>
    <t xml:space="preserve">72960000</t>
  </si>
  <si>
    <t xml:space="preserve">CORUMBÁ DE GOIÁS</t>
  </si>
  <si>
    <t xml:space="preserve">RUA BELGI HENRIQUE DOS SANTOS , 1. </t>
  </si>
  <si>
    <t xml:space="preserve">TORDESILHAS </t>
  </si>
  <si>
    <t xml:space="preserve">BIABDFF15@GMAIL.COM</t>
  </si>
  <si>
    <t xml:space="preserve">(62) 993673654</t>
  </si>
  <si>
    <t xml:space="preserve">UNIEVANGÉLICA </t>
  </si>
  <si>
    <r>
      <rPr>
        <b val="true"/>
        <sz val="12"/>
        <color rgb="FF000000"/>
        <rFont val="Calibri"/>
        <family val="0"/>
        <charset val="1"/>
      </rPr>
      <t xml:space="preserve">LISTA DE CLASSIFICAÇÃO FINAL - DIREITO - PESSOA COM DEFICIÊNCIA - PUBLICADA EM </t>
    </r>
    <r>
      <rPr>
        <b val="true"/>
        <sz val="12"/>
        <color rgb="FFFF0000"/>
        <rFont val="Calibri"/>
        <family val="0"/>
        <charset val="1"/>
      </rPr>
      <t xml:space="preserve">04/04/2023</t>
    </r>
  </si>
  <si>
    <r>
      <rPr>
        <b val="true"/>
        <sz val="12"/>
        <color rgb="FF000000"/>
        <rFont val="Calibri"/>
        <family val="0"/>
        <charset val="1"/>
      </rPr>
      <t xml:space="preserve">DICA: Para localizar seu nome utilize o atalho </t>
    </r>
    <r>
      <rPr>
        <b val="true"/>
        <sz val="12"/>
        <color rgb="FFFF0000"/>
        <rFont val="Calibri"/>
        <family val="0"/>
        <charset val="1"/>
      </rPr>
      <t xml:space="preserve">"Ctrl+F"
</t>
    </r>
  </si>
  <si>
    <t xml:space="preserve">DATA DE INSCRIÇÃO</t>
  </si>
  <si>
    <t xml:space="preserve">DEFICIÊNCIA MOTORA NA MÃO DIREITA</t>
  </si>
  <si>
    <t xml:space="preserve">CURSANDO ENSINO SUPERIOR</t>
  </si>
  <si>
    <r>
      <rPr>
        <b val="true"/>
        <sz val="12"/>
        <color rgb="FF000000"/>
        <rFont val="Calibri"/>
        <family val="0"/>
        <charset val="1"/>
      </rPr>
      <t xml:space="preserve">LISTA DE CLASSIFICAÇÃO FINAL - DIREITO - NEGROS (PRETOS OU PARDOS) - PUBLICADA EM </t>
    </r>
    <r>
      <rPr>
        <b val="true"/>
        <sz val="12"/>
        <color rgb="FFFF0000"/>
        <rFont val="Calibri"/>
        <family val="0"/>
        <charset val="1"/>
      </rPr>
      <t xml:space="preserve">04/04/2023</t>
    </r>
  </si>
  <si>
    <t xml:space="preserve">FRED WILSON RIBEIRO DE ANDRADE</t>
  </si>
  <si>
    <t xml:space="preserve">AVENIDA PERIMETRAL NORTE, AP 903. BORGES LANDEIRO TROPICALE/ MARESIAS/ GUARUJÁ</t>
  </si>
  <si>
    <t xml:space="preserve">QUADRA SQNW 109 BLOCO K, 0.</t>
  </si>
  <si>
    <t xml:space="preserve">UNIVERSIDADE FEDERAL DE GOIAS</t>
  </si>
  <si>
    <t xml:space="preserve">UNIVERSIDADE PAULISTA</t>
  </si>
  <si>
    <t xml:space="preserve">ELLEN RUTH DOS SANTOS SANTANA</t>
  </si>
  <si>
    <t xml:space="preserve">RUA RMP 14, 0. QD 12 LT 50</t>
  </si>
  <si>
    <t xml:space="preserve">DÉBORA VICTÓRIA RODRIGUES SOUSA</t>
  </si>
  <si>
    <t xml:space="preserve">UFG - UNIVERSIDADE FEDERAL DE GÓIAS</t>
  </si>
  <si>
    <t xml:space="preserve">NÃO ATENDE/AGUARDANDO RETORNO</t>
  </si>
  <si>
    <t xml:space="preserve">RUA 2, QD. 2, LT. 4, APT. 7, 7.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</si>
</sst>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dd\/mm\/yyyy"/>
    <numFmt numFmtId="167" formatCode="yyyy/mm/dd\ h:mm"/>
    <numFmt numFmtId="168" formatCode="dd/mm/yyyy\ hh:mm"/>
    <numFmt numFmtId="169" formatCode="dd/mm"/>
    <numFmt numFmtId="170" formatCode="dd/mm&quot;, &quot;hh:mm"/>
    <numFmt numFmtId="171" formatCode="d/m/yyyy\ hh:mm"/>
    <numFmt numFmtId="172" formatCode="yyyy/mm/dd\ hh:mm"/>
    <numFmt numFmtId="173" formatCode="dd/mm\ hh:mm"/>
  </numFmts>
  <fonts count="1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Lato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2"/>
      <color rgb="FFFF0000"/>
      <name val="Arial"/>
      <family val="0"/>
      <charset val="1"/>
    </font>
    <font>
      <b val="true"/>
      <sz val="12"/>
      <color rgb="FF000000"/>
      <name val="Calibri, Arial"/>
      <family val="0"/>
      <charset val="1"/>
    </font>
    <font>
      <b val="true"/>
      <sz val="12"/>
      <color rgb="FFFF0000"/>
      <name val="Calibri, Arial"/>
      <family val="0"/>
      <charset val="1"/>
    </font>
    <font>
      <sz val="11"/>
      <color rgb="FF073763"/>
      <name val="Calibri"/>
      <family val="0"/>
      <charset val="1"/>
    </font>
    <font>
      <sz val="11"/>
      <color rgb="FF000000"/>
      <name val="Docs-Calibri"/>
      <family val="0"/>
      <charset val="1"/>
    </font>
    <font>
      <sz val="11"/>
      <color rgb="FF1F1F1F"/>
      <name val="Calibri"/>
      <family val="0"/>
      <charset val="1"/>
    </font>
    <font>
      <b val="true"/>
      <sz val="12"/>
      <color rgb="FFFF0000"/>
      <name val="Calibri"/>
      <family val="0"/>
      <charset val="1"/>
    </font>
  </fonts>
  <fills count="13">
    <fill>
      <patternFill patternType="none"/>
    </fill>
    <fill>
      <patternFill patternType="gray125"/>
    </fill>
    <fill>
      <patternFill patternType="solid">
        <fgColor rgb="FF073763"/>
        <bgColor rgb="FF333399"/>
      </patternFill>
    </fill>
    <fill>
      <patternFill patternType="solid">
        <fgColor rgb="FFCCCCCC"/>
        <bgColor rgb="FFB6D7A8"/>
      </patternFill>
    </fill>
    <fill>
      <patternFill patternType="solid">
        <fgColor rgb="FFFFFFFF"/>
        <bgColor rgb="FFEDE8ED"/>
      </patternFill>
    </fill>
    <fill>
      <patternFill patternType="solid">
        <fgColor rgb="FFFFE599"/>
        <bgColor rgb="FFFFFF99"/>
      </patternFill>
    </fill>
    <fill>
      <patternFill patternType="solid">
        <fgColor rgb="FFB6D7A8"/>
        <bgColor rgb="FFCCCCCC"/>
      </patternFill>
    </fill>
    <fill>
      <patternFill patternType="solid">
        <fgColor rgb="FF6D9EEB"/>
        <bgColor rgb="FF969696"/>
      </patternFill>
    </fill>
    <fill>
      <patternFill patternType="solid">
        <fgColor rgb="FF6AA84F"/>
        <bgColor rgb="FF969696"/>
      </patternFill>
    </fill>
    <fill>
      <patternFill patternType="solid">
        <fgColor rgb="FFEA9999"/>
        <bgColor rgb="FFFF8080"/>
      </patternFill>
    </fill>
    <fill>
      <patternFill patternType="solid">
        <fgColor rgb="FF3C78D8"/>
        <bgColor rgb="FF666699"/>
      </patternFill>
    </fill>
    <fill>
      <patternFill patternType="solid">
        <fgColor rgb="FFEDE8ED"/>
        <bgColor rgb="FFFFFFFF"/>
      </patternFill>
    </fill>
    <fill>
      <patternFill patternType="solid">
        <fgColor rgb="FF00FF00"/>
        <bgColor rgb="FF33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1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0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9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0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5">
    <dxf>
      <fill>
        <patternFill patternType="solid">
          <fgColor rgb="FF073763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B4A7D6"/>
        </patternFill>
      </fill>
    </dxf>
    <dxf>
      <font>
        <color rgb="FF000000"/>
      </font>
      <fill>
        <patternFill>
          <bgColor rgb="FF6AA84F"/>
        </patternFill>
      </fill>
    </dxf>
    <dxf>
      <font>
        <color rgb="FF000000"/>
      </font>
      <fill>
        <patternFill>
          <bgColor rgb="FFEA9999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6D7A8"/>
        </patternFill>
      </fill>
    </dxf>
    <dxf>
      <fill>
        <patternFill patternType="solid">
          <fgColor rgb="FF6D9EEB"/>
        </patternFill>
      </fill>
    </dxf>
    <dxf>
      <fill>
        <patternFill patternType="solid">
          <fgColor rgb="FFCCCCCC"/>
        </patternFill>
      </fill>
    </dxf>
    <dxf>
      <fill>
        <patternFill patternType="solid">
          <fgColor rgb="FFEA9999"/>
        </patternFill>
      </fill>
    </dxf>
    <dxf>
      <fill>
        <patternFill patternType="solid">
          <fgColor rgb="FFFFE5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6D9EEB"/>
      <rgbColor rgb="FF993366"/>
      <rgbColor rgb="FFEDE8ED"/>
      <rgbColor rgb="FFCCFFFF"/>
      <rgbColor rgb="FF660066"/>
      <rgbColor rgb="FFFF8080"/>
      <rgbColor rgb="FF0066CC"/>
      <rgbColor rgb="FFB6D7A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A9999"/>
      <rgbColor rgb="FFB4A7D6"/>
      <rgbColor rgb="FFFFE599"/>
      <rgbColor rgb="FF3C78D8"/>
      <rgbColor rgb="FF33CCCC"/>
      <rgbColor rgb="FF99CC00"/>
      <rgbColor rgb="FFFFCC00"/>
      <rgbColor rgb="FFFF9900"/>
      <rgbColor rgb="FFFF6600"/>
      <rgbColor rgb="FF666699"/>
      <rgbColor rgb="FF969696"/>
      <rgbColor rgb="FF073763"/>
      <rgbColor rgb="FF6AA84F"/>
      <rgbColor rgb="FF003300"/>
      <rgbColor rgb="FF333300"/>
      <rgbColor rgb="FF993300"/>
      <rgbColor rgb="FF993366"/>
      <rgbColor rgb="FF333399"/>
      <rgbColor rgb="FF1F1F1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9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ColWidth="14.4609375" defaultRowHeight="15" zeroHeight="false" outlineLevelRow="0" outlineLevelCol="0"/>
  <cols>
    <col collapsed="false" customWidth="false" hidden="false" outlineLevel="0" max="1" min="1" style="1" width="14.43"/>
    <col collapsed="false" customWidth="true" hidden="false" outlineLevel="0" max="2" min="2" style="0" width="48.86"/>
    <col collapsed="false" customWidth="false" hidden="true" outlineLevel="0" max="3" min="3" style="0" width="14.43"/>
    <col collapsed="false" customWidth="true" hidden="true" outlineLevel="0" max="4" min="4" style="0" width="16.57"/>
    <col collapsed="false" customWidth="false" hidden="true" outlineLevel="0" max="5" min="5" style="0" width="14.43"/>
    <col collapsed="false" customWidth="true" hidden="false" outlineLevel="0" max="6" min="6" style="1" width="31.95"/>
    <col collapsed="false" customWidth="false" hidden="false" outlineLevel="0" max="7" min="7" style="1" width="14.43"/>
    <col collapsed="false" customWidth="true" hidden="false" outlineLevel="0" max="8" min="8" style="1" width="34.59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A1" s="2" t="str">
        <f aca="false">IFERROR(__xludf.dummyfunction("QUERY(AMPLA!A4:A1000)"),"CLASSIFICAÇÃO")</f>
        <v>CLASSIFICAÇÃO</v>
      </c>
      <c r="B1" s="3" t="str">
        <f aca="false">IFERROR(__xludf.dummyfunction("QUERY(AMPLA!B4:B1000)"),"NOME")</f>
        <v>NOME</v>
      </c>
      <c r="C1" s="3" t="str">
        <f aca="false">IFERROR(__xludf.dummyfunction("QUERY(AMPLA!AH4:AH1000)"),"COTAS")</f>
        <v>COTAS</v>
      </c>
      <c r="D1" s="3" t="str">
        <f aca="false">IFERROR(__xludf.dummyfunction("QUERY(AMPLA!T4:T1000)"),"TIPO_DEFICIENCIA")</f>
        <v>TIPO_DEFICIENCIA</v>
      </c>
      <c r="E1" s="3" t="str">
        <f aca="false">IFERROR(__xludf.dummyfunction("QUERY(AMPLA!L4:L1000)"),"ESTADO")</f>
        <v>ESTADO</v>
      </c>
      <c r="F1" s="2" t="str">
        <f aca="false">IFERROR(__xludf.dummyfunction("QUERY(AMPLA!AG4:AG1000)"),"LOCAIS DE ESTÁGIO")</f>
        <v>LOCAIS DE ESTÁGIO</v>
      </c>
      <c r="G1" s="2" t="str">
        <f aca="false">IFERROR(__xludf.dummyfunction("QUERY(AMPLA!W4:W1000)"),"CURSO")</f>
        <v>CURSO</v>
      </c>
      <c r="H1" s="2" t="str">
        <f aca="false">IFERROR(__xludf.dummyfunction("QUERY(AMPLA!AQ4:AQ1000)"),"STATUS")</f>
        <v>STATUS</v>
      </c>
    </row>
    <row r="2" customFormat="false" ht="13.8" hidden="false" customHeight="false" outlineLevel="0" collapsed="false">
      <c r="A2" s="4" t="n">
        <f aca="false">IFERROR(__xludf.dummyfunction("""COMPUTED_VALUE"""),1)</f>
        <v>1</v>
      </c>
      <c r="B2" s="5" t="str">
        <f aca="false">IFERROR(__xludf.dummyfunction("""COMPUTED_VALUE"""),"FERNANDO ANTONIO SOUZA")</f>
        <v>FERNANDO ANTONIO SOUZA</v>
      </c>
      <c r="C2" s="5"/>
      <c r="D2" s="5"/>
      <c r="E2" s="5" t="str">
        <f aca="false">IFERROR(__xludf.dummyfunction("""COMPUTED_VALUE"""),"GO")</f>
        <v>GO</v>
      </c>
      <c r="F2" s="4" t="str">
        <f aca="false">IFERROR(__xludf.dummyfunction("""COMPUTED_VALUE"""),"GOIÂNIA")</f>
        <v>GOIÂNIA</v>
      </c>
      <c r="G2" s="4" t="str">
        <f aca="false">IFERROR(__xludf.dummyfunction("""COMPUTED_VALUE"""),"DIREITO")</f>
        <v>DIREITO</v>
      </c>
      <c r="H2" s="4" t="str">
        <f aca="false">IFERROR(__xludf.dummyfunction("""COMPUTED_VALUE"""),"CONTRATADO")</f>
        <v>CONTRATADO</v>
      </c>
    </row>
    <row r="3" customFormat="false" ht="13.8" hidden="false" customHeight="false" outlineLevel="0" collapsed="false">
      <c r="A3" s="4" t="n">
        <f aca="false">IFERROR(__xludf.dummyfunction("""COMPUTED_VALUE"""),2)</f>
        <v>2</v>
      </c>
      <c r="B3" s="5" t="str">
        <f aca="false">IFERROR(__xludf.dummyfunction("""COMPUTED_VALUE"""),"MARLENE DO NASCIMENTO OLIVEIRA")</f>
        <v>MARLENE DO NASCIMENTO OLIVEIRA</v>
      </c>
      <c r="C3" s="5"/>
      <c r="D3" s="5"/>
      <c r="E3" s="5" t="str">
        <f aca="false">IFERROR(__xludf.dummyfunction("""COMPUTED_VALUE"""),"GO")</f>
        <v>GO</v>
      </c>
      <c r="F3" s="4" t="str">
        <f aca="false">IFERROR(__xludf.dummyfunction("""COMPUTED_VALUE"""),"APARECIDA DE GOIÂNIA")</f>
        <v>APARECIDA DE GOIÂNIA</v>
      </c>
      <c r="G3" s="4" t="str">
        <f aca="false">IFERROR(__xludf.dummyfunction("""COMPUTED_VALUE"""),"DIREITO")</f>
        <v>DIREITO</v>
      </c>
      <c r="H3" s="4" t="str">
        <f aca="false">IFERROR(__xludf.dummyfunction("""COMPUTED_VALUE"""),"CONTRATADO")</f>
        <v>CONTRATADO</v>
      </c>
    </row>
    <row r="4" customFormat="false" ht="13.8" hidden="false" customHeight="false" outlineLevel="0" collapsed="false">
      <c r="A4" s="4" t="n">
        <f aca="false">IFERROR(__xludf.dummyfunction("""COMPUTED_VALUE"""),3)</f>
        <v>3</v>
      </c>
      <c r="B4" s="5" t="str">
        <f aca="false">IFERROR(__xludf.dummyfunction("""COMPUTED_VALUE"""),"TANIA MARIA MILHOMEM AZEVEDO RIBEIRO")</f>
        <v>TANIA MARIA MILHOMEM AZEVEDO RIBEIRO</v>
      </c>
      <c r="C4" s="5"/>
      <c r="D4" s="5"/>
      <c r="E4" s="5" t="str">
        <f aca="false">IFERROR(__xludf.dummyfunction("""COMPUTED_VALUE"""),"GO")</f>
        <v>GO</v>
      </c>
      <c r="F4" s="4" t="str">
        <f aca="false">IFERROR(__xludf.dummyfunction("""COMPUTED_VALUE"""),"APARECIDA DE GOIÂNIA")</f>
        <v>APARECIDA DE GOIÂNIA</v>
      </c>
      <c r="G4" s="4" t="str">
        <f aca="false">IFERROR(__xludf.dummyfunction("""COMPUTED_VALUE"""),"DIREITO")</f>
        <v>DIREITO</v>
      </c>
      <c r="H4" s="4" t="str">
        <f aca="false">IFERROR(__xludf.dummyfunction("""COMPUTED_VALUE"""),"DESCLASSIFICADO")</f>
        <v>DESCLASSIFICADO</v>
      </c>
    </row>
    <row r="5" customFormat="false" ht="13.8" hidden="false" customHeight="false" outlineLevel="0" collapsed="false">
      <c r="A5" s="4" t="n">
        <f aca="false">IFERROR(__xludf.dummyfunction("""COMPUTED_VALUE"""),4)</f>
        <v>4</v>
      </c>
      <c r="B5" s="5" t="str">
        <f aca="false">IFERROR(__xludf.dummyfunction("""COMPUTED_VALUE"""),"LISANETE CASSIANO DE AZEVEDO")</f>
        <v>LISANETE CASSIANO DE AZEVEDO</v>
      </c>
      <c r="C5" s="5"/>
      <c r="D5" s="5"/>
      <c r="E5" s="5" t="str">
        <f aca="false">IFERROR(__xludf.dummyfunction("""COMPUTED_VALUE"""),"GO")</f>
        <v>GO</v>
      </c>
      <c r="F5" s="4" t="str">
        <f aca="false">IFERROR(__xludf.dummyfunction("""COMPUTED_VALUE"""),"GOIÂNIA")</f>
        <v>GOIÂNIA</v>
      </c>
      <c r="G5" s="4" t="str">
        <f aca="false">IFERROR(__xludf.dummyfunction("""COMPUTED_VALUE"""),"DIREITO")</f>
        <v>DIREITO</v>
      </c>
      <c r="H5" s="4" t="str">
        <f aca="false">IFERROR(__xludf.dummyfunction("""COMPUTED_VALUE"""),"CONTRATADO")</f>
        <v>CONTRATADO</v>
      </c>
    </row>
    <row r="6" customFormat="false" ht="13.8" hidden="false" customHeight="false" outlineLevel="0" collapsed="false">
      <c r="A6" s="4" t="n">
        <f aca="false">IFERROR(__xludf.dummyfunction("""COMPUTED_VALUE"""),5)</f>
        <v>5</v>
      </c>
      <c r="B6" s="5" t="str">
        <f aca="false">IFERROR(__xludf.dummyfunction("""COMPUTED_VALUE"""),"RAQUEL MACHADO RODRIGUES")</f>
        <v>RAQUEL MACHADO RODRIGUES</v>
      </c>
      <c r="C6" s="5"/>
      <c r="D6" s="5"/>
      <c r="E6" s="5" t="str">
        <f aca="false">IFERROR(__xludf.dummyfunction("""COMPUTED_VALUE"""),"GO")</f>
        <v>GO</v>
      </c>
      <c r="F6" s="4" t="str">
        <f aca="false">IFERROR(__xludf.dummyfunction("""COMPUTED_VALUE"""),"GOIÂNIA")</f>
        <v>GOIÂNIA</v>
      </c>
      <c r="G6" s="4" t="str">
        <f aca="false">IFERROR(__xludf.dummyfunction("""COMPUTED_VALUE"""),"DIREITO")</f>
        <v>DIREITO</v>
      </c>
      <c r="H6" s="4" t="str">
        <f aca="false">IFERROR(__xludf.dummyfunction("""COMPUTED_VALUE"""),"DESCLASSIFICADO")</f>
        <v>DESCLASSIFICADO</v>
      </c>
    </row>
    <row r="7" customFormat="false" ht="13.8" hidden="false" customHeight="false" outlineLevel="0" collapsed="false">
      <c r="A7" s="4" t="n">
        <f aca="false">IFERROR(__xludf.dummyfunction("""COMPUTED_VALUE"""),6)</f>
        <v>6</v>
      </c>
      <c r="B7" s="5" t="str">
        <f aca="false">IFERROR(__xludf.dummyfunction("""COMPUTED_VALUE"""),"RAQUEL BORGES DE BARROS")</f>
        <v>RAQUEL BORGES DE BARROS</v>
      </c>
      <c r="C7" s="5"/>
      <c r="D7" s="5"/>
      <c r="E7" s="5" t="str">
        <f aca="false">IFERROR(__xludf.dummyfunction("""COMPUTED_VALUE"""),"GO")</f>
        <v>GO</v>
      </c>
      <c r="F7" s="4" t="str">
        <f aca="false">IFERROR(__xludf.dummyfunction("""COMPUTED_VALUE"""),"GOIÂNIA")</f>
        <v>GOIÂNIA</v>
      </c>
      <c r="G7" s="4" t="str">
        <f aca="false">IFERROR(__xludf.dummyfunction("""COMPUTED_VALUE"""),"DIREITO")</f>
        <v>DIREITO</v>
      </c>
      <c r="H7" s="4" t="str">
        <f aca="false">IFERROR(__xludf.dummyfunction("""COMPUTED_VALUE"""),"DESCLASSIFICADO")</f>
        <v>DESCLASSIFICADO</v>
      </c>
    </row>
    <row r="8" customFormat="false" ht="13.8" hidden="false" customHeight="false" outlineLevel="0" collapsed="false">
      <c r="A8" s="4" t="n">
        <f aca="false">IFERROR(__xludf.dummyfunction("""COMPUTED_VALUE"""),7)</f>
        <v>7</v>
      </c>
      <c r="B8" s="5" t="str">
        <f aca="false">IFERROR(__xludf.dummyfunction("""COMPUTED_VALUE"""),"ANDRE LUIS DE SOUSA CUNHA E LINO")</f>
        <v>ANDRE LUIS DE SOUSA CUNHA E LINO</v>
      </c>
      <c r="C8" s="5"/>
      <c r="D8" s="5"/>
      <c r="E8" s="5" t="str">
        <f aca="false">IFERROR(__xludf.dummyfunction("""COMPUTED_VALUE"""),"GO")</f>
        <v>GO</v>
      </c>
      <c r="F8" s="4" t="str">
        <f aca="false">IFERROR(__xludf.dummyfunction("""COMPUTED_VALUE"""),"GOIÂNIA")</f>
        <v>GOIÂNIA</v>
      </c>
      <c r="G8" s="4" t="str">
        <f aca="false">IFERROR(__xludf.dummyfunction("""COMPUTED_VALUE"""),"DIREITO")</f>
        <v>DIREITO</v>
      </c>
      <c r="H8" s="4" t="str">
        <f aca="false">IFERROR(__xludf.dummyfunction("""COMPUTED_VALUE"""),"DESCLASSIFICADO")</f>
        <v>DESCLASSIFICADO</v>
      </c>
    </row>
    <row r="9" customFormat="false" ht="13.8" hidden="false" customHeight="false" outlineLevel="0" collapsed="false">
      <c r="A9" s="4" t="n">
        <f aca="false">IFERROR(__xludf.dummyfunction("""COMPUTED_VALUE"""),8)</f>
        <v>8</v>
      </c>
      <c r="B9" s="5" t="str">
        <f aca="false">IFERROR(__xludf.dummyfunction("""COMPUTED_VALUE"""),"MADSON JOSE MORAES GONCALVES")</f>
        <v>MADSON JOSE MORAES GONCALVES</v>
      </c>
      <c r="C9" s="5"/>
      <c r="D9" s="5"/>
      <c r="E9" s="5" t="str">
        <f aca="false">IFERROR(__xludf.dummyfunction("""COMPUTED_VALUE"""),"GO")</f>
        <v>GO</v>
      </c>
      <c r="F9" s="4" t="str">
        <f aca="false">IFERROR(__xludf.dummyfunction("""COMPUTED_VALUE"""),"GOIÂNIA")</f>
        <v>GOIÂNIA</v>
      </c>
      <c r="G9" s="4" t="str">
        <f aca="false">IFERROR(__xludf.dummyfunction("""COMPUTED_VALUE"""),"DIREITO")</f>
        <v>DIREITO</v>
      </c>
      <c r="H9" s="4" t="str">
        <f aca="false">IFERROR(__xludf.dummyfunction("""COMPUTED_VALUE"""),"CONTRATADO")</f>
        <v>CONTRATADO</v>
      </c>
    </row>
    <row r="10" customFormat="false" ht="13.8" hidden="false" customHeight="false" outlineLevel="0" collapsed="false">
      <c r="A10" s="4" t="n">
        <f aca="false">IFERROR(__xludf.dummyfunction("""COMPUTED_VALUE"""),9)</f>
        <v>9</v>
      </c>
      <c r="B10" s="5" t="str">
        <f aca="false">IFERROR(__xludf.dummyfunction("""COMPUTED_VALUE"""),"RAIMUNDA LIDIANA SAMPAIO DA SILVEIRA LIMA")</f>
        <v>RAIMUNDA LIDIANA SAMPAIO DA SILVEIRA LIMA</v>
      </c>
      <c r="C10" s="5"/>
      <c r="D10" s="5"/>
      <c r="E10" s="5" t="str">
        <f aca="false">IFERROR(__xludf.dummyfunction("""COMPUTED_VALUE"""),"GO")</f>
        <v>GO</v>
      </c>
      <c r="F10" s="4" t="str">
        <f aca="false">IFERROR(__xludf.dummyfunction("""COMPUTED_VALUE"""),"GOIÂNIA")</f>
        <v>GOIÂNIA</v>
      </c>
      <c r="G10" s="4" t="str">
        <f aca="false">IFERROR(__xludf.dummyfunction("""COMPUTED_VALUE"""),"DIREITO")</f>
        <v>DIREITO</v>
      </c>
      <c r="H10" s="4" t="str">
        <f aca="false">IFERROR(__xludf.dummyfunction("""COMPUTED_VALUE"""),"CONTRATADO")</f>
        <v>CONTRATADO</v>
      </c>
    </row>
    <row r="11" customFormat="false" ht="13.8" hidden="false" customHeight="false" outlineLevel="0" collapsed="false">
      <c r="A11" s="4" t="n">
        <f aca="false">IFERROR(__xludf.dummyfunction("""COMPUTED_VALUE"""),10)</f>
        <v>10</v>
      </c>
      <c r="B11" s="5" t="str">
        <f aca="false">IFERROR(__xludf.dummyfunction("""COMPUTED_VALUE"""),"ROSIANE COSTA PINTO CORDEIRO")</f>
        <v>ROSIANE COSTA PINTO CORDEIRO</v>
      </c>
      <c r="C11" s="5"/>
      <c r="D11" s="5"/>
      <c r="E11" s="5" t="str">
        <f aca="false">IFERROR(__xludf.dummyfunction("""COMPUTED_VALUE"""),"GO")</f>
        <v>GO</v>
      </c>
      <c r="F11" s="4" t="str">
        <f aca="false">IFERROR(__xludf.dummyfunction("""COMPUTED_VALUE"""),"GOIÂNIA")</f>
        <v>GOIÂNIA</v>
      </c>
      <c r="G11" s="4" t="str">
        <f aca="false">IFERROR(__xludf.dummyfunction("""COMPUTED_VALUE"""),"DIREITO")</f>
        <v>DIREITO</v>
      </c>
      <c r="H11" s="4" t="str">
        <f aca="false">IFERROR(__xludf.dummyfunction("""COMPUTED_VALUE"""),"CONTRATADO")</f>
        <v>CONTRATADO</v>
      </c>
    </row>
    <row r="12" customFormat="false" ht="13.8" hidden="false" customHeight="false" outlineLevel="0" collapsed="false">
      <c r="A12" s="4" t="n">
        <f aca="false">IFERROR(__xludf.dummyfunction("""COMPUTED_VALUE"""),11)</f>
        <v>11</v>
      </c>
      <c r="B12" s="5" t="str">
        <f aca="false">IFERROR(__xludf.dummyfunction("""COMPUTED_VALUE"""),"CRISLENE RODRIGUES RIBEIRO")</f>
        <v>CRISLENE RODRIGUES RIBEIRO</v>
      </c>
      <c r="C12" s="5"/>
      <c r="D12" s="5"/>
      <c r="E12" s="5" t="str">
        <f aca="false">IFERROR(__xludf.dummyfunction("""COMPUTED_VALUE"""),"GO")</f>
        <v>GO</v>
      </c>
      <c r="F12" s="4" t="str">
        <f aca="false">IFERROR(__xludf.dummyfunction("""COMPUTED_VALUE"""),"APARECIDA DE GOIÂNIA")</f>
        <v>APARECIDA DE GOIÂNIA</v>
      </c>
      <c r="G12" s="4" t="str">
        <f aca="false">IFERROR(__xludf.dummyfunction("""COMPUTED_VALUE"""),"DIREITO")</f>
        <v>DIREITO</v>
      </c>
      <c r="H12" s="4" t="str">
        <f aca="false">IFERROR(__xludf.dummyfunction("""COMPUTED_VALUE"""),"CONTRATADO")</f>
        <v>CONTRATADO</v>
      </c>
    </row>
    <row r="13" customFormat="false" ht="13.8" hidden="false" customHeight="false" outlineLevel="0" collapsed="false">
      <c r="A13" s="4" t="n">
        <f aca="false">IFERROR(__xludf.dummyfunction("""COMPUTED_VALUE"""),12)</f>
        <v>12</v>
      </c>
      <c r="B13" s="5" t="str">
        <f aca="false">IFERROR(__xludf.dummyfunction("""COMPUTED_VALUE"""),"THIAGO DA COSTA ARAÚJO ")</f>
        <v>THIAGO DA COSTA ARAÚJO</v>
      </c>
      <c r="C13" s="5"/>
      <c r="D13" s="5"/>
      <c r="E13" s="5" t="str">
        <f aca="false">IFERROR(__xludf.dummyfunction("""COMPUTED_VALUE"""),"GO")</f>
        <v>GO</v>
      </c>
      <c r="F13" s="4" t="str">
        <f aca="false">IFERROR(__xludf.dummyfunction("""COMPUTED_VALUE"""),"GOIÂNIA")</f>
        <v>GOIÂNIA</v>
      </c>
      <c r="G13" s="4" t="str">
        <f aca="false">IFERROR(__xludf.dummyfunction("""COMPUTED_VALUE"""),"DIREITO")</f>
        <v>DIREITO</v>
      </c>
      <c r="H13" s="4" t="str">
        <f aca="false">IFERROR(__xludf.dummyfunction("""COMPUTED_VALUE"""),"DESCLASSIFICADO")</f>
        <v>DESCLASSIFICADO</v>
      </c>
    </row>
    <row r="14" customFormat="false" ht="13.8" hidden="false" customHeight="false" outlineLevel="0" collapsed="false">
      <c r="A14" s="4" t="n">
        <f aca="false">IFERROR(__xludf.dummyfunction("""COMPUTED_VALUE"""),13)</f>
        <v>13</v>
      </c>
      <c r="B14" s="5" t="str">
        <f aca="false">IFERROR(__xludf.dummyfunction("""COMPUTED_VALUE"""),"RENATA RAFAEL LLOUREDO")</f>
        <v>RENATA RAFAEL LLOUREDO</v>
      </c>
      <c r="C14" s="5"/>
      <c r="D14" s="5"/>
      <c r="E14" s="5" t="str">
        <f aca="false">IFERROR(__xludf.dummyfunction("""COMPUTED_VALUE"""),"GO")</f>
        <v>GO</v>
      </c>
      <c r="F14" s="4" t="str">
        <f aca="false">IFERROR(__xludf.dummyfunction("""COMPUTED_VALUE"""),"ARAGOIÂNIA")</f>
        <v>ARAGOIÂNIA</v>
      </c>
      <c r="G14" s="4" t="str">
        <f aca="false">IFERROR(__xludf.dummyfunction("""COMPUTED_VALUE"""),"DIREITO")</f>
        <v>DIREITO</v>
      </c>
      <c r="H14" s="4" t="str">
        <f aca="false">IFERROR(__xludf.dummyfunction("""COMPUTED_VALUE"""),"DESCLASSIFICADO")</f>
        <v>DESCLASSIFICADO</v>
      </c>
    </row>
    <row r="15" customFormat="false" ht="13.8" hidden="false" customHeight="false" outlineLevel="0" collapsed="false">
      <c r="A15" s="4" t="n">
        <f aca="false">IFERROR(__xludf.dummyfunction("""COMPUTED_VALUE"""),14)</f>
        <v>14</v>
      </c>
      <c r="B15" s="5" t="str">
        <f aca="false">IFERROR(__xludf.dummyfunction("""COMPUTED_VALUE"""),"DIOGO PAES FERNANDES")</f>
        <v>DIOGO PAES FERNANDES</v>
      </c>
      <c r="C15" s="5"/>
      <c r="D15" s="5"/>
      <c r="E15" s="5" t="str">
        <f aca="false">IFERROR(__xludf.dummyfunction("""COMPUTED_VALUE"""),"GO")</f>
        <v>GO</v>
      </c>
      <c r="F15" s="4" t="str">
        <f aca="false">IFERROR(__xludf.dummyfunction("""COMPUTED_VALUE"""),"GOIÂNIA")</f>
        <v>GOIÂNIA</v>
      </c>
      <c r="G15" s="4" t="str">
        <f aca="false">IFERROR(__xludf.dummyfunction("""COMPUTED_VALUE"""),"DIREITO")</f>
        <v>DIREITO</v>
      </c>
      <c r="H15" s="4" t="str">
        <f aca="false">IFERROR(__xludf.dummyfunction("""COMPUTED_VALUE"""),"DESCLASSIFICADO")</f>
        <v>DESCLASSIFICADO</v>
      </c>
    </row>
    <row r="16" customFormat="false" ht="13.8" hidden="false" customHeight="false" outlineLevel="0" collapsed="false">
      <c r="A16" s="4" t="n">
        <f aca="false">IFERROR(__xludf.dummyfunction("""COMPUTED_VALUE"""),15)</f>
        <v>15</v>
      </c>
      <c r="B16" s="5" t="str">
        <f aca="false">IFERROR(__xludf.dummyfunction("""COMPUTED_VALUE"""),"FRED WILSON RIBEIRO DE ANDRADE ")</f>
        <v>FRED WILSON RIBEIRO DE ANDRADE</v>
      </c>
      <c r="C16" s="5" t="str">
        <f aca="false">IFERROR(__xludf.dummyfunction("""COMPUTED_VALUE"""),"NEGRO")</f>
        <v>NEGRO</v>
      </c>
      <c r="D16" s="5"/>
      <c r="E16" s="5" t="str">
        <f aca="false">IFERROR(__xludf.dummyfunction("""COMPUTED_VALUE"""),"GO")</f>
        <v>GO</v>
      </c>
      <c r="F16" s="4" t="str">
        <f aca="false">IFERROR(__xludf.dummyfunction("""COMPUTED_VALUE"""),"GOIÂNIA")</f>
        <v>GOIÂNIA</v>
      </c>
      <c r="G16" s="4" t="str">
        <f aca="false">IFERROR(__xludf.dummyfunction("""COMPUTED_VALUE"""),"DIREITO")</f>
        <v>DIREITO</v>
      </c>
      <c r="H16" s="4" t="str">
        <f aca="false">IFERROR(__xludf.dummyfunction("""COMPUTED_VALUE"""),"CONTRATADO")</f>
        <v>CONTRATADO</v>
      </c>
    </row>
    <row r="17" customFormat="false" ht="13.8" hidden="false" customHeight="false" outlineLevel="0" collapsed="false">
      <c r="A17" s="4" t="n">
        <f aca="false">IFERROR(__xludf.dummyfunction("""COMPUTED_VALUE"""),16)</f>
        <v>16</v>
      </c>
      <c r="B17" s="5" t="str">
        <f aca="false">IFERROR(__xludf.dummyfunction("""COMPUTED_VALUE"""),"NEUSILENE CHAVES DA CRUZ")</f>
        <v>NEUSILENE CHAVES DA CRUZ</v>
      </c>
      <c r="C17" s="5"/>
      <c r="D17" s="5"/>
      <c r="E17" s="5" t="str">
        <f aca="false">IFERROR(__xludf.dummyfunction("""COMPUTED_VALUE"""),"GO")</f>
        <v>GO</v>
      </c>
      <c r="F17" s="4" t="str">
        <f aca="false">IFERROR(__xludf.dummyfunction("""COMPUTED_VALUE"""),"GOIÂNIA")</f>
        <v>GOIÂNIA</v>
      </c>
      <c r="G17" s="4" t="str">
        <f aca="false">IFERROR(__xludf.dummyfunction("""COMPUTED_VALUE"""),"DIREITO")</f>
        <v>DIREITO</v>
      </c>
      <c r="H17" s="4" t="str">
        <f aca="false">IFERROR(__xludf.dummyfunction("""COMPUTED_VALUE"""),"DESCLASSIFICADO")</f>
        <v>DESCLASSIFICADO</v>
      </c>
    </row>
    <row r="18" customFormat="false" ht="13.8" hidden="false" customHeight="false" outlineLevel="0" collapsed="false">
      <c r="A18" s="4" t="n">
        <f aca="false">IFERROR(__xludf.dummyfunction("""COMPUTED_VALUE"""),17)</f>
        <v>17</v>
      </c>
      <c r="B18" s="5" t="str">
        <f aca="false">IFERROR(__xludf.dummyfunction("""COMPUTED_VALUE"""),"KEILA CRISTIANA DO NASCIMENTO SILVA")</f>
        <v>KEILA CRISTIANA DO NASCIMENTO SILVA</v>
      </c>
      <c r="C18" s="5"/>
      <c r="D18" s="5"/>
      <c r="E18" s="5" t="str">
        <f aca="false">IFERROR(__xludf.dummyfunction("""COMPUTED_VALUE"""),"GO")</f>
        <v>GO</v>
      </c>
      <c r="F18" s="4" t="str">
        <f aca="false">IFERROR(__xludf.dummyfunction("""COMPUTED_VALUE"""),"APARECIDA DE GOIÂNIA")</f>
        <v>APARECIDA DE GOIÂNIA</v>
      </c>
      <c r="G18" s="4" t="str">
        <f aca="false">IFERROR(__xludf.dummyfunction("""COMPUTED_VALUE"""),"DIREITO")</f>
        <v>DIREITO</v>
      </c>
      <c r="H18" s="4" t="str">
        <f aca="false">IFERROR(__xludf.dummyfunction("""COMPUTED_VALUE"""),"CONTRATADO")</f>
        <v>CONTRATADO</v>
      </c>
    </row>
    <row r="19" customFormat="false" ht="13.8" hidden="false" customHeight="false" outlineLevel="0" collapsed="false">
      <c r="A19" s="4" t="n">
        <f aca="false">IFERROR(__xludf.dummyfunction("""COMPUTED_VALUE"""),18)</f>
        <v>18</v>
      </c>
      <c r="B19" s="5" t="str">
        <f aca="false">IFERROR(__xludf.dummyfunction("""COMPUTED_VALUE"""),"HERMINIO DA SILVA LUSTOSA NETO")</f>
        <v>HERMINIO DA SILVA LUSTOSA NETO</v>
      </c>
      <c r="C19" s="5"/>
      <c r="D19" s="5"/>
      <c r="E19" s="5" t="str">
        <f aca="false">IFERROR(__xludf.dummyfunction("""COMPUTED_VALUE"""),"GO")</f>
        <v>GO</v>
      </c>
      <c r="F19" s="4" t="str">
        <f aca="false">IFERROR(__xludf.dummyfunction("""COMPUTED_VALUE"""),"APARECIDA DE GOIÂNIA")</f>
        <v>APARECIDA DE GOIÂNIA</v>
      </c>
      <c r="G19" s="4" t="str">
        <f aca="false">IFERROR(__xludf.dummyfunction("""COMPUTED_VALUE"""),"DIREITO")</f>
        <v>DIREITO</v>
      </c>
      <c r="H19" s="4" t="str">
        <f aca="false">IFERROR(__xludf.dummyfunction("""COMPUTED_VALUE"""),"DESCLASSIFICADO")</f>
        <v>DESCLASSIFICADO</v>
      </c>
    </row>
    <row r="20" customFormat="false" ht="13.8" hidden="false" customHeight="false" outlineLevel="0" collapsed="false">
      <c r="A20" s="4" t="n">
        <f aca="false">IFERROR(__xludf.dummyfunction("""COMPUTED_VALUE"""),19)</f>
        <v>19</v>
      </c>
      <c r="B20" s="5" t="str">
        <f aca="false">IFERROR(__xludf.dummyfunction("""COMPUTED_VALUE"""),"TATIANA TELES MOREIRA")</f>
        <v>TATIANA TELES MOREIRA</v>
      </c>
      <c r="C20" s="5"/>
      <c r="D20" s="5"/>
      <c r="E20" s="5" t="str">
        <f aca="false">IFERROR(__xludf.dummyfunction("""COMPUTED_VALUE"""),"GO")</f>
        <v>GO</v>
      </c>
      <c r="F20" s="4" t="str">
        <f aca="false">IFERROR(__xludf.dummyfunction("""COMPUTED_VALUE"""),"APARECIDA DE GOIÂNIA")</f>
        <v>APARECIDA DE GOIÂNIA</v>
      </c>
      <c r="G20" s="4" t="str">
        <f aca="false">IFERROR(__xludf.dummyfunction("""COMPUTED_VALUE"""),"DIREITO")</f>
        <v>DIREITO</v>
      </c>
      <c r="H20" s="4" t="str">
        <f aca="false">IFERROR(__xludf.dummyfunction("""COMPUTED_VALUE"""),"CONTRATADO")</f>
        <v>CONTRATADO</v>
      </c>
    </row>
    <row r="21" customFormat="false" ht="13.8" hidden="false" customHeight="false" outlineLevel="0" collapsed="false">
      <c r="A21" s="4" t="n">
        <f aca="false">IFERROR(__xludf.dummyfunction("""COMPUTED_VALUE"""),20)</f>
        <v>20</v>
      </c>
      <c r="B21" s="5" t="str">
        <f aca="false">IFERROR(__xludf.dummyfunction("""COMPUTED_VALUE"""),"RENATA UCHOA BORGES RIBEIRO")</f>
        <v>RENATA UCHOA BORGES RIBEIRO</v>
      </c>
      <c r="C21" s="5"/>
      <c r="D21" s="5"/>
      <c r="E21" s="5" t="str">
        <f aca="false">IFERROR(__xludf.dummyfunction("""COMPUTED_VALUE"""),"GO")</f>
        <v>GO</v>
      </c>
      <c r="F21" s="4" t="str">
        <f aca="false">IFERROR(__xludf.dummyfunction("""COMPUTED_VALUE"""),"GOIÂNIA")</f>
        <v>GOIÂNIA</v>
      </c>
      <c r="G21" s="4" t="str">
        <f aca="false">IFERROR(__xludf.dummyfunction("""COMPUTED_VALUE"""),"DIREITO")</f>
        <v>DIREITO</v>
      </c>
      <c r="H21" s="4" t="str">
        <f aca="false">IFERROR(__xludf.dummyfunction("""COMPUTED_VALUE"""),"CONTRATADO")</f>
        <v>CONTRATADO</v>
      </c>
    </row>
    <row r="22" customFormat="false" ht="13.8" hidden="false" customHeight="false" outlineLevel="0" collapsed="false">
      <c r="A22" s="4" t="n">
        <f aca="false">IFERROR(__xludf.dummyfunction("""COMPUTED_VALUE"""),21)</f>
        <v>21</v>
      </c>
      <c r="B22" s="5" t="str">
        <f aca="false">IFERROR(__xludf.dummyfunction("""COMPUTED_VALUE"""),"JACKELINE PONTES DA SILVA ")</f>
        <v>JACKELINE PONTES DA SILVA</v>
      </c>
      <c r="C22" s="5"/>
      <c r="D22" s="5"/>
      <c r="E22" s="5" t="str">
        <f aca="false">IFERROR(__xludf.dummyfunction("""COMPUTED_VALUE"""),"GO")</f>
        <v>GO</v>
      </c>
      <c r="F22" s="4" t="str">
        <f aca="false">IFERROR(__xludf.dummyfunction("""COMPUTED_VALUE"""),"NOVA VENEZA")</f>
        <v>NOVA VENEZA</v>
      </c>
      <c r="G22" s="4" t="str">
        <f aca="false">IFERROR(__xludf.dummyfunction("""COMPUTED_VALUE"""),"DIREITO")</f>
        <v>DIREITO</v>
      </c>
      <c r="H22" s="4" t="str">
        <f aca="false">IFERROR(__xludf.dummyfunction("""COMPUTED_VALUE"""),"CONTRATADO")</f>
        <v>CONTRATADO</v>
      </c>
    </row>
    <row r="23" customFormat="false" ht="13.8" hidden="false" customHeight="false" outlineLevel="0" collapsed="false">
      <c r="A23" s="4" t="n">
        <f aca="false">IFERROR(__xludf.dummyfunction("""COMPUTED_VALUE"""),22)</f>
        <v>22</v>
      </c>
      <c r="B23" s="5" t="str">
        <f aca="false">IFERROR(__xludf.dummyfunction("""COMPUTED_VALUE"""),"DEIVID DA SILVA RAMOS")</f>
        <v>DEIVID DA SILVA RAMOS</v>
      </c>
      <c r="C23" s="5"/>
      <c r="D23" s="5"/>
      <c r="E23" s="5" t="str">
        <f aca="false">IFERROR(__xludf.dummyfunction("""COMPUTED_VALUE"""),"GO")</f>
        <v>GO</v>
      </c>
      <c r="F23" s="4" t="str">
        <f aca="false">IFERROR(__xludf.dummyfunction("""COMPUTED_VALUE"""),"APARECIDA DE GOIÂNIA")</f>
        <v>APARECIDA DE GOIÂNIA</v>
      </c>
      <c r="G23" s="4" t="str">
        <f aca="false">IFERROR(__xludf.dummyfunction("""COMPUTED_VALUE"""),"DIREITO")</f>
        <v>DIREITO</v>
      </c>
      <c r="H23" s="4" t="str">
        <f aca="false">IFERROR(__xludf.dummyfunction("""COMPUTED_VALUE"""),"CONTRATADO")</f>
        <v>CONTRATADO</v>
      </c>
    </row>
    <row r="24" customFormat="false" ht="13.8" hidden="false" customHeight="false" outlineLevel="0" collapsed="false">
      <c r="A24" s="4" t="n">
        <f aca="false">IFERROR(__xludf.dummyfunction("""COMPUTED_VALUE"""),23)</f>
        <v>23</v>
      </c>
      <c r="B24" s="5" t="str">
        <f aca="false">IFERROR(__xludf.dummyfunction("""COMPUTED_VALUE"""),"MARIANGELA MIGUEL MARTINS GONCALVES")</f>
        <v>MARIANGELA MIGUEL MARTINS GONCALVES</v>
      </c>
      <c r="C24" s="5"/>
      <c r="D24" s="5"/>
      <c r="E24" s="5" t="str">
        <f aca="false">IFERROR(__xludf.dummyfunction("""COMPUTED_VALUE"""),"GO")</f>
        <v>GO</v>
      </c>
      <c r="F24" s="4" t="str">
        <f aca="false">IFERROR(__xludf.dummyfunction("""COMPUTED_VALUE"""),"APARECIDA DE GOIÂNIA")</f>
        <v>APARECIDA DE GOIÂNIA</v>
      </c>
      <c r="G24" s="4" t="str">
        <f aca="false">IFERROR(__xludf.dummyfunction("""COMPUTED_VALUE"""),"DIREITO")</f>
        <v>DIREITO</v>
      </c>
      <c r="H24" s="4" t="str">
        <f aca="false">IFERROR(__xludf.dummyfunction("""COMPUTED_VALUE"""),"CONTRATADO")</f>
        <v>CONTRATADO</v>
      </c>
    </row>
    <row r="25" customFormat="false" ht="13.8" hidden="false" customHeight="false" outlineLevel="0" collapsed="false">
      <c r="A25" s="4" t="n">
        <f aca="false">IFERROR(__xludf.dummyfunction("""COMPUTED_VALUE"""),24)</f>
        <v>24</v>
      </c>
      <c r="B25" s="5" t="str">
        <f aca="false">IFERROR(__xludf.dummyfunction("""COMPUTED_VALUE"""),"GUTTEMBERG VASCONCELOS DA SILVEIRA ")</f>
        <v>GUTTEMBERG VASCONCELOS DA SILVEIRA</v>
      </c>
      <c r="C25" s="5"/>
      <c r="D25" s="5"/>
      <c r="E25" s="5" t="str">
        <f aca="false">IFERROR(__xludf.dummyfunction("""COMPUTED_VALUE"""),"GO")</f>
        <v>GO</v>
      </c>
      <c r="F25" s="4" t="str">
        <f aca="false">IFERROR(__xludf.dummyfunction("""COMPUTED_VALUE"""),"GOIÂNIA")</f>
        <v>GOIÂNIA</v>
      </c>
      <c r="G25" s="4" t="str">
        <f aca="false">IFERROR(__xludf.dummyfunction("""COMPUTED_VALUE"""),"DIREITO")</f>
        <v>DIREITO</v>
      </c>
      <c r="H25" s="4" t="str">
        <f aca="false">IFERROR(__xludf.dummyfunction("""COMPUTED_VALUE"""),"DESCLASSIFICADO")</f>
        <v>DESCLASSIFICADO</v>
      </c>
    </row>
    <row r="26" customFormat="false" ht="13.8" hidden="false" customHeight="false" outlineLevel="0" collapsed="false">
      <c r="A26" s="4" t="n">
        <f aca="false">IFERROR(__xludf.dummyfunction("""COMPUTED_VALUE"""),25)</f>
        <v>25</v>
      </c>
      <c r="B26" s="5" t="str">
        <f aca="false">IFERROR(__xludf.dummyfunction("""COMPUTED_VALUE"""),"DAYANE CRISTINA E SOUZA")</f>
        <v>DAYANE CRISTINA E SOUZA</v>
      </c>
      <c r="C26" s="5"/>
      <c r="D26" s="5"/>
      <c r="E26" s="5" t="str">
        <f aca="false">IFERROR(__xludf.dummyfunction("""COMPUTED_VALUE"""),"GO")</f>
        <v>GO</v>
      </c>
      <c r="F26" s="4" t="str">
        <f aca="false">IFERROR(__xludf.dummyfunction("""COMPUTED_VALUE"""),"GOIÂNIA")</f>
        <v>GOIÂNIA</v>
      </c>
      <c r="G26" s="4" t="str">
        <f aca="false">IFERROR(__xludf.dummyfunction("""COMPUTED_VALUE"""),"DIREITO")</f>
        <v>DIREITO</v>
      </c>
      <c r="H26" s="4" t="str">
        <f aca="false">IFERROR(__xludf.dummyfunction("""COMPUTED_VALUE"""),"DESCLASSIFICADO")</f>
        <v>DESCLASSIFICADO</v>
      </c>
    </row>
    <row r="27" customFormat="false" ht="13.8" hidden="false" customHeight="false" outlineLevel="0" collapsed="false">
      <c r="A27" s="4" t="n">
        <f aca="false">IFERROR(__xludf.dummyfunction("""COMPUTED_VALUE"""),26)</f>
        <v>26</v>
      </c>
      <c r="B27" s="5" t="str">
        <f aca="false">IFERROR(__xludf.dummyfunction("""COMPUTED_VALUE"""),"CRISTIANE FELIX DE SIQUEIRA ")</f>
        <v>CRISTIANE FELIX DE SIQUEIRA</v>
      </c>
      <c r="C27" s="5"/>
      <c r="D27" s="5"/>
      <c r="E27" s="5" t="str">
        <f aca="false">IFERROR(__xludf.dummyfunction("""COMPUTED_VALUE"""),"GO")</f>
        <v>GO</v>
      </c>
      <c r="F27" s="4" t="str">
        <f aca="false">IFERROR(__xludf.dummyfunction("""COMPUTED_VALUE"""),"APARECIDA DE GOIÂNIA")</f>
        <v>APARECIDA DE GOIÂNIA</v>
      </c>
      <c r="G27" s="4" t="str">
        <f aca="false">IFERROR(__xludf.dummyfunction("""COMPUTED_VALUE"""),"DIREITO")</f>
        <v>DIREITO</v>
      </c>
      <c r="H27" s="4" t="str">
        <f aca="false">IFERROR(__xludf.dummyfunction("""COMPUTED_VALUE"""),"CONTRATADO")</f>
        <v>CONTRATADO</v>
      </c>
    </row>
    <row r="28" customFormat="false" ht="13.8" hidden="false" customHeight="false" outlineLevel="0" collapsed="false">
      <c r="A28" s="4" t="n">
        <f aca="false">IFERROR(__xludf.dummyfunction("""COMPUTED_VALUE"""),27)</f>
        <v>27</v>
      </c>
      <c r="B28" s="5" t="str">
        <f aca="false">IFERROR(__xludf.dummyfunction("""COMPUTED_VALUE"""),"DAYANA NUNES SOUZA ")</f>
        <v>DAYANA NUNES SOUZA</v>
      </c>
      <c r="C28" s="5"/>
      <c r="D28" s="5"/>
      <c r="E28" s="5" t="str">
        <f aca="false">IFERROR(__xludf.dummyfunction("""COMPUTED_VALUE"""),"GO")</f>
        <v>GO</v>
      </c>
      <c r="F28" s="4" t="str">
        <f aca="false">IFERROR(__xludf.dummyfunction("""COMPUTED_VALUE"""),"GOIÂNIA")</f>
        <v>GOIÂNIA</v>
      </c>
      <c r="G28" s="4" t="str">
        <f aca="false">IFERROR(__xludf.dummyfunction("""COMPUTED_VALUE"""),"DIREITO")</f>
        <v>DIREITO</v>
      </c>
      <c r="H28" s="4" t="str">
        <f aca="false">IFERROR(__xludf.dummyfunction("""COMPUTED_VALUE"""),"CONTRATADO")</f>
        <v>CONTRATADO</v>
      </c>
    </row>
    <row r="29" customFormat="false" ht="13.8" hidden="false" customHeight="false" outlineLevel="0" collapsed="false">
      <c r="A29" s="4" t="n">
        <f aca="false">IFERROR(__xludf.dummyfunction("""COMPUTED_VALUE"""),28)</f>
        <v>28</v>
      </c>
      <c r="B29" s="5" t="str">
        <f aca="false">IFERROR(__xludf.dummyfunction("""COMPUTED_VALUE"""),"LUIZ OTÁVIO GOMES DE OLIVEIRA ")</f>
        <v>LUIZ OTÁVIO GOMES DE OLIVEIRA</v>
      </c>
      <c r="C29" s="5"/>
      <c r="D29" s="5"/>
      <c r="E29" s="5" t="str">
        <f aca="false">IFERROR(__xludf.dummyfunction("""COMPUTED_VALUE"""),"GO")</f>
        <v>GO</v>
      </c>
      <c r="F29" s="4" t="str">
        <f aca="false">IFERROR(__xludf.dummyfunction("""COMPUTED_VALUE"""),"SENADOR CANEDO")</f>
        <v>SENADOR CANEDO</v>
      </c>
      <c r="G29" s="4" t="str">
        <f aca="false">IFERROR(__xludf.dummyfunction("""COMPUTED_VALUE"""),"DIREITO")</f>
        <v>DIREITO</v>
      </c>
      <c r="H29" s="4" t="str">
        <f aca="false">IFERROR(__xludf.dummyfunction("""COMPUTED_VALUE"""),"DESCLASSIFICADO")</f>
        <v>DESCLASSIFICADO</v>
      </c>
    </row>
    <row r="30" customFormat="false" ht="13.8" hidden="false" customHeight="false" outlineLevel="0" collapsed="false">
      <c r="A30" s="4" t="n">
        <f aca="false">IFERROR(__xludf.dummyfunction("""COMPUTED_VALUE"""),29)</f>
        <v>29</v>
      </c>
      <c r="B30" s="5" t="str">
        <f aca="false">IFERROR(__xludf.dummyfunction("""COMPUTED_VALUE"""),"ROBERTA PAULA OLIVEIRA DE SOUSA")</f>
        <v>ROBERTA PAULA OLIVEIRA DE SOUSA</v>
      </c>
      <c r="C30" s="5"/>
      <c r="D30" s="5"/>
      <c r="E30" s="5" t="str">
        <f aca="false">IFERROR(__xludf.dummyfunction("""COMPUTED_VALUE"""),"GO")</f>
        <v>GO</v>
      </c>
      <c r="F30" s="4" t="str">
        <f aca="false">IFERROR(__xludf.dummyfunction("""COMPUTED_VALUE"""),"GOIÂNIA")</f>
        <v>GOIÂNIA</v>
      </c>
      <c r="G30" s="4" t="str">
        <f aca="false">IFERROR(__xludf.dummyfunction("""COMPUTED_VALUE"""),"DIREITO")</f>
        <v>DIREITO</v>
      </c>
      <c r="H30" s="4" t="str">
        <f aca="false">IFERROR(__xludf.dummyfunction("""COMPUTED_VALUE"""),"CONTRATADO")</f>
        <v>CONTRATADO</v>
      </c>
    </row>
    <row r="31" customFormat="false" ht="13.8" hidden="false" customHeight="false" outlineLevel="0" collapsed="false">
      <c r="A31" s="4" t="n">
        <f aca="false">IFERROR(__xludf.dummyfunction("""COMPUTED_VALUE"""),30)</f>
        <v>30</v>
      </c>
      <c r="B31" s="5" t="str">
        <f aca="false">IFERROR(__xludf.dummyfunction("""COMPUTED_VALUE"""),"ALVECINO JUNIO PAGNAN RAMOS")</f>
        <v>ALVECINO JUNIO PAGNAN RAMOS</v>
      </c>
      <c r="C31" s="5"/>
      <c r="D31" s="5"/>
      <c r="E31" s="5" t="str">
        <f aca="false">IFERROR(__xludf.dummyfunction("""COMPUTED_VALUE"""),"GO")</f>
        <v>GO</v>
      </c>
      <c r="F31" s="4" t="str">
        <f aca="false">IFERROR(__xludf.dummyfunction("""COMPUTED_VALUE"""),"APARECIDA DE GOIÂNIA")</f>
        <v>APARECIDA DE GOIÂNIA</v>
      </c>
      <c r="G31" s="4" t="str">
        <f aca="false">IFERROR(__xludf.dummyfunction("""COMPUTED_VALUE"""),"DIREITO")</f>
        <v>DIREITO</v>
      </c>
      <c r="H31" s="4" t="str">
        <f aca="false">IFERROR(__xludf.dummyfunction("""COMPUTED_VALUE"""),"CONTRATADO")</f>
        <v>CONTRATADO</v>
      </c>
    </row>
    <row r="32" customFormat="false" ht="13.8" hidden="false" customHeight="false" outlineLevel="0" collapsed="false">
      <c r="A32" s="4" t="n">
        <f aca="false">IFERROR(__xludf.dummyfunction("""COMPUTED_VALUE"""),31)</f>
        <v>31</v>
      </c>
      <c r="B32" s="5" t="str">
        <f aca="false">IFERROR(__xludf.dummyfunction("""COMPUTED_VALUE"""),"KARYNNE VERÔNICA DA SILVA DE OLIVEIRA ")</f>
        <v>KARYNNE VERÔNICA DA SILVA DE OLIVEIRA</v>
      </c>
      <c r="C32" s="5"/>
      <c r="D32" s="5"/>
      <c r="E32" s="5" t="str">
        <f aca="false">IFERROR(__xludf.dummyfunction("""COMPUTED_VALUE"""),"GO")</f>
        <v>GO</v>
      </c>
      <c r="F32" s="4" t="str">
        <f aca="false">IFERROR(__xludf.dummyfunction("""COMPUTED_VALUE"""),"GOIÂNIA")</f>
        <v>GOIÂNIA</v>
      </c>
      <c r="G32" s="4" t="str">
        <f aca="false">IFERROR(__xludf.dummyfunction("""COMPUTED_VALUE"""),"DIREITO")</f>
        <v>DIREITO</v>
      </c>
      <c r="H32" s="4" t="str">
        <f aca="false">IFERROR(__xludf.dummyfunction("""COMPUTED_VALUE"""),"DESCLASSIFICADO")</f>
        <v>DESCLASSIFICADO</v>
      </c>
    </row>
    <row r="33" customFormat="false" ht="13.8" hidden="false" customHeight="false" outlineLevel="0" collapsed="false">
      <c r="A33" s="4" t="n">
        <f aca="false">IFERROR(__xludf.dummyfunction("""COMPUTED_VALUE"""),32)</f>
        <v>32</v>
      </c>
      <c r="B33" s="5" t="str">
        <f aca="false">IFERROR(__xludf.dummyfunction("""COMPUTED_VALUE"""),"JURACY TAVARES JUNIOR")</f>
        <v>JURACY TAVARES JUNIOR</v>
      </c>
      <c r="C33" s="5"/>
      <c r="D33" s="5"/>
      <c r="E33" s="5" t="str">
        <f aca="false">IFERROR(__xludf.dummyfunction("""COMPUTED_VALUE"""),"GO")</f>
        <v>GO</v>
      </c>
      <c r="F33" s="4" t="str">
        <f aca="false">IFERROR(__xludf.dummyfunction("""COMPUTED_VALUE"""),"APARECIDA DE GOIÂNIA")</f>
        <v>APARECIDA DE GOIÂNIA</v>
      </c>
      <c r="G33" s="4" t="str">
        <f aca="false">IFERROR(__xludf.dummyfunction("""COMPUTED_VALUE"""),"DIREITO")</f>
        <v>DIREITO</v>
      </c>
      <c r="H33" s="4" t="str">
        <f aca="false">IFERROR(__xludf.dummyfunction("""COMPUTED_VALUE"""),"DESCLASSIFICADO")</f>
        <v>DESCLASSIFICADO</v>
      </c>
    </row>
    <row r="34" customFormat="false" ht="13.8" hidden="false" customHeight="false" outlineLevel="0" collapsed="false">
      <c r="A34" s="4" t="n">
        <f aca="false">IFERROR(__xludf.dummyfunction("""COMPUTED_VALUE"""),33)</f>
        <v>33</v>
      </c>
      <c r="B34" s="5" t="str">
        <f aca="false">IFERROR(__xludf.dummyfunction("""COMPUTED_VALUE"""),"AMANDA RODRIGUES DA SILVA")</f>
        <v>AMANDA RODRIGUES DA SILVA</v>
      </c>
      <c r="C34" s="5"/>
      <c r="D34" s="5"/>
      <c r="E34" s="5" t="str">
        <f aca="false">IFERROR(__xludf.dummyfunction("""COMPUTED_VALUE"""),"GO")</f>
        <v>GO</v>
      </c>
      <c r="F34" s="4" t="str">
        <f aca="false">IFERROR(__xludf.dummyfunction("""COMPUTED_VALUE"""),"GOIÂNIA")</f>
        <v>GOIÂNIA</v>
      </c>
      <c r="G34" s="4" t="str">
        <f aca="false">IFERROR(__xludf.dummyfunction("""COMPUTED_VALUE"""),"DIREITO")</f>
        <v>DIREITO</v>
      </c>
      <c r="H34" s="4" t="str">
        <f aca="false">IFERROR(__xludf.dummyfunction("""COMPUTED_VALUE"""),"CONTRATADO")</f>
        <v>CONTRATADO</v>
      </c>
    </row>
    <row r="35" customFormat="false" ht="13.8" hidden="false" customHeight="false" outlineLevel="0" collapsed="false">
      <c r="A35" s="4" t="n">
        <f aca="false">IFERROR(__xludf.dummyfunction("""COMPUTED_VALUE"""),34)</f>
        <v>34</v>
      </c>
      <c r="B35" s="5" t="str">
        <f aca="false">IFERROR(__xludf.dummyfunction("""COMPUTED_VALUE"""),"EMMILY HUSKAYER SOUZA ROSA MENDES")</f>
        <v>EMMILY HUSKAYER SOUZA ROSA MENDES</v>
      </c>
      <c r="C35" s="5"/>
      <c r="D35" s="5"/>
      <c r="E35" s="5" t="str">
        <f aca="false">IFERROR(__xludf.dummyfunction("""COMPUTED_VALUE"""),"GO")</f>
        <v>GO</v>
      </c>
      <c r="F35" s="4" t="str">
        <f aca="false">IFERROR(__xludf.dummyfunction("""COMPUTED_VALUE"""),"SENADOR CANEDO")</f>
        <v>SENADOR CANEDO</v>
      </c>
      <c r="G35" s="4" t="str">
        <f aca="false">IFERROR(__xludf.dummyfunction("""COMPUTED_VALUE"""),"DIREITO")</f>
        <v>DIREITO</v>
      </c>
      <c r="H35" s="4" t="str">
        <f aca="false">IFERROR(__xludf.dummyfunction("""COMPUTED_VALUE"""),"CONTRATADO")</f>
        <v>CONTRATADO</v>
      </c>
    </row>
    <row r="36" customFormat="false" ht="13.8" hidden="false" customHeight="false" outlineLevel="0" collapsed="false">
      <c r="A36" s="4" t="n">
        <f aca="false">IFERROR(__xludf.dummyfunction("""COMPUTED_VALUE"""),35)</f>
        <v>35</v>
      </c>
      <c r="B36" s="5" t="str">
        <f aca="false">IFERROR(__xludf.dummyfunction("""COMPUTED_VALUE"""),"ÉDIPO GUEDES DA SILVA FERREIRA BRAGA")</f>
        <v>ÉDIPO GUEDES DA SILVA FERREIRA BRAGA</v>
      </c>
      <c r="C36" s="5"/>
      <c r="D36" s="5"/>
      <c r="E36" s="5" t="str">
        <f aca="false">IFERROR(__xludf.dummyfunction("""COMPUTED_VALUE"""),"GO")</f>
        <v>GO</v>
      </c>
      <c r="F36" s="4" t="str">
        <f aca="false">IFERROR(__xludf.dummyfunction("""COMPUTED_VALUE"""),"APARECIDA DE GOIÂNIA")</f>
        <v>APARECIDA DE GOIÂNIA</v>
      </c>
      <c r="G36" s="4" t="str">
        <f aca="false">IFERROR(__xludf.dummyfunction("""COMPUTED_VALUE"""),"DIREITO")</f>
        <v>DIREITO</v>
      </c>
      <c r="H36" s="4" t="str">
        <f aca="false">IFERROR(__xludf.dummyfunction("""COMPUTED_VALUE"""),"DESCLASSIFICADO")</f>
        <v>DESCLASSIFICADO</v>
      </c>
    </row>
    <row r="37" customFormat="false" ht="13.8" hidden="false" customHeight="false" outlineLevel="0" collapsed="false">
      <c r="A37" s="4" t="n">
        <f aca="false">IFERROR(__xludf.dummyfunction("""COMPUTED_VALUE"""),36)</f>
        <v>36</v>
      </c>
      <c r="B37" s="5" t="str">
        <f aca="false">IFERROR(__xludf.dummyfunction("""COMPUTED_VALUE"""),"LUDMILA NEVES DE AZEVEDO ")</f>
        <v>LUDMILA NEVES DE AZEVEDO</v>
      </c>
      <c r="C37" s="5"/>
      <c r="D37" s="5"/>
      <c r="E37" s="5" t="str">
        <f aca="false">IFERROR(__xludf.dummyfunction("""COMPUTED_VALUE"""),"GO")</f>
        <v>GO</v>
      </c>
      <c r="F37" s="4" t="str">
        <f aca="false">IFERROR(__xludf.dummyfunction("""COMPUTED_VALUE"""),"APARECIDA DE GOIÂNIA")</f>
        <v>APARECIDA DE GOIÂNIA</v>
      </c>
      <c r="G37" s="4" t="str">
        <f aca="false">IFERROR(__xludf.dummyfunction("""COMPUTED_VALUE"""),"DIREITO")</f>
        <v>DIREITO</v>
      </c>
      <c r="H37" s="4" t="str">
        <f aca="false">IFERROR(__xludf.dummyfunction("""COMPUTED_VALUE"""),"CONTRATADO")</f>
        <v>CONTRATADO</v>
      </c>
    </row>
    <row r="38" customFormat="false" ht="13.8" hidden="false" customHeight="false" outlineLevel="0" collapsed="false">
      <c r="A38" s="4" t="n">
        <f aca="false">IFERROR(__xludf.dummyfunction("""COMPUTED_VALUE"""),37)</f>
        <v>37</v>
      </c>
      <c r="B38" s="5" t="str">
        <f aca="false">IFERROR(__xludf.dummyfunction("""COMPUTED_VALUE"""),"JESSÉ RODRIGUES ")</f>
        <v>JESSÉ RODRIGUES</v>
      </c>
      <c r="C38" s="5"/>
      <c r="D38" s="5"/>
      <c r="E38" s="5" t="str">
        <f aca="false">IFERROR(__xludf.dummyfunction("""COMPUTED_VALUE"""),"GO")</f>
        <v>GO</v>
      </c>
      <c r="F38" s="4" t="str">
        <f aca="false">IFERROR(__xludf.dummyfunction("""COMPUTED_VALUE"""),"SENADOR CANEDO")</f>
        <v>SENADOR CANEDO</v>
      </c>
      <c r="G38" s="4" t="str">
        <f aca="false">IFERROR(__xludf.dummyfunction("""COMPUTED_VALUE"""),"DIREITO")</f>
        <v>DIREITO</v>
      </c>
      <c r="H38" s="4" t="str">
        <f aca="false">IFERROR(__xludf.dummyfunction("""COMPUTED_VALUE"""),"CONTRATADO")</f>
        <v>CONTRATADO</v>
      </c>
    </row>
    <row r="39" customFormat="false" ht="13.8" hidden="false" customHeight="false" outlineLevel="0" collapsed="false">
      <c r="A39" s="4" t="n">
        <f aca="false">IFERROR(__xludf.dummyfunction("""COMPUTED_VALUE"""),38)</f>
        <v>38</v>
      </c>
      <c r="B39" s="5" t="str">
        <f aca="false">IFERROR(__xludf.dummyfunction("""COMPUTED_VALUE"""),"MARCOS VINICIOS DE SOUZA")</f>
        <v>MARCOS VINICIOS DE SOUZA</v>
      </c>
      <c r="C39" s="5"/>
      <c r="D39" s="5"/>
      <c r="E39" s="5" t="str">
        <f aca="false">IFERROR(__xludf.dummyfunction("""COMPUTED_VALUE"""),"GO")</f>
        <v>GO</v>
      </c>
      <c r="F39" s="4" t="str">
        <f aca="false">IFERROR(__xludf.dummyfunction("""COMPUTED_VALUE"""),"APARECIDA DE GOIÂNIA")</f>
        <v>APARECIDA DE GOIÂNIA</v>
      </c>
      <c r="G39" s="4" t="str">
        <f aca="false">IFERROR(__xludf.dummyfunction("""COMPUTED_VALUE"""),"DIREITO")</f>
        <v>DIREITO</v>
      </c>
      <c r="H39" s="4" t="str">
        <f aca="false">IFERROR(__xludf.dummyfunction("""COMPUTED_VALUE"""),"CONTRATADO")</f>
        <v>CONTRATADO</v>
      </c>
    </row>
    <row r="40" customFormat="false" ht="13.8" hidden="false" customHeight="false" outlineLevel="0" collapsed="false">
      <c r="A40" s="4" t="n">
        <f aca="false">IFERROR(__xludf.dummyfunction("""COMPUTED_VALUE"""),39)</f>
        <v>39</v>
      </c>
      <c r="B40" s="5" t="str">
        <f aca="false">IFERROR(__xludf.dummyfunction("""COMPUTED_VALUE"""),"POLLYANA FERNANDES LIMA")</f>
        <v>POLLYANA FERNANDES LIMA</v>
      </c>
      <c r="C40" s="5"/>
      <c r="D40" s="5"/>
      <c r="E40" s="5" t="str">
        <f aca="false">IFERROR(__xludf.dummyfunction("""COMPUTED_VALUE"""),"GO")</f>
        <v>GO</v>
      </c>
      <c r="F40" s="4" t="str">
        <f aca="false">IFERROR(__xludf.dummyfunction("""COMPUTED_VALUE"""),"APARECIDA DE GOIÂNIA")</f>
        <v>APARECIDA DE GOIÂNIA</v>
      </c>
      <c r="G40" s="4" t="str">
        <f aca="false">IFERROR(__xludf.dummyfunction("""COMPUTED_VALUE"""),"DIREITO")</f>
        <v>DIREITO</v>
      </c>
      <c r="H40" s="4" t="str">
        <f aca="false">IFERROR(__xludf.dummyfunction("""COMPUTED_VALUE"""),"DESCLASSIFICADO")</f>
        <v>DESCLASSIFICADO</v>
      </c>
    </row>
    <row r="41" customFormat="false" ht="13.8" hidden="false" customHeight="false" outlineLevel="0" collapsed="false">
      <c r="A41" s="4" t="n">
        <f aca="false">IFERROR(__xludf.dummyfunction("""COMPUTED_VALUE"""),40)</f>
        <v>40</v>
      </c>
      <c r="B41" s="5" t="str">
        <f aca="false">IFERROR(__xludf.dummyfunction("""COMPUTED_VALUE"""),"PEDRO HENRIQUE PEREIRA ALVES")</f>
        <v>PEDRO HENRIQUE PEREIRA ALVES</v>
      </c>
      <c r="C41" s="5"/>
      <c r="D41" s="5"/>
      <c r="E41" s="5" t="str">
        <f aca="false">IFERROR(__xludf.dummyfunction("""COMPUTED_VALUE"""),"GO")</f>
        <v>GO</v>
      </c>
      <c r="F41" s="4" t="str">
        <f aca="false">IFERROR(__xludf.dummyfunction("""COMPUTED_VALUE"""),"GOIÂNIA")</f>
        <v>GOIÂNIA</v>
      </c>
      <c r="G41" s="4" t="str">
        <f aca="false">IFERROR(__xludf.dummyfunction("""COMPUTED_VALUE"""),"DIREITO")</f>
        <v>DIREITO</v>
      </c>
      <c r="H41" s="4" t="str">
        <f aca="false">IFERROR(__xludf.dummyfunction("""COMPUTED_VALUE"""),"CONTRATADO")</f>
        <v>CONTRATADO</v>
      </c>
    </row>
    <row r="42" customFormat="false" ht="13.8" hidden="false" customHeight="false" outlineLevel="0" collapsed="false">
      <c r="A42" s="4" t="n">
        <f aca="false">IFERROR(__xludf.dummyfunction("""COMPUTED_VALUE"""),41)</f>
        <v>41</v>
      </c>
      <c r="B42" s="5" t="str">
        <f aca="false">IFERROR(__xludf.dummyfunction("""COMPUTED_VALUE"""),"WESLEY DA SILVA ALVES")</f>
        <v>WESLEY DA SILVA ALVES</v>
      </c>
      <c r="C42" s="5"/>
      <c r="D42" s="5"/>
      <c r="E42" s="5" t="str">
        <f aca="false">IFERROR(__xludf.dummyfunction("""COMPUTED_VALUE"""),"GO")</f>
        <v>GO</v>
      </c>
      <c r="F42" s="4" t="str">
        <f aca="false">IFERROR(__xludf.dummyfunction("""COMPUTED_VALUE"""),"APARECIDA DE GOIÂNIA")</f>
        <v>APARECIDA DE GOIÂNIA</v>
      </c>
      <c r="G42" s="4" t="str">
        <f aca="false">IFERROR(__xludf.dummyfunction("""COMPUTED_VALUE"""),"DIREITO")</f>
        <v>DIREITO</v>
      </c>
      <c r="H42" s="4" t="str">
        <f aca="false">IFERROR(__xludf.dummyfunction("""COMPUTED_VALUE"""),"CONTRATADO")</f>
        <v>CONTRATADO</v>
      </c>
    </row>
    <row r="43" customFormat="false" ht="13.8" hidden="false" customHeight="false" outlineLevel="0" collapsed="false">
      <c r="A43" s="4" t="n">
        <f aca="false">IFERROR(__xludf.dummyfunction("""COMPUTED_VALUE"""),42)</f>
        <v>42</v>
      </c>
      <c r="B43" s="5" t="str">
        <f aca="false">IFERROR(__xludf.dummyfunction("""COMPUTED_VALUE"""),"ANTONIO ADAILTON SOUSA LIMA")</f>
        <v>ANTONIO ADAILTON SOUSA LIMA</v>
      </c>
      <c r="C43" s="5"/>
      <c r="D43" s="5"/>
      <c r="E43" s="5" t="str">
        <f aca="false">IFERROR(__xludf.dummyfunction("""COMPUTED_VALUE"""),"GO")</f>
        <v>GO</v>
      </c>
      <c r="F43" s="4" t="str">
        <f aca="false">IFERROR(__xludf.dummyfunction("""COMPUTED_VALUE"""),"NOVO GAMA")</f>
        <v>NOVO GAMA</v>
      </c>
      <c r="G43" s="4" t="str">
        <f aca="false">IFERROR(__xludf.dummyfunction("""COMPUTED_VALUE"""),"DIREITO")</f>
        <v>DIREITO</v>
      </c>
      <c r="H43" s="4" t="str">
        <f aca="false">IFERROR(__xludf.dummyfunction("""COMPUTED_VALUE"""),"DESCLASSIFICADO")</f>
        <v>DESCLASSIFICADO</v>
      </c>
    </row>
    <row r="44" customFormat="false" ht="13.8" hidden="false" customHeight="false" outlineLevel="0" collapsed="false">
      <c r="A44" s="4" t="n">
        <f aca="false">IFERROR(__xludf.dummyfunction("""COMPUTED_VALUE"""),43)</f>
        <v>43</v>
      </c>
      <c r="B44" s="5" t="str">
        <f aca="false">IFERROR(__xludf.dummyfunction("""COMPUTED_VALUE"""),"NAYARA FERREIRA DOS SANTOS")</f>
        <v>NAYARA FERREIRA DOS SANTOS</v>
      </c>
      <c r="C44" s="5"/>
      <c r="D44" s="5"/>
      <c r="E44" s="5" t="str">
        <f aca="false">IFERROR(__xludf.dummyfunction("""COMPUTED_VALUE"""),"GO")</f>
        <v>GO</v>
      </c>
      <c r="F44" s="4" t="str">
        <f aca="false">IFERROR(__xludf.dummyfunction("""COMPUTED_VALUE"""),"GOIÂNIA")</f>
        <v>GOIÂNIA</v>
      </c>
      <c r="G44" s="4" t="str">
        <f aca="false">IFERROR(__xludf.dummyfunction("""COMPUTED_VALUE"""),"DIREITO")</f>
        <v>DIREITO</v>
      </c>
      <c r="H44" s="4" t="str">
        <f aca="false">IFERROR(__xludf.dummyfunction("""COMPUTED_VALUE"""),"DESCLASSIFICADO")</f>
        <v>DESCLASSIFICADO</v>
      </c>
    </row>
    <row r="45" customFormat="false" ht="13.8" hidden="false" customHeight="false" outlineLevel="0" collapsed="false">
      <c r="A45" s="4" t="n">
        <f aca="false">IFERROR(__xludf.dummyfunction("""COMPUTED_VALUE"""),44)</f>
        <v>44</v>
      </c>
      <c r="B45" s="5" t="str">
        <f aca="false">IFERROR(__xludf.dummyfunction("""COMPUTED_VALUE"""),"GRACYELE LUCIANO DE FARIA")</f>
        <v>GRACYELE LUCIANO DE FARIA</v>
      </c>
      <c r="C45" s="5"/>
      <c r="D45" s="5"/>
      <c r="E45" s="5" t="str">
        <f aca="false">IFERROR(__xludf.dummyfunction("""COMPUTED_VALUE"""),"GO")</f>
        <v>GO</v>
      </c>
      <c r="F45" s="4" t="str">
        <f aca="false">IFERROR(__xludf.dummyfunction("""COMPUTED_VALUE"""),"APARECIDA DE GOIÂNIA")</f>
        <v>APARECIDA DE GOIÂNIA</v>
      </c>
      <c r="G45" s="4" t="str">
        <f aca="false">IFERROR(__xludf.dummyfunction("""COMPUTED_VALUE"""),"DIREITO")</f>
        <v>DIREITO</v>
      </c>
      <c r="H45" s="4" t="str">
        <f aca="false">IFERROR(__xludf.dummyfunction("""COMPUTED_VALUE"""),"CONTRATADO")</f>
        <v>CONTRATADO</v>
      </c>
    </row>
    <row r="46" customFormat="false" ht="13.8" hidden="false" customHeight="false" outlineLevel="0" collapsed="false">
      <c r="A46" s="4" t="n">
        <f aca="false">IFERROR(__xludf.dummyfunction("""COMPUTED_VALUE"""),45)</f>
        <v>45</v>
      </c>
      <c r="B46" s="5" t="str">
        <f aca="false">IFERROR(__xludf.dummyfunction("""COMPUTED_VALUE"""),"ARIELLE MARTINS DE SOUZA GOMES")</f>
        <v>ARIELLE MARTINS DE SOUZA GOMES</v>
      </c>
      <c r="C46" s="5"/>
      <c r="D46" s="5"/>
      <c r="E46" s="5" t="str">
        <f aca="false">IFERROR(__xludf.dummyfunction("""COMPUTED_VALUE"""),"GO")</f>
        <v>GO</v>
      </c>
      <c r="F46" s="4" t="str">
        <f aca="false">IFERROR(__xludf.dummyfunction("""COMPUTED_VALUE"""),"APARECIDA DE GOIÂNIA")</f>
        <v>APARECIDA DE GOIÂNIA</v>
      </c>
      <c r="G46" s="4" t="str">
        <f aca="false">IFERROR(__xludf.dummyfunction("""COMPUTED_VALUE"""),"DIREITO")</f>
        <v>DIREITO</v>
      </c>
      <c r="H46" s="4" t="str">
        <f aca="false">IFERROR(__xludf.dummyfunction("""COMPUTED_VALUE"""),"DESCLASSIFICADO")</f>
        <v>DESCLASSIFICADO</v>
      </c>
    </row>
    <row r="47" customFormat="false" ht="13.8" hidden="false" customHeight="false" outlineLevel="0" collapsed="false">
      <c r="A47" s="4" t="n">
        <f aca="false">IFERROR(__xludf.dummyfunction("""COMPUTED_VALUE"""),46)</f>
        <v>46</v>
      </c>
      <c r="B47" s="5" t="str">
        <f aca="false">IFERROR(__xludf.dummyfunction("""COMPUTED_VALUE"""),"CLODOMIR DE SOUSA DIAS ")</f>
        <v>CLODOMIR DE SOUSA DIAS</v>
      </c>
      <c r="C47" s="5"/>
      <c r="D47" s="5"/>
      <c r="E47" s="5" t="str">
        <f aca="false">IFERROR(__xludf.dummyfunction("""COMPUTED_VALUE"""),"GO")</f>
        <v>GO</v>
      </c>
      <c r="F47" s="4" t="str">
        <f aca="false">IFERROR(__xludf.dummyfunction("""COMPUTED_VALUE"""),"APARECIDA DE GOIÂNIA")</f>
        <v>APARECIDA DE GOIÂNIA</v>
      </c>
      <c r="G47" s="4" t="str">
        <f aca="false">IFERROR(__xludf.dummyfunction("""COMPUTED_VALUE"""),"DIREITO")</f>
        <v>DIREITO</v>
      </c>
      <c r="H47" s="4" t="str">
        <f aca="false">IFERROR(__xludf.dummyfunction("""COMPUTED_VALUE"""),"DESCLASSIFICADO")</f>
        <v>DESCLASSIFICADO</v>
      </c>
    </row>
    <row r="48" customFormat="false" ht="13.8" hidden="false" customHeight="false" outlineLevel="0" collapsed="false">
      <c r="A48" s="4" t="n">
        <f aca="false">IFERROR(__xludf.dummyfunction("""COMPUTED_VALUE"""),47)</f>
        <v>47</v>
      </c>
      <c r="B48" s="5" t="str">
        <f aca="false">IFERROR(__xludf.dummyfunction("""COMPUTED_VALUE"""),"RAFAEL ALEXANDRE SILVA")</f>
        <v>RAFAEL ALEXANDRE SILVA</v>
      </c>
      <c r="C48" s="5"/>
      <c r="D48" s="5"/>
      <c r="E48" s="5" t="str">
        <f aca="false">IFERROR(__xludf.dummyfunction("""COMPUTED_VALUE"""),"GO")</f>
        <v>GO</v>
      </c>
      <c r="F48" s="4" t="str">
        <f aca="false">IFERROR(__xludf.dummyfunction("""COMPUTED_VALUE"""),"ANÁPOLIS")</f>
        <v>ANÁPOLIS</v>
      </c>
      <c r="G48" s="4" t="str">
        <f aca="false">IFERROR(__xludf.dummyfunction("""COMPUTED_VALUE"""),"DIREITO")</f>
        <v>DIREITO</v>
      </c>
      <c r="H48" s="4" t="str">
        <f aca="false">IFERROR(__xludf.dummyfunction("""COMPUTED_VALUE"""),"DESCLASSIFICADO")</f>
        <v>DESCLASSIFICADO</v>
      </c>
    </row>
    <row r="49" customFormat="false" ht="13.8" hidden="false" customHeight="false" outlineLevel="0" collapsed="false">
      <c r="A49" s="4" t="n">
        <f aca="false">IFERROR(__xludf.dummyfunction("""COMPUTED_VALUE"""),48)</f>
        <v>48</v>
      </c>
      <c r="B49" s="5" t="str">
        <f aca="false">IFERROR(__xludf.dummyfunction("""COMPUTED_VALUE"""),"EDNA RODRIGUES DOS SANTOS ")</f>
        <v>EDNA RODRIGUES DOS SANTOS</v>
      </c>
      <c r="C49" s="5"/>
      <c r="D49" s="5"/>
      <c r="E49" s="5" t="str">
        <f aca="false">IFERROR(__xludf.dummyfunction("""COMPUTED_VALUE"""),"MG")</f>
        <v>MG</v>
      </c>
      <c r="F49" s="4" t="str">
        <f aca="false">IFERROR(__xludf.dummyfunction("""COMPUTED_VALUE"""),"JANUÁRIA")</f>
        <v>JANUÁRIA</v>
      </c>
      <c r="G49" s="4" t="str">
        <f aca="false">IFERROR(__xludf.dummyfunction("""COMPUTED_VALUE"""),"DIREITO")</f>
        <v>DIREITO</v>
      </c>
      <c r="H49" s="4" t="str">
        <f aca="false">IFERROR(__xludf.dummyfunction("""COMPUTED_VALUE"""),"DESCLASSIFICADO")</f>
        <v>DESCLASSIFICADO</v>
      </c>
    </row>
    <row r="50" customFormat="false" ht="13.8" hidden="false" customHeight="false" outlineLevel="0" collapsed="false">
      <c r="A50" s="4" t="n">
        <f aca="false">IFERROR(__xludf.dummyfunction("""COMPUTED_VALUE"""),49)</f>
        <v>49</v>
      </c>
      <c r="B50" s="5" t="str">
        <f aca="false">IFERROR(__xludf.dummyfunction("""COMPUTED_VALUE"""),"ERIKA SOARES MENEZES")</f>
        <v>ERIKA SOARES MENEZES</v>
      </c>
      <c r="C50" s="5" t="str">
        <f aca="false">IFERROR(__xludf.dummyfunction("""COMPUTED_VALUE"""),"NEGRO")</f>
        <v>NEGRO</v>
      </c>
      <c r="D50" s="5"/>
      <c r="E50" s="5" t="str">
        <f aca="false">IFERROR(__xludf.dummyfunction("""COMPUTED_VALUE"""),"DF")</f>
        <v>DF</v>
      </c>
      <c r="F50" s="4" t="str">
        <f aca="false">IFERROR(__xludf.dummyfunction("""COMPUTED_VALUE"""),"BRASÍLIA")</f>
        <v>BRASÍLIA</v>
      </c>
      <c r="G50" s="4" t="str">
        <f aca="false">IFERROR(__xludf.dummyfunction("""COMPUTED_VALUE"""),"DIREITO")</f>
        <v>DIREITO</v>
      </c>
      <c r="H50" s="4" t="str">
        <f aca="false">IFERROR(__xludf.dummyfunction("""COMPUTED_VALUE"""),"CONTRATADO")</f>
        <v>CONTRATADO</v>
      </c>
    </row>
    <row r="51" customFormat="false" ht="13.8" hidden="false" customHeight="false" outlineLevel="0" collapsed="false">
      <c r="A51" s="4" t="n">
        <f aca="false">IFERROR(__xludf.dummyfunction("""COMPUTED_VALUE"""),50)</f>
        <v>50</v>
      </c>
      <c r="B51" s="5" t="str">
        <f aca="false">IFERROR(__xludf.dummyfunction("""COMPUTED_VALUE"""),"ESTEFANIA CLAUDIO DA SILVA")</f>
        <v>ESTEFANIA CLAUDIO DA SILVA</v>
      </c>
      <c r="C51" s="5"/>
      <c r="D51" s="5"/>
      <c r="E51" s="5" t="str">
        <f aca="false">IFERROR(__xludf.dummyfunction("""COMPUTED_VALUE"""),"GO")</f>
        <v>GO</v>
      </c>
      <c r="F51" s="4" t="str">
        <f aca="false">IFERROR(__xludf.dummyfunction("""COMPUTED_VALUE"""),"GOIÂNIA")</f>
        <v>GOIÂNIA</v>
      </c>
      <c r="G51" s="4" t="str">
        <f aca="false">IFERROR(__xludf.dummyfunction("""COMPUTED_VALUE"""),"DIREITO")</f>
        <v>DIREITO</v>
      </c>
      <c r="H51" s="4" t="str">
        <f aca="false">IFERROR(__xludf.dummyfunction("""COMPUTED_VALUE"""),"CONTRATADO")</f>
        <v>CONTRATADO</v>
      </c>
    </row>
    <row r="52" customFormat="false" ht="13.8" hidden="false" customHeight="false" outlineLevel="0" collapsed="false">
      <c r="A52" s="4" t="n">
        <f aca="false">IFERROR(__xludf.dummyfunction("""COMPUTED_VALUE"""),51)</f>
        <v>51</v>
      </c>
      <c r="B52" s="5" t="str">
        <f aca="false">IFERROR(__xludf.dummyfunction("""COMPUTED_VALUE"""),"CRISTIANO MAYCON FREIRES DE JESUS")</f>
        <v>CRISTIANO MAYCON FREIRES DE JESUS</v>
      </c>
      <c r="C52" s="5"/>
      <c r="D52" s="5"/>
      <c r="E52" s="5" t="str">
        <f aca="false">IFERROR(__xludf.dummyfunction("""COMPUTED_VALUE"""),"GO")</f>
        <v>GO</v>
      </c>
      <c r="F52" s="4" t="str">
        <f aca="false">IFERROR(__xludf.dummyfunction("""COMPUTED_VALUE"""),"APARECIDA DE GOIÂNIA")</f>
        <v>APARECIDA DE GOIÂNIA</v>
      </c>
      <c r="G52" s="4" t="str">
        <f aca="false">IFERROR(__xludf.dummyfunction("""COMPUTED_VALUE"""),"DIREITO")</f>
        <v>DIREITO</v>
      </c>
      <c r="H52" s="4" t="str">
        <f aca="false">IFERROR(__xludf.dummyfunction("""COMPUTED_VALUE"""),"DESCLASSIFICADO")</f>
        <v>DESCLASSIFICADO</v>
      </c>
    </row>
    <row r="53" customFormat="false" ht="13.8" hidden="false" customHeight="false" outlineLevel="0" collapsed="false">
      <c r="A53" s="4" t="n">
        <f aca="false">IFERROR(__xludf.dummyfunction("""COMPUTED_VALUE"""),52)</f>
        <v>52</v>
      </c>
      <c r="B53" s="5" t="str">
        <f aca="false">IFERROR(__xludf.dummyfunction("""COMPUTED_VALUE"""),"WESLEY SOUSA NUNES")</f>
        <v>WESLEY SOUSA NUNES</v>
      </c>
      <c r="C53" s="5" t="str">
        <f aca="false">IFERROR(__xludf.dummyfunction("""COMPUTED_VALUE"""),"NEGRO")</f>
        <v>NEGRO</v>
      </c>
      <c r="D53" s="5"/>
      <c r="E53" s="5" t="str">
        <f aca="false">IFERROR(__xludf.dummyfunction("""COMPUTED_VALUE"""),"GO")</f>
        <v>GO</v>
      </c>
      <c r="F53" s="4" t="str">
        <f aca="false">IFERROR(__xludf.dummyfunction("""COMPUTED_VALUE"""),"GOIÂNIA")</f>
        <v>GOIÂNIA</v>
      </c>
      <c r="G53" s="4" t="str">
        <f aca="false">IFERROR(__xludf.dummyfunction("""COMPUTED_VALUE"""),"DIREITO")</f>
        <v>DIREITO</v>
      </c>
      <c r="H53" s="4" t="str">
        <f aca="false">IFERROR(__xludf.dummyfunction("""COMPUTED_VALUE"""),"CONTRATADO")</f>
        <v>CONTRATADO</v>
      </c>
    </row>
    <row r="54" customFormat="false" ht="13.8" hidden="false" customHeight="false" outlineLevel="0" collapsed="false">
      <c r="A54" s="4" t="n">
        <f aca="false">IFERROR(__xludf.dummyfunction("""COMPUTED_VALUE"""),53)</f>
        <v>53</v>
      </c>
      <c r="B54" s="5" t="str">
        <f aca="false">IFERROR(__xludf.dummyfunction("""COMPUTED_VALUE"""),"CAMILA RESENDE CAETANO TAVARES")</f>
        <v>CAMILA RESENDE CAETANO TAVARES</v>
      </c>
      <c r="C54" s="5"/>
      <c r="D54" s="5"/>
      <c r="E54" s="5" t="str">
        <f aca="false">IFERROR(__xludf.dummyfunction("""COMPUTED_VALUE"""),"GO")</f>
        <v>GO</v>
      </c>
      <c r="F54" s="4" t="str">
        <f aca="false">IFERROR(__xludf.dummyfunction("""COMPUTED_VALUE"""),"GOIÂNIA")</f>
        <v>GOIÂNIA</v>
      </c>
      <c r="G54" s="4" t="str">
        <f aca="false">IFERROR(__xludf.dummyfunction("""COMPUTED_VALUE"""),"DIREITO")</f>
        <v>DIREITO</v>
      </c>
      <c r="H54" s="4" t="str">
        <f aca="false">IFERROR(__xludf.dummyfunction("""COMPUTED_VALUE"""),"DESCLASSIFICADO")</f>
        <v>DESCLASSIFICADO</v>
      </c>
    </row>
    <row r="55" customFormat="false" ht="13.8" hidden="false" customHeight="false" outlineLevel="0" collapsed="false">
      <c r="A55" s="4" t="n">
        <f aca="false">IFERROR(__xludf.dummyfunction("""COMPUTED_VALUE"""),54)</f>
        <v>54</v>
      </c>
      <c r="B55" s="5" t="str">
        <f aca="false">IFERROR(__xludf.dummyfunction("""COMPUTED_VALUE"""),"ISABELA MARIA TAVARES PIMENTA")</f>
        <v>ISABELA MARIA TAVARES PIMENTA</v>
      </c>
      <c r="C55" s="5"/>
      <c r="D55" s="5"/>
      <c r="E55" s="5" t="str">
        <f aca="false">IFERROR(__xludf.dummyfunction("""COMPUTED_VALUE"""),"GO")</f>
        <v>GO</v>
      </c>
      <c r="F55" s="4" t="str">
        <f aca="false">IFERROR(__xludf.dummyfunction("""COMPUTED_VALUE"""),"GOIÂNIA")</f>
        <v>GOIÂNIA</v>
      </c>
      <c r="G55" s="4" t="str">
        <f aca="false">IFERROR(__xludf.dummyfunction("""COMPUTED_VALUE"""),"DIREITO")</f>
        <v>DIREITO</v>
      </c>
      <c r="H55" s="4" t="str">
        <f aca="false">IFERROR(__xludf.dummyfunction("""COMPUTED_VALUE"""),"DESCLASSIFICADO")</f>
        <v>DESCLASSIFICADO</v>
      </c>
    </row>
    <row r="56" customFormat="false" ht="13.8" hidden="false" customHeight="false" outlineLevel="0" collapsed="false">
      <c r="A56" s="4" t="n">
        <f aca="false">IFERROR(__xludf.dummyfunction("""COMPUTED_VALUE"""),55)</f>
        <v>55</v>
      </c>
      <c r="B56" s="5" t="str">
        <f aca="false">IFERROR(__xludf.dummyfunction("""COMPUTED_VALUE"""),"MAX SUEL RODRIGUES DA SILVA")</f>
        <v>MAX SUEL RODRIGUES DA SILVA</v>
      </c>
      <c r="C56" s="5"/>
      <c r="D56" s="5"/>
      <c r="E56" s="5" t="str">
        <f aca="false">IFERROR(__xludf.dummyfunction("""COMPUTED_VALUE"""),"GO")</f>
        <v>GO</v>
      </c>
      <c r="F56" s="4" t="str">
        <f aca="false">IFERROR(__xludf.dummyfunction("""COMPUTED_VALUE"""),"GOIÂNIA")</f>
        <v>GOIÂNIA</v>
      </c>
      <c r="G56" s="4" t="str">
        <f aca="false">IFERROR(__xludf.dummyfunction("""COMPUTED_VALUE"""),"DIREITO")</f>
        <v>DIREITO</v>
      </c>
      <c r="H56" s="4" t="str">
        <f aca="false">IFERROR(__xludf.dummyfunction("""COMPUTED_VALUE"""),"CONTRATADO")</f>
        <v>CONTRATADO</v>
      </c>
    </row>
    <row r="57" customFormat="false" ht="13.8" hidden="false" customHeight="false" outlineLevel="0" collapsed="false">
      <c r="A57" s="4" t="n">
        <f aca="false">IFERROR(__xludf.dummyfunction("""COMPUTED_VALUE"""),56)</f>
        <v>56</v>
      </c>
      <c r="B57" s="5" t="str">
        <f aca="false">IFERROR(__xludf.dummyfunction("""COMPUTED_VALUE"""),"MAGNO AUGUSTO MOURA FILHO")</f>
        <v>MAGNO AUGUSTO MOURA FILHO</v>
      </c>
      <c r="C57" s="5"/>
      <c r="D57" s="5"/>
      <c r="E57" s="5" t="str">
        <f aca="false">IFERROR(__xludf.dummyfunction("""COMPUTED_VALUE"""),"GO")</f>
        <v>GO</v>
      </c>
      <c r="F57" s="4" t="str">
        <f aca="false">IFERROR(__xludf.dummyfunction("""COMPUTED_VALUE"""),"APARECIDA DE GOIÂNIA")</f>
        <v>APARECIDA DE GOIÂNIA</v>
      </c>
      <c r="G57" s="4" t="str">
        <f aca="false">IFERROR(__xludf.dummyfunction("""COMPUTED_VALUE"""),"DIREITO")</f>
        <v>DIREITO</v>
      </c>
      <c r="H57" s="4" t="str">
        <f aca="false">IFERROR(__xludf.dummyfunction("""COMPUTED_VALUE"""),"DESCLASSIFICADO")</f>
        <v>DESCLASSIFICADO</v>
      </c>
    </row>
    <row r="58" customFormat="false" ht="13.8" hidden="false" customHeight="false" outlineLevel="0" collapsed="false">
      <c r="A58" s="4" t="n">
        <f aca="false">IFERROR(__xludf.dummyfunction("""COMPUTED_VALUE"""),57)</f>
        <v>57</v>
      </c>
      <c r="B58" s="5" t="str">
        <f aca="false">IFERROR(__xludf.dummyfunction("""COMPUTED_VALUE"""),"JOÃO PAULO RODRIGUES DE OLIVEIRA ")</f>
        <v>JOÃO PAULO RODRIGUES DE OLIVEIRA</v>
      </c>
      <c r="C58" s="5"/>
      <c r="D58" s="5"/>
      <c r="E58" s="5" t="str">
        <f aca="false">IFERROR(__xludf.dummyfunction("""COMPUTED_VALUE"""),"GO")</f>
        <v>GO</v>
      </c>
      <c r="F58" s="4" t="str">
        <f aca="false">IFERROR(__xludf.dummyfunction("""COMPUTED_VALUE"""),"APARECIDA DE GOIÂNIA")</f>
        <v>APARECIDA DE GOIÂNIA</v>
      </c>
      <c r="G58" s="4" t="str">
        <f aca="false">IFERROR(__xludf.dummyfunction("""COMPUTED_VALUE"""),"DIREITO")</f>
        <v>DIREITO</v>
      </c>
      <c r="H58" s="4" t="str">
        <f aca="false">IFERROR(__xludf.dummyfunction("""COMPUTED_VALUE"""),"CONTRATADO")</f>
        <v>CONTRATADO</v>
      </c>
    </row>
    <row r="59" customFormat="false" ht="13.8" hidden="false" customHeight="false" outlineLevel="0" collapsed="false">
      <c r="A59" s="4" t="n">
        <f aca="false">IFERROR(__xludf.dummyfunction("""COMPUTED_VALUE"""),58)</f>
        <v>58</v>
      </c>
      <c r="B59" s="5" t="str">
        <f aca="false">IFERROR(__xludf.dummyfunction("""COMPUTED_VALUE"""),"SONAIRA MACHADO DE ALMEIDA ")</f>
        <v>SONAIRA MACHADO DE ALMEIDA</v>
      </c>
      <c r="C59" s="5"/>
      <c r="D59" s="5"/>
      <c r="E59" s="5" t="str">
        <f aca="false">IFERROR(__xludf.dummyfunction("""COMPUTED_VALUE"""),"GO")</f>
        <v>GO</v>
      </c>
      <c r="F59" s="4" t="str">
        <f aca="false">IFERROR(__xludf.dummyfunction("""COMPUTED_VALUE"""),"GOIÂNIA")</f>
        <v>GOIÂNIA</v>
      </c>
      <c r="G59" s="4" t="str">
        <f aca="false">IFERROR(__xludf.dummyfunction("""COMPUTED_VALUE"""),"DIREITO")</f>
        <v>DIREITO</v>
      </c>
      <c r="H59" s="4" t="str">
        <f aca="false">IFERROR(__xludf.dummyfunction("""COMPUTED_VALUE"""),"CONTRATADO")</f>
        <v>CONTRATADO</v>
      </c>
    </row>
    <row r="60" customFormat="false" ht="13.8" hidden="false" customHeight="false" outlineLevel="0" collapsed="false">
      <c r="A60" s="4" t="n">
        <f aca="false">IFERROR(__xludf.dummyfunction("""COMPUTED_VALUE"""),59)</f>
        <v>59</v>
      </c>
      <c r="B60" s="5" t="str">
        <f aca="false">IFERROR(__xludf.dummyfunction("""COMPUTED_VALUE"""),"LAURYENE MAIARA DUARTE SANTOS LACERDA")</f>
        <v>LAURYENE MAIARA DUARTE SANTOS LACERDA</v>
      </c>
      <c r="C60" s="5"/>
      <c r="D60" s="5"/>
      <c r="E60" s="5" t="str">
        <f aca="false">IFERROR(__xludf.dummyfunction("""COMPUTED_VALUE"""),"GO")</f>
        <v>GO</v>
      </c>
      <c r="F60" s="4" t="str">
        <f aca="false">IFERROR(__xludf.dummyfunction("""COMPUTED_VALUE"""),"SENADOR CANEDO")</f>
        <v>SENADOR CANEDO</v>
      </c>
      <c r="G60" s="4" t="str">
        <f aca="false">IFERROR(__xludf.dummyfunction("""COMPUTED_VALUE"""),"DIREITO")</f>
        <v>DIREITO</v>
      </c>
      <c r="H60" s="4" t="str">
        <f aca="false">IFERROR(__xludf.dummyfunction("""COMPUTED_VALUE"""),"CONTRATADO")</f>
        <v>CONTRATADO</v>
      </c>
    </row>
    <row r="61" customFormat="false" ht="13.8" hidden="false" customHeight="false" outlineLevel="0" collapsed="false">
      <c r="A61" s="4" t="n">
        <f aca="false">IFERROR(__xludf.dummyfunction("""COMPUTED_VALUE"""),60)</f>
        <v>60</v>
      </c>
      <c r="B61" s="5" t="str">
        <f aca="false">IFERROR(__xludf.dummyfunction("""COMPUTED_VALUE"""),"THALLES IAN QUEIROZ E SILVA")</f>
        <v>THALLES IAN QUEIROZ E SILVA</v>
      </c>
      <c r="C61" s="5"/>
      <c r="D61" s="5"/>
      <c r="E61" s="5" t="str">
        <f aca="false">IFERROR(__xludf.dummyfunction("""COMPUTED_VALUE"""),"GO")</f>
        <v>GO</v>
      </c>
      <c r="F61" s="4" t="str">
        <f aca="false">IFERROR(__xludf.dummyfunction("""COMPUTED_VALUE"""),"APARECIDA DE GOIÂNIA")</f>
        <v>APARECIDA DE GOIÂNIA</v>
      </c>
      <c r="G61" s="4" t="str">
        <f aca="false">IFERROR(__xludf.dummyfunction("""COMPUTED_VALUE"""),"DIREITO")</f>
        <v>DIREITO</v>
      </c>
      <c r="H61" s="4" t="str">
        <f aca="false">IFERROR(__xludf.dummyfunction("""COMPUTED_VALUE"""),"DESCLASSIFICADO")</f>
        <v>DESCLASSIFICADO</v>
      </c>
    </row>
    <row r="62" customFormat="false" ht="13.8" hidden="false" customHeight="false" outlineLevel="0" collapsed="false">
      <c r="A62" s="4" t="n">
        <f aca="false">IFERROR(__xludf.dummyfunction("""COMPUTED_VALUE"""),61)</f>
        <v>61</v>
      </c>
      <c r="B62" s="5" t="str">
        <f aca="false">IFERROR(__xludf.dummyfunction("""COMPUTED_VALUE"""),"LUCAS PEREIRA DE SOUZA")</f>
        <v>LUCAS PEREIRA DE SOUZA</v>
      </c>
      <c r="C62" s="5"/>
      <c r="D62" s="5"/>
      <c r="E62" s="5" t="str">
        <f aca="false">IFERROR(__xludf.dummyfunction("""COMPUTED_VALUE"""),"GO")</f>
        <v>GO</v>
      </c>
      <c r="F62" s="4" t="str">
        <f aca="false">IFERROR(__xludf.dummyfunction("""COMPUTED_VALUE"""),"LUZIÂNIA")</f>
        <v>LUZIÂNIA</v>
      </c>
      <c r="G62" s="4" t="str">
        <f aca="false">IFERROR(__xludf.dummyfunction("""COMPUTED_VALUE"""),"DIREITO")</f>
        <v>DIREITO</v>
      </c>
      <c r="H62" s="4" t="str">
        <f aca="false">IFERROR(__xludf.dummyfunction("""COMPUTED_VALUE"""),"DESCLASSIFICADO")</f>
        <v>DESCLASSIFICADO</v>
      </c>
    </row>
    <row r="63" customFormat="false" ht="13.8" hidden="false" customHeight="false" outlineLevel="0" collapsed="false">
      <c r="A63" s="4" t="n">
        <f aca="false">IFERROR(__xludf.dummyfunction("""COMPUTED_VALUE"""),62)</f>
        <v>62</v>
      </c>
      <c r="B63" s="5" t="str">
        <f aca="false">IFERROR(__xludf.dummyfunction("""COMPUTED_VALUE"""),"GABRIELLA FELIX FLORENTINO")</f>
        <v>GABRIELLA FELIX FLORENTINO</v>
      </c>
      <c r="C63" s="5"/>
      <c r="D63" s="5"/>
      <c r="E63" s="5" t="str">
        <f aca="false">IFERROR(__xludf.dummyfunction("""COMPUTED_VALUE"""),"GO")</f>
        <v>GO</v>
      </c>
      <c r="F63" s="4" t="str">
        <f aca="false">IFERROR(__xludf.dummyfunction("""COMPUTED_VALUE"""),"GOIÂNIA")</f>
        <v>GOIÂNIA</v>
      </c>
      <c r="G63" s="4" t="str">
        <f aca="false">IFERROR(__xludf.dummyfunction("""COMPUTED_VALUE"""),"DIREITO")</f>
        <v>DIREITO</v>
      </c>
      <c r="H63" s="4" t="str">
        <f aca="false">IFERROR(__xludf.dummyfunction("""COMPUTED_VALUE"""),"CONTRATADO")</f>
        <v>CONTRATADO</v>
      </c>
    </row>
    <row r="64" customFormat="false" ht="13.8" hidden="false" customHeight="false" outlineLevel="0" collapsed="false">
      <c r="A64" s="4" t="n">
        <f aca="false">IFERROR(__xludf.dummyfunction("""COMPUTED_VALUE"""),63)</f>
        <v>63</v>
      </c>
      <c r="B64" s="5" t="str">
        <f aca="false">IFERROR(__xludf.dummyfunction("""COMPUTED_VALUE"""),"QUEZIA PEREIRA MACHADO")</f>
        <v>QUEZIA PEREIRA MACHADO</v>
      </c>
      <c r="C64" s="5" t="str">
        <f aca="false">IFERROR(__xludf.dummyfunction("""COMPUTED_VALUE"""),"NEGRO")</f>
        <v>NEGRO</v>
      </c>
      <c r="D64" s="5"/>
      <c r="E64" s="5" t="str">
        <f aca="false">IFERROR(__xludf.dummyfunction("""COMPUTED_VALUE"""),"SP")</f>
        <v>SP</v>
      </c>
      <c r="F64" s="4" t="str">
        <f aca="false">IFERROR(__xludf.dummyfunction("""COMPUTED_VALUE"""),"ARAÇATUBA")</f>
        <v>ARAÇATUBA</v>
      </c>
      <c r="G64" s="4" t="str">
        <f aca="false">IFERROR(__xludf.dummyfunction("""COMPUTED_VALUE"""),"DIREITO")</f>
        <v>DIREITO</v>
      </c>
      <c r="H64" s="4" t="str">
        <f aca="false">IFERROR(__xludf.dummyfunction("""COMPUTED_VALUE"""),"DESCLASSIFICADO")</f>
        <v>DESCLASSIFICADO</v>
      </c>
    </row>
    <row r="65" customFormat="false" ht="13.8" hidden="false" customHeight="false" outlineLevel="0" collapsed="false">
      <c r="A65" s="4" t="n">
        <f aca="false">IFERROR(__xludf.dummyfunction("""COMPUTED_VALUE"""),64)</f>
        <v>64</v>
      </c>
      <c r="B65" s="5" t="str">
        <f aca="false">IFERROR(__xludf.dummyfunction("""COMPUTED_VALUE"""),"ELLEN RUTH DOS SANTOS SANTANA ")</f>
        <v>ELLEN RUTH DOS SANTOS SANTANA</v>
      </c>
      <c r="C65" s="5" t="str">
        <f aca="false">IFERROR(__xludf.dummyfunction("""COMPUTED_VALUE"""),"NEGRO")</f>
        <v>NEGRO</v>
      </c>
      <c r="D65" s="5"/>
      <c r="E65" s="5" t="str">
        <f aca="false">IFERROR(__xludf.dummyfunction("""COMPUTED_VALUE"""),"GO")</f>
        <v>GO</v>
      </c>
      <c r="F65" s="4" t="str">
        <f aca="false">IFERROR(__xludf.dummyfunction("""COMPUTED_VALUE"""),"GOIÂNIA")</f>
        <v>GOIÂNIA</v>
      </c>
      <c r="G65" s="4" t="str">
        <f aca="false">IFERROR(__xludf.dummyfunction("""COMPUTED_VALUE"""),"DIREITO")</f>
        <v>DIREITO</v>
      </c>
      <c r="H65" s="4" t="str">
        <f aca="false">IFERROR(__xludf.dummyfunction("""COMPUTED_VALUE"""),"CONTRATADO")</f>
        <v>CONTRATADO</v>
      </c>
    </row>
    <row r="66" customFormat="false" ht="13.8" hidden="false" customHeight="false" outlineLevel="0" collapsed="false">
      <c r="A66" s="4" t="n">
        <f aca="false">IFERROR(__xludf.dummyfunction("""COMPUTED_VALUE"""),65)</f>
        <v>65</v>
      </c>
      <c r="B66" s="5" t="str">
        <f aca="false">IFERROR(__xludf.dummyfunction("""COMPUTED_VALUE"""),"RUTHE ALVES LIMA RODRIGUES ")</f>
        <v>RUTHE ALVES LIMA RODRIGUES</v>
      </c>
      <c r="C66" s="5"/>
      <c r="D66" s="5"/>
      <c r="E66" s="5" t="str">
        <f aca="false">IFERROR(__xludf.dummyfunction("""COMPUTED_VALUE"""),"GO")</f>
        <v>GO</v>
      </c>
      <c r="F66" s="4" t="str">
        <f aca="false">IFERROR(__xludf.dummyfunction("""COMPUTED_VALUE"""),"GOIÂNIA")</f>
        <v>GOIÂNIA</v>
      </c>
      <c r="G66" s="4" t="str">
        <f aca="false">IFERROR(__xludf.dummyfunction("""COMPUTED_VALUE"""),"DIREITO")</f>
        <v>DIREITO</v>
      </c>
      <c r="H66" s="4" t="str">
        <f aca="false">IFERROR(__xludf.dummyfunction("""COMPUTED_VALUE"""),"DESCLASSIFICADO")</f>
        <v>DESCLASSIFICADO</v>
      </c>
    </row>
    <row r="67" customFormat="false" ht="13.8" hidden="false" customHeight="false" outlineLevel="0" collapsed="false">
      <c r="A67" s="4" t="n">
        <f aca="false">IFERROR(__xludf.dummyfunction("""COMPUTED_VALUE"""),66)</f>
        <v>66</v>
      </c>
      <c r="B67" s="5" t="str">
        <f aca="false">IFERROR(__xludf.dummyfunction("""COMPUTED_VALUE"""),"EVERTON JUNIOR DE AZEVEDO NEVES")</f>
        <v>EVERTON JUNIOR DE AZEVEDO NEVES</v>
      </c>
      <c r="C67" s="5"/>
      <c r="D67" s="5"/>
      <c r="E67" s="5" t="str">
        <f aca="false">IFERROR(__xludf.dummyfunction("""COMPUTED_VALUE"""),"GO")</f>
        <v>GO</v>
      </c>
      <c r="F67" s="4" t="str">
        <f aca="false">IFERROR(__xludf.dummyfunction("""COMPUTED_VALUE"""),"NIQUELÂNDIA")</f>
        <v>NIQUELÂNDIA</v>
      </c>
      <c r="G67" s="4" t="str">
        <f aca="false">IFERROR(__xludf.dummyfunction("""COMPUTED_VALUE"""),"DIREITO")</f>
        <v>DIREITO</v>
      </c>
      <c r="H67" s="4" t="str">
        <f aca="false">IFERROR(__xludf.dummyfunction("""COMPUTED_VALUE"""),"DESCLASSIFICADO")</f>
        <v>DESCLASSIFICADO</v>
      </c>
    </row>
    <row r="68" customFormat="false" ht="13.8" hidden="false" customHeight="false" outlineLevel="0" collapsed="false">
      <c r="A68" s="4" t="n">
        <f aca="false">IFERROR(__xludf.dummyfunction("""COMPUTED_VALUE"""),67)</f>
        <v>67</v>
      </c>
      <c r="B68" s="5" t="str">
        <f aca="false">IFERROR(__xludf.dummyfunction("""COMPUTED_VALUE"""),"KEILIANNE DA CONCEIÇÃO DOS SANTOS LIMA ")</f>
        <v>KEILIANNE DA CONCEIÇÃO DOS SANTOS LIMA</v>
      </c>
      <c r="C68" s="5"/>
      <c r="D68" s="5"/>
      <c r="E68" s="5" t="str">
        <f aca="false">IFERROR(__xludf.dummyfunction("""COMPUTED_VALUE"""),"GO")</f>
        <v>GO</v>
      </c>
      <c r="F68" s="4" t="str">
        <f aca="false">IFERROR(__xludf.dummyfunction("""COMPUTED_VALUE"""),"SENADOR CANEDO")</f>
        <v>SENADOR CANEDO</v>
      </c>
      <c r="G68" s="4" t="str">
        <f aca="false">IFERROR(__xludf.dummyfunction("""COMPUTED_VALUE"""),"DIREITO")</f>
        <v>DIREITO</v>
      </c>
      <c r="H68" s="4" t="str">
        <f aca="false">IFERROR(__xludf.dummyfunction("""COMPUTED_VALUE"""),"DESCLASSIFICADO")</f>
        <v>DESCLASSIFICADO</v>
      </c>
    </row>
    <row r="69" customFormat="false" ht="13.8" hidden="false" customHeight="false" outlineLevel="0" collapsed="false">
      <c r="A69" s="4" t="n">
        <f aca="false">IFERROR(__xludf.dummyfunction("""COMPUTED_VALUE"""),68)</f>
        <v>68</v>
      </c>
      <c r="B69" s="5" t="str">
        <f aca="false">IFERROR(__xludf.dummyfunction("""COMPUTED_VALUE"""),"GESSILAINE FERREIRA DA SILVA SANTOS")</f>
        <v>GESSILAINE FERREIRA DA SILVA SANTOS</v>
      </c>
      <c r="C69" s="5"/>
      <c r="D69" s="5"/>
      <c r="E69" s="5" t="str">
        <f aca="false">IFERROR(__xludf.dummyfunction("""COMPUTED_VALUE"""),"GO")</f>
        <v>GO</v>
      </c>
      <c r="F69" s="4" t="str">
        <f aca="false">IFERROR(__xludf.dummyfunction("""COMPUTED_VALUE"""),"GOIÂNIA")</f>
        <v>GOIÂNIA</v>
      </c>
      <c r="G69" s="4" t="str">
        <f aca="false">IFERROR(__xludf.dummyfunction("""COMPUTED_VALUE"""),"DIREITO")</f>
        <v>DIREITO</v>
      </c>
      <c r="H69" s="4" t="str">
        <f aca="false">IFERROR(__xludf.dummyfunction("""COMPUTED_VALUE"""),"CONTRATADO")</f>
        <v>CONTRATADO</v>
      </c>
    </row>
    <row r="70" customFormat="false" ht="13.8" hidden="false" customHeight="false" outlineLevel="0" collapsed="false">
      <c r="A70" s="4" t="n">
        <f aca="false">IFERROR(__xludf.dummyfunction("""COMPUTED_VALUE"""),69)</f>
        <v>69</v>
      </c>
      <c r="B70" s="5" t="str">
        <f aca="false">IFERROR(__xludf.dummyfunction("""COMPUTED_VALUE"""),"GABRIELLA PEREIRA MARIM")</f>
        <v>GABRIELLA PEREIRA MARIM</v>
      </c>
      <c r="C70" s="5"/>
      <c r="D70" s="5"/>
      <c r="E70" s="5" t="str">
        <f aca="false">IFERROR(__xludf.dummyfunction("""COMPUTED_VALUE"""),"GO")</f>
        <v>GO</v>
      </c>
      <c r="F70" s="4" t="str">
        <f aca="false">IFERROR(__xludf.dummyfunction("""COMPUTED_VALUE"""),"MORRINHOS")</f>
        <v>MORRINHOS</v>
      </c>
      <c r="G70" s="4" t="str">
        <f aca="false">IFERROR(__xludf.dummyfunction("""COMPUTED_VALUE"""),"DIREITO")</f>
        <v>DIREITO</v>
      </c>
      <c r="H70" s="4" t="str">
        <f aca="false">IFERROR(__xludf.dummyfunction("""COMPUTED_VALUE"""),"DESCLASSIFICADO")</f>
        <v>DESCLASSIFICADO</v>
      </c>
    </row>
    <row r="71" customFormat="false" ht="13.8" hidden="false" customHeight="false" outlineLevel="0" collapsed="false">
      <c r="A71" s="4" t="n">
        <f aca="false">IFERROR(__xludf.dummyfunction("""COMPUTED_VALUE"""),70)</f>
        <v>70</v>
      </c>
      <c r="B71" s="5" t="str">
        <f aca="false">IFERROR(__xludf.dummyfunction("""COMPUTED_VALUE"""),"MÁRCIA HELENA DA SILVA OLIVEIRA")</f>
        <v>MÁRCIA HELENA DA SILVA OLIVEIRA</v>
      </c>
      <c r="C71" s="5"/>
      <c r="D71" s="5"/>
      <c r="E71" s="5" t="str">
        <f aca="false">IFERROR(__xludf.dummyfunction("""COMPUTED_VALUE"""),"GO")</f>
        <v>GO</v>
      </c>
      <c r="F71" s="4" t="str">
        <f aca="false">IFERROR(__xludf.dummyfunction("""COMPUTED_VALUE"""),"APARECIDA DE GOIÂNIA")</f>
        <v>APARECIDA DE GOIÂNIA</v>
      </c>
      <c r="G71" s="4" t="str">
        <f aca="false">IFERROR(__xludf.dummyfunction("""COMPUTED_VALUE"""),"DIREITO")</f>
        <v>DIREITO</v>
      </c>
      <c r="H71" s="4" t="str">
        <f aca="false">IFERROR(__xludf.dummyfunction("""COMPUTED_VALUE"""),"CONTRATADO")</f>
        <v>CONTRATADO</v>
      </c>
    </row>
    <row r="72" customFormat="false" ht="13.8" hidden="false" customHeight="false" outlineLevel="0" collapsed="false">
      <c r="A72" s="4" t="n">
        <f aca="false">IFERROR(__xludf.dummyfunction("""COMPUTED_VALUE"""),71)</f>
        <v>71</v>
      </c>
      <c r="B72" s="5" t="str">
        <f aca="false">IFERROR(__xludf.dummyfunction("""COMPUTED_VALUE"""),"NANDARA EMILLY SILVA GONÇALVES ")</f>
        <v>NANDARA EMILLY SILVA GONÇALVES</v>
      </c>
      <c r="C72" s="5"/>
      <c r="D72" s="5"/>
      <c r="E72" s="5" t="str">
        <f aca="false">IFERROR(__xludf.dummyfunction("""COMPUTED_VALUE"""),"GO")</f>
        <v>GO</v>
      </c>
      <c r="F72" s="4" t="str">
        <f aca="false">IFERROR(__xludf.dummyfunction("""COMPUTED_VALUE"""),"GOIÂNIA")</f>
        <v>GOIÂNIA</v>
      </c>
      <c r="G72" s="4" t="str">
        <f aca="false">IFERROR(__xludf.dummyfunction("""COMPUTED_VALUE"""),"DIREITO")</f>
        <v>DIREITO</v>
      </c>
      <c r="H72" s="4" t="str">
        <f aca="false">IFERROR(__xludf.dummyfunction("""COMPUTED_VALUE"""),"CONTRATADO")</f>
        <v>CONTRATADO</v>
      </c>
    </row>
    <row r="73" customFormat="false" ht="13.8" hidden="false" customHeight="false" outlineLevel="0" collapsed="false">
      <c r="A73" s="4" t="n">
        <f aca="false">IFERROR(__xludf.dummyfunction("""COMPUTED_VALUE"""),72)</f>
        <v>72</v>
      </c>
      <c r="B73" s="5" t="str">
        <f aca="false">IFERROR(__xludf.dummyfunction("""COMPUTED_VALUE"""),"LARISSA VANESSA DOS SANTOS FERREIRA")</f>
        <v>LARISSA VANESSA DOS SANTOS FERREIRA</v>
      </c>
      <c r="C73" s="5"/>
      <c r="D73" s="5"/>
      <c r="E73" s="5" t="str">
        <f aca="false">IFERROR(__xludf.dummyfunction("""COMPUTED_VALUE"""),"GO")</f>
        <v>GO</v>
      </c>
      <c r="F73" s="4" t="str">
        <f aca="false">IFERROR(__xludf.dummyfunction("""COMPUTED_VALUE"""),"ANÁPOLIS")</f>
        <v>ANÁPOLIS</v>
      </c>
      <c r="G73" s="4" t="str">
        <f aca="false">IFERROR(__xludf.dummyfunction("""COMPUTED_VALUE"""),"DIREITO")</f>
        <v>DIREITO</v>
      </c>
      <c r="H73" s="4" t="str">
        <f aca="false">IFERROR(__xludf.dummyfunction("""COMPUTED_VALUE"""),"DESCLASSIFICADO")</f>
        <v>DESCLASSIFICADO</v>
      </c>
    </row>
    <row r="74" customFormat="false" ht="13.8" hidden="false" customHeight="false" outlineLevel="0" collapsed="false">
      <c r="A74" s="4" t="n">
        <f aca="false">IFERROR(__xludf.dummyfunction("""COMPUTED_VALUE"""),73)</f>
        <v>73</v>
      </c>
      <c r="B74" s="5" t="str">
        <f aca="false">IFERROR(__xludf.dummyfunction("""COMPUTED_VALUE"""),"MARIANA MARTINS DO CARMO")</f>
        <v>MARIANA MARTINS DO CARMO</v>
      </c>
      <c r="C74" s="5"/>
      <c r="D74" s="5"/>
      <c r="E74" s="5" t="str">
        <f aca="false">IFERROR(__xludf.dummyfunction("""COMPUTED_VALUE"""),"GO")</f>
        <v>GO</v>
      </c>
      <c r="F74" s="4" t="str">
        <f aca="false">IFERROR(__xludf.dummyfunction("""COMPUTED_VALUE"""),"GOIÂNIA")</f>
        <v>GOIÂNIA</v>
      </c>
      <c r="G74" s="4" t="str">
        <f aca="false">IFERROR(__xludf.dummyfunction("""COMPUTED_VALUE"""),"DIREITO")</f>
        <v>DIREITO</v>
      </c>
      <c r="H74" s="4" t="str">
        <f aca="false">IFERROR(__xludf.dummyfunction("""COMPUTED_VALUE"""),"CONTRATADO")</f>
        <v>CONTRATADO</v>
      </c>
    </row>
    <row r="75" customFormat="false" ht="13.8" hidden="false" customHeight="false" outlineLevel="0" collapsed="false">
      <c r="A75" s="4" t="n">
        <f aca="false">IFERROR(__xludf.dummyfunction("""COMPUTED_VALUE"""),74)</f>
        <v>74</v>
      </c>
      <c r="B75" s="5" t="str">
        <f aca="false">IFERROR(__xludf.dummyfunction("""COMPUTED_VALUE"""),"WINGRET LORRANE MENDONÇA FREITAS")</f>
        <v>WINGRET LORRANE MENDONÇA FREITAS</v>
      </c>
      <c r="C75" s="5"/>
      <c r="D75" s="5"/>
      <c r="E75" s="5" t="str">
        <f aca="false">IFERROR(__xludf.dummyfunction("""COMPUTED_VALUE"""),"GO")</f>
        <v>GO</v>
      </c>
      <c r="F75" s="4" t="str">
        <f aca="false">IFERROR(__xludf.dummyfunction("""COMPUTED_VALUE"""),"GOIÂNIA")</f>
        <v>GOIÂNIA</v>
      </c>
      <c r="G75" s="4" t="str">
        <f aca="false">IFERROR(__xludf.dummyfunction("""COMPUTED_VALUE"""),"DIREITO")</f>
        <v>DIREITO</v>
      </c>
      <c r="H75" s="4" t="str">
        <f aca="false">IFERROR(__xludf.dummyfunction("""COMPUTED_VALUE"""),"CONTRATADO")</f>
        <v>CONTRATADO</v>
      </c>
    </row>
    <row r="76" customFormat="false" ht="13.8" hidden="false" customHeight="false" outlineLevel="0" collapsed="false">
      <c r="A76" s="4" t="n">
        <f aca="false">IFERROR(__xludf.dummyfunction("""COMPUTED_VALUE"""),75)</f>
        <v>75</v>
      </c>
      <c r="B76" s="5" t="str">
        <f aca="false">IFERROR(__xludf.dummyfunction("""COMPUTED_VALUE"""),"AMANDA LEAO DE SOUSA")</f>
        <v>AMANDA LEAO DE SOUSA</v>
      </c>
      <c r="C76" s="5"/>
      <c r="D76" s="5"/>
      <c r="E76" s="5" t="str">
        <f aca="false">IFERROR(__xludf.dummyfunction("""COMPUTED_VALUE"""),"GO")</f>
        <v>GO</v>
      </c>
      <c r="F76" s="4" t="str">
        <f aca="false">IFERROR(__xludf.dummyfunction("""COMPUTED_VALUE"""),"GOIÂNIA")</f>
        <v>GOIÂNIA</v>
      </c>
      <c r="G76" s="4" t="str">
        <f aca="false">IFERROR(__xludf.dummyfunction("""COMPUTED_VALUE"""),"DIREITO")</f>
        <v>DIREITO</v>
      </c>
      <c r="H76" s="4" t="str">
        <f aca="false">IFERROR(__xludf.dummyfunction("""COMPUTED_VALUE"""),"DESCLASSIFICADO")</f>
        <v>DESCLASSIFICADO</v>
      </c>
    </row>
    <row r="77" customFormat="false" ht="13.8" hidden="false" customHeight="false" outlineLevel="0" collapsed="false">
      <c r="A77" s="4" t="n">
        <f aca="false">IFERROR(__xludf.dummyfunction("""COMPUTED_VALUE"""),76)</f>
        <v>76</v>
      </c>
      <c r="B77" s="5" t="str">
        <f aca="false">IFERROR(__xludf.dummyfunction("""COMPUTED_VALUE"""),"DANIEL DA VEIGA DIAS")</f>
        <v>DANIEL DA VEIGA DIAS</v>
      </c>
      <c r="C77" s="5"/>
      <c r="D77" s="5"/>
      <c r="E77" s="5" t="str">
        <f aca="false">IFERROR(__xludf.dummyfunction("""COMPUTED_VALUE"""),"GO")</f>
        <v>GO</v>
      </c>
      <c r="F77" s="4" t="str">
        <f aca="false">IFERROR(__xludf.dummyfunction("""COMPUTED_VALUE"""),"GOIÂNIA")</f>
        <v>GOIÂNIA</v>
      </c>
      <c r="G77" s="4" t="str">
        <f aca="false">IFERROR(__xludf.dummyfunction("""COMPUTED_VALUE"""),"DIREITO")</f>
        <v>DIREITO</v>
      </c>
      <c r="H77" s="4" t="str">
        <f aca="false">IFERROR(__xludf.dummyfunction("""COMPUTED_VALUE"""),"CONTRATADO")</f>
        <v>CONTRATADO</v>
      </c>
    </row>
    <row r="78" customFormat="false" ht="13.8" hidden="false" customHeight="false" outlineLevel="0" collapsed="false">
      <c r="A78" s="4" t="n">
        <f aca="false">IFERROR(__xludf.dummyfunction("""COMPUTED_VALUE"""),77)</f>
        <v>77</v>
      </c>
      <c r="B78" s="5" t="str">
        <f aca="false">IFERROR(__xludf.dummyfunction("""COMPUTED_VALUE"""),"RAQUEL MACHADO LIMA ")</f>
        <v>RAQUEL MACHADO LIMA</v>
      </c>
      <c r="C78" s="5"/>
      <c r="D78" s="5"/>
      <c r="E78" s="5" t="str">
        <f aca="false">IFERROR(__xludf.dummyfunction("""COMPUTED_VALUE"""),"GO")</f>
        <v>GO</v>
      </c>
      <c r="F78" s="4" t="str">
        <f aca="false">IFERROR(__xludf.dummyfunction("""COMPUTED_VALUE"""),"GOIÂNIA")</f>
        <v>GOIÂNIA</v>
      </c>
      <c r="G78" s="4" t="str">
        <f aca="false">IFERROR(__xludf.dummyfunction("""COMPUTED_VALUE"""),"DIREITO")</f>
        <v>DIREITO</v>
      </c>
      <c r="H78" s="4" t="str">
        <f aca="false">IFERROR(__xludf.dummyfunction("""COMPUTED_VALUE"""),"CONTRATADO")</f>
        <v>CONTRATADO</v>
      </c>
    </row>
    <row r="79" customFormat="false" ht="13.8" hidden="false" customHeight="false" outlineLevel="0" collapsed="false">
      <c r="A79" s="4" t="n">
        <f aca="false">IFERROR(__xludf.dummyfunction("""COMPUTED_VALUE"""),78)</f>
        <v>78</v>
      </c>
      <c r="B79" s="5" t="str">
        <f aca="false">IFERROR(__xludf.dummyfunction("""COMPUTED_VALUE"""),"BRUNA ALVES VELOSO ALFAMA")</f>
        <v>BRUNA ALVES VELOSO ALFAMA</v>
      </c>
      <c r="C79" s="5"/>
      <c r="D79" s="5"/>
      <c r="E79" s="5" t="str">
        <f aca="false">IFERROR(__xludf.dummyfunction("""COMPUTED_VALUE"""),"GO")</f>
        <v>GO</v>
      </c>
      <c r="F79" s="4" t="str">
        <f aca="false">IFERROR(__xludf.dummyfunction("""COMPUTED_VALUE"""),"GOIÂNIA")</f>
        <v>GOIÂNIA</v>
      </c>
      <c r="G79" s="4" t="str">
        <f aca="false">IFERROR(__xludf.dummyfunction("""COMPUTED_VALUE"""),"DIREITO")</f>
        <v>DIREITO</v>
      </c>
      <c r="H79" s="4" t="str">
        <f aca="false">IFERROR(__xludf.dummyfunction("""COMPUTED_VALUE"""),"CONTRATADO")</f>
        <v>CONTRATADO</v>
      </c>
    </row>
    <row r="80" customFormat="false" ht="13.8" hidden="false" customHeight="false" outlineLevel="0" collapsed="false">
      <c r="A80" s="4" t="n">
        <f aca="false">IFERROR(__xludf.dummyfunction("""COMPUTED_VALUE"""),79)</f>
        <v>79</v>
      </c>
      <c r="B80" s="5" t="str">
        <f aca="false">IFERROR(__xludf.dummyfunction("""COMPUTED_VALUE"""),"LUANA BARROS GARCIA")</f>
        <v>LUANA BARROS GARCIA</v>
      </c>
      <c r="C80" s="5"/>
      <c r="D80" s="5"/>
      <c r="E80" s="5" t="str">
        <f aca="false">IFERROR(__xludf.dummyfunction("""COMPUTED_VALUE"""),"GO")</f>
        <v>GO</v>
      </c>
      <c r="F80" s="4" t="str">
        <f aca="false">IFERROR(__xludf.dummyfunction("""COMPUTED_VALUE"""),"APARECIDA DE GOIÂNIA")</f>
        <v>APARECIDA DE GOIÂNIA</v>
      </c>
      <c r="G80" s="4" t="str">
        <f aca="false">IFERROR(__xludf.dummyfunction("""COMPUTED_VALUE"""),"DIREITO")</f>
        <v>DIREITO</v>
      </c>
      <c r="H80" s="4" t="str">
        <f aca="false">IFERROR(__xludf.dummyfunction("""COMPUTED_VALUE"""),"DESCLASSIFICADO")</f>
        <v>DESCLASSIFICADO</v>
      </c>
    </row>
    <row r="81" customFormat="false" ht="22.35" hidden="false" customHeight="true" outlineLevel="0" collapsed="false">
      <c r="A81" s="4" t="n">
        <f aca="false">IFERROR(__xludf.dummyfunction("""COMPUTED_VALUE"""),80)</f>
        <v>80</v>
      </c>
      <c r="B81" s="5" t="str">
        <f aca="false">IFERROR(__xludf.dummyfunction("""COMPUTED_VALUE"""),"LORENA FREIRE DOS SANTOS")</f>
        <v>LORENA FREIRE DOS SANTOS</v>
      </c>
      <c r="C81" s="5"/>
      <c r="D81" s="5"/>
      <c r="E81" s="5" t="str">
        <f aca="false">IFERROR(__xludf.dummyfunction("""COMPUTED_VALUE"""),"GO")</f>
        <v>GO</v>
      </c>
      <c r="F81" s="6" t="str">
        <f aca="false">IFERROR(__xludf.dummyfunction("""COMPUTED_VALUE"""),"APARECIDA DE GOIÂNIA
")</f>
        <v>APARECIDA DE GOIÂNIA</v>
      </c>
      <c r="G81" s="4" t="str">
        <f aca="false">IFERROR(__xludf.dummyfunction("""COMPUTED_VALUE"""),"DIREITO")</f>
        <v>DIREITO</v>
      </c>
      <c r="H81" s="4" t="str">
        <f aca="false">IFERROR(__xludf.dummyfunction("""COMPUTED_VALUE"""),"CONTRATADO")</f>
        <v>CONTRATADO</v>
      </c>
    </row>
    <row r="82" customFormat="false" ht="13.8" hidden="false" customHeight="false" outlineLevel="0" collapsed="false">
      <c r="A82" s="4" t="n">
        <f aca="false">IFERROR(__xludf.dummyfunction("""COMPUTED_VALUE"""),81)</f>
        <v>81</v>
      </c>
      <c r="B82" s="5" t="str">
        <f aca="false">IFERROR(__xludf.dummyfunction("""COMPUTED_VALUE"""),"LUANA DOS SANTOS DE SOUSA NASCIMENTO")</f>
        <v>LUANA DOS SANTOS DE SOUSA NASCIMENTO</v>
      </c>
      <c r="C82" s="5"/>
      <c r="D82" s="5"/>
      <c r="E82" s="5" t="str">
        <f aca="false">IFERROR(__xludf.dummyfunction("""COMPUTED_VALUE"""),"GO")</f>
        <v>GO</v>
      </c>
      <c r="F82" s="4" t="str">
        <f aca="false">IFERROR(__xludf.dummyfunction("""COMPUTED_VALUE"""),"GOIÂNIA")</f>
        <v>GOIÂNIA</v>
      </c>
      <c r="G82" s="4" t="str">
        <f aca="false">IFERROR(__xludf.dummyfunction("""COMPUTED_VALUE"""),"DIREITO")</f>
        <v>DIREITO</v>
      </c>
      <c r="H82" s="4" t="str">
        <f aca="false">IFERROR(__xludf.dummyfunction("""COMPUTED_VALUE"""),"DESCLASSIFICADO")</f>
        <v>DESCLASSIFICADO</v>
      </c>
    </row>
    <row r="83" customFormat="false" ht="13.8" hidden="false" customHeight="false" outlineLevel="0" collapsed="false">
      <c r="A83" s="4" t="n">
        <f aca="false">IFERROR(__xludf.dummyfunction("""COMPUTED_VALUE"""),82)</f>
        <v>82</v>
      </c>
      <c r="B83" s="5" t="str">
        <f aca="false">IFERROR(__xludf.dummyfunction("""COMPUTED_VALUE"""),"FLAVIA DE CASTRO BORGES")</f>
        <v>FLAVIA DE CASTRO BORGES</v>
      </c>
      <c r="C83" s="5"/>
      <c r="D83" s="5"/>
      <c r="E83" s="5" t="str">
        <f aca="false">IFERROR(__xludf.dummyfunction("""COMPUTED_VALUE"""),"GO")</f>
        <v>GO</v>
      </c>
      <c r="F83" s="4" t="str">
        <f aca="false">IFERROR(__xludf.dummyfunction("""COMPUTED_VALUE"""),"GOIÂNIA")</f>
        <v>GOIÂNIA</v>
      </c>
      <c r="G83" s="4" t="str">
        <f aca="false">IFERROR(__xludf.dummyfunction("""COMPUTED_VALUE"""),"DIREITO")</f>
        <v>DIREITO</v>
      </c>
      <c r="H83" s="4" t="str">
        <f aca="false">IFERROR(__xludf.dummyfunction("""COMPUTED_VALUE"""),"CONTRATADO")</f>
        <v>CONTRATADO</v>
      </c>
    </row>
    <row r="84" customFormat="false" ht="13.8" hidden="false" customHeight="false" outlineLevel="0" collapsed="false">
      <c r="A84" s="4" t="n">
        <f aca="false">IFERROR(__xludf.dummyfunction("""COMPUTED_VALUE"""),83)</f>
        <v>83</v>
      </c>
      <c r="B84" s="5" t="str">
        <f aca="false">IFERROR(__xludf.dummyfunction("""COMPUTED_VALUE"""),"MATHEUS MASCULINO MENDONÇA")</f>
        <v>MATHEUS MASCULINO MENDONÇA</v>
      </c>
      <c r="C84" s="5"/>
      <c r="D84" s="5"/>
      <c r="E84" s="5" t="str">
        <f aca="false">IFERROR(__xludf.dummyfunction("""COMPUTED_VALUE"""),"GO")</f>
        <v>GO</v>
      </c>
      <c r="F84" s="4" t="str">
        <f aca="false">IFERROR(__xludf.dummyfunction("""COMPUTED_VALUE"""),"GOIÂNIA")</f>
        <v>GOIÂNIA</v>
      </c>
      <c r="G84" s="4" t="str">
        <f aca="false">IFERROR(__xludf.dummyfunction("""COMPUTED_VALUE"""),"DIREITO")</f>
        <v>DIREITO</v>
      </c>
      <c r="H84" s="4" t="str">
        <f aca="false">IFERROR(__xludf.dummyfunction("""COMPUTED_VALUE"""),"DESCLASSIFICADO")</f>
        <v>DESCLASSIFICADO</v>
      </c>
    </row>
    <row r="85" customFormat="false" ht="13.8" hidden="false" customHeight="false" outlineLevel="0" collapsed="false">
      <c r="A85" s="4" t="n">
        <f aca="false">IFERROR(__xludf.dummyfunction("""COMPUTED_VALUE"""),84)</f>
        <v>84</v>
      </c>
      <c r="B85" s="5" t="str">
        <f aca="false">IFERROR(__xludf.dummyfunction("""COMPUTED_VALUE"""),"JOSIERICA DA CONCIÇÃO ABREU")</f>
        <v>JOSIERICA DA CONCIÇÃO ABREU</v>
      </c>
      <c r="C85" s="5"/>
      <c r="D85" s="5"/>
      <c r="E85" s="5" t="str">
        <f aca="false">IFERROR(__xludf.dummyfunction("""COMPUTED_VALUE"""),"GO")</f>
        <v>GO</v>
      </c>
      <c r="F85" s="4" t="str">
        <f aca="false">IFERROR(__xludf.dummyfunction("""COMPUTED_VALUE"""),"GOIÂNIA")</f>
        <v>GOIÂNIA</v>
      </c>
      <c r="G85" s="4" t="str">
        <f aca="false">IFERROR(__xludf.dummyfunction("""COMPUTED_VALUE"""),"DIREITO")</f>
        <v>DIREITO</v>
      </c>
      <c r="H85" s="4" t="str">
        <f aca="false">IFERROR(__xludf.dummyfunction("""COMPUTED_VALUE"""),"DESCLASSIFICADO")</f>
        <v>DESCLASSIFICADO</v>
      </c>
    </row>
    <row r="86" customFormat="false" ht="13.8" hidden="false" customHeight="false" outlineLevel="0" collapsed="false">
      <c r="A86" s="4" t="n">
        <f aca="false">IFERROR(__xludf.dummyfunction("""COMPUTED_VALUE"""),85)</f>
        <v>85</v>
      </c>
      <c r="B86" s="5" t="str">
        <f aca="false">IFERROR(__xludf.dummyfunction("""COMPUTED_VALUE"""),"ANDRER KLLEY GOMES SCHNEIDER")</f>
        <v>ANDRER KLLEY GOMES SCHNEIDER</v>
      </c>
      <c r="C86" s="5"/>
      <c r="D86" s="5"/>
      <c r="E86" s="5" t="str">
        <f aca="false">IFERROR(__xludf.dummyfunction("""COMPUTED_VALUE"""),"GO")</f>
        <v>GO</v>
      </c>
      <c r="F86" s="4" t="str">
        <f aca="false">IFERROR(__xludf.dummyfunction("""COMPUTED_VALUE"""),"GOIÂNIA")</f>
        <v>GOIÂNIA</v>
      </c>
      <c r="G86" s="4" t="str">
        <f aca="false">IFERROR(__xludf.dummyfunction("""COMPUTED_VALUE"""),"DIREITO")</f>
        <v>DIREITO</v>
      </c>
      <c r="H86" s="4" t="str">
        <f aca="false">IFERROR(__xludf.dummyfunction("""COMPUTED_VALUE"""),"CONTRATADO")</f>
        <v>CONTRATADO</v>
      </c>
    </row>
    <row r="87" customFormat="false" ht="13.8" hidden="false" customHeight="false" outlineLevel="0" collapsed="false">
      <c r="A87" s="4" t="n">
        <f aca="false">IFERROR(__xludf.dummyfunction("""COMPUTED_VALUE"""),86)</f>
        <v>86</v>
      </c>
      <c r="B87" s="5" t="str">
        <f aca="false">IFERROR(__xludf.dummyfunction("""COMPUTED_VALUE"""),"MILA VIEIRA BATISTA")</f>
        <v>MILA VIEIRA BATISTA</v>
      </c>
      <c r="C87" s="5"/>
      <c r="D87" s="5"/>
      <c r="E87" s="5" t="str">
        <f aca="false">IFERROR(__xludf.dummyfunction("""COMPUTED_VALUE"""),"GO")</f>
        <v>GO</v>
      </c>
      <c r="F87" s="4" t="str">
        <f aca="false">IFERROR(__xludf.dummyfunction("""COMPUTED_VALUE"""),"GOIÂNIA")</f>
        <v>GOIÂNIA</v>
      </c>
      <c r="G87" s="4" t="str">
        <f aca="false">IFERROR(__xludf.dummyfunction("""COMPUTED_VALUE"""),"DIREITO")</f>
        <v>DIREITO</v>
      </c>
      <c r="H87" s="4" t="str">
        <f aca="false">IFERROR(__xludf.dummyfunction("""COMPUTED_VALUE"""),"CONTRATADO")</f>
        <v>CONTRATADO</v>
      </c>
    </row>
    <row r="88" customFormat="false" ht="13.8" hidden="false" customHeight="false" outlineLevel="0" collapsed="false">
      <c r="A88" s="4" t="n">
        <f aca="false">IFERROR(__xludf.dummyfunction("""COMPUTED_VALUE"""),87)</f>
        <v>87</v>
      </c>
      <c r="B88" s="5" t="str">
        <f aca="false">IFERROR(__xludf.dummyfunction("""COMPUTED_VALUE"""),"IRUAMA ANGELICA JACINTO DE SOUSA")</f>
        <v>IRUAMA ANGELICA JACINTO DE SOUSA</v>
      </c>
      <c r="C88" s="5"/>
      <c r="D88" s="5"/>
      <c r="E88" s="5" t="str">
        <f aca="false">IFERROR(__xludf.dummyfunction("""COMPUTED_VALUE"""),"GO")</f>
        <v>GO</v>
      </c>
      <c r="F88" s="4" t="str">
        <f aca="false">IFERROR(__xludf.dummyfunction("""COMPUTED_VALUE"""),"GOIÂNIA")</f>
        <v>GOIÂNIA</v>
      </c>
      <c r="G88" s="4" t="str">
        <f aca="false">IFERROR(__xludf.dummyfunction("""COMPUTED_VALUE"""),"DIREITO")</f>
        <v>DIREITO</v>
      </c>
      <c r="H88" s="4" t="str">
        <f aca="false">IFERROR(__xludf.dummyfunction("""COMPUTED_VALUE"""),"CONTRATADO")</f>
        <v>CONTRATADO</v>
      </c>
    </row>
    <row r="89" customFormat="false" ht="13.8" hidden="false" customHeight="false" outlineLevel="0" collapsed="false">
      <c r="A89" s="4" t="n">
        <f aca="false">IFERROR(__xludf.dummyfunction("""COMPUTED_VALUE"""),88)</f>
        <v>88</v>
      </c>
      <c r="B89" s="5" t="str">
        <f aca="false">IFERROR(__xludf.dummyfunction("""COMPUTED_VALUE"""),"WALISSON PINHEIRO PEREIRA")</f>
        <v>WALISSON PINHEIRO PEREIRA</v>
      </c>
      <c r="C89" s="5"/>
      <c r="D89" s="5"/>
      <c r="E89" s="5" t="str">
        <f aca="false">IFERROR(__xludf.dummyfunction("""COMPUTED_VALUE"""),"GO")</f>
        <v>GO</v>
      </c>
      <c r="F89" s="4" t="str">
        <f aca="false">IFERROR(__xludf.dummyfunction("""COMPUTED_VALUE"""),"GOIÂNIA")</f>
        <v>GOIÂNIA</v>
      </c>
      <c r="G89" s="4" t="str">
        <f aca="false">IFERROR(__xludf.dummyfunction("""COMPUTED_VALUE"""),"DIREITO")</f>
        <v>DIREITO</v>
      </c>
      <c r="H89" s="4" t="str">
        <f aca="false">IFERROR(__xludf.dummyfunction("""COMPUTED_VALUE"""),"DESCLASSIFICADO")</f>
        <v>DESCLASSIFICADO</v>
      </c>
    </row>
    <row r="90" customFormat="false" ht="13.8" hidden="false" customHeight="false" outlineLevel="0" collapsed="false">
      <c r="A90" s="4" t="n">
        <f aca="false">IFERROR(__xludf.dummyfunction("""COMPUTED_VALUE"""),89)</f>
        <v>89</v>
      </c>
      <c r="B90" s="5" t="str">
        <f aca="false">IFERROR(__xludf.dummyfunction("""COMPUTED_VALUE"""),"DANIEL PEREIRA DA SILVA")</f>
        <v>DANIEL PEREIRA DA SILVA</v>
      </c>
      <c r="C90" s="5"/>
      <c r="D90" s="5"/>
      <c r="E90" s="5" t="str">
        <f aca="false">IFERROR(__xludf.dummyfunction("""COMPUTED_VALUE"""),"GO")</f>
        <v>GO</v>
      </c>
      <c r="F90" s="4" t="str">
        <f aca="false">IFERROR(__xludf.dummyfunction("""COMPUTED_VALUE"""),"APARECIDA DE GOIÂNIA")</f>
        <v>APARECIDA DE GOIÂNIA</v>
      </c>
      <c r="G90" s="4" t="str">
        <f aca="false">IFERROR(__xludf.dummyfunction("""COMPUTED_VALUE"""),"DIREITO")</f>
        <v>DIREITO</v>
      </c>
      <c r="H90" s="4" t="str">
        <f aca="false">IFERROR(__xludf.dummyfunction("""COMPUTED_VALUE"""),"DESCLASSIFICADO")</f>
        <v>DESCLASSIFICADO</v>
      </c>
    </row>
    <row r="91" customFormat="false" ht="13.8" hidden="false" customHeight="false" outlineLevel="0" collapsed="false">
      <c r="A91" s="4" t="n">
        <f aca="false">IFERROR(__xludf.dummyfunction("""COMPUTED_VALUE"""),90)</f>
        <v>90</v>
      </c>
      <c r="B91" s="5" t="str">
        <f aca="false">IFERROR(__xludf.dummyfunction("""COMPUTED_VALUE"""),"IGOR QUEIROZ DE SOUZA ARRAES")</f>
        <v>IGOR QUEIROZ DE SOUZA ARRAES</v>
      </c>
      <c r="C91" s="5"/>
      <c r="D91" s="5"/>
      <c r="E91" s="5" t="str">
        <f aca="false">IFERROR(__xludf.dummyfunction("""COMPUTED_VALUE"""),"GO")</f>
        <v>GO</v>
      </c>
      <c r="F91" s="4" t="str">
        <f aca="false">IFERROR(__xludf.dummyfunction("""COMPUTED_VALUE"""),"GOIÂNIA")</f>
        <v>GOIÂNIA</v>
      </c>
      <c r="G91" s="4" t="str">
        <f aca="false">IFERROR(__xludf.dummyfunction("""COMPUTED_VALUE"""),"DIREITO")</f>
        <v>DIREITO</v>
      </c>
      <c r="H91" s="4" t="str">
        <f aca="false">IFERROR(__xludf.dummyfunction("""COMPUTED_VALUE"""),"CONTRATADO")</f>
        <v>CONTRATADO</v>
      </c>
    </row>
    <row r="92" customFormat="false" ht="13.8" hidden="false" customHeight="false" outlineLevel="0" collapsed="false">
      <c r="A92" s="4" t="n">
        <f aca="false">IFERROR(__xludf.dummyfunction("""COMPUTED_VALUE"""),91)</f>
        <v>91</v>
      </c>
      <c r="B92" s="5" t="str">
        <f aca="false">IFERROR(__xludf.dummyfunction("""COMPUTED_VALUE"""),"VINÍCIUS DE PAULA PINTO")</f>
        <v>VINÍCIUS DE PAULA PINTO</v>
      </c>
      <c r="C92" s="5"/>
      <c r="D92" s="5"/>
      <c r="E92" s="5" t="str">
        <f aca="false">IFERROR(__xludf.dummyfunction("""COMPUTED_VALUE"""),"GO")</f>
        <v>GO</v>
      </c>
      <c r="F92" s="4" t="str">
        <f aca="false">IFERROR(__xludf.dummyfunction("""COMPUTED_VALUE"""),"APARECIDA DE GOIÂNIA")</f>
        <v>APARECIDA DE GOIÂNIA</v>
      </c>
      <c r="G92" s="4" t="str">
        <f aca="false">IFERROR(__xludf.dummyfunction("""COMPUTED_VALUE"""),"DIREITO")</f>
        <v>DIREITO</v>
      </c>
      <c r="H92" s="4" t="str">
        <f aca="false">IFERROR(__xludf.dummyfunction("""COMPUTED_VALUE"""),"CONTRATADO")</f>
        <v>CONTRATADO</v>
      </c>
    </row>
    <row r="93" customFormat="false" ht="13.8" hidden="false" customHeight="false" outlineLevel="0" collapsed="false">
      <c r="A93" s="4" t="n">
        <f aca="false">IFERROR(__xludf.dummyfunction("""COMPUTED_VALUE"""),92)</f>
        <v>92</v>
      </c>
      <c r="B93" s="5" t="str">
        <f aca="false">IFERROR(__xludf.dummyfunction("""COMPUTED_VALUE"""),"ANDRESSA CAMARGO DE OLIVEIRA")</f>
        <v>ANDRESSA CAMARGO DE OLIVEIRA</v>
      </c>
      <c r="C93" s="5"/>
      <c r="D93" s="5"/>
      <c r="E93" s="5" t="str">
        <f aca="false">IFERROR(__xludf.dummyfunction("""COMPUTED_VALUE"""),"GO")</f>
        <v>GO</v>
      </c>
      <c r="F93" s="4" t="str">
        <f aca="false">IFERROR(__xludf.dummyfunction("""COMPUTED_VALUE"""),"PALMEIRAS DE GOIÁS")</f>
        <v>PALMEIRAS DE GOIÁS</v>
      </c>
      <c r="G93" s="4" t="str">
        <f aca="false">IFERROR(__xludf.dummyfunction("""COMPUTED_VALUE"""),"DIREITO")</f>
        <v>DIREITO</v>
      </c>
      <c r="H93" s="4" t="str">
        <f aca="false">IFERROR(__xludf.dummyfunction("""COMPUTED_VALUE"""),"DESCLASSIFICADO")</f>
        <v>DESCLASSIFICADO</v>
      </c>
    </row>
    <row r="94" customFormat="false" ht="13.8" hidden="false" customHeight="false" outlineLevel="0" collapsed="false">
      <c r="A94" s="4" t="n">
        <f aca="false">IFERROR(__xludf.dummyfunction("""COMPUTED_VALUE"""),93)</f>
        <v>93</v>
      </c>
      <c r="B94" s="5" t="str">
        <f aca="false">IFERROR(__xludf.dummyfunction("""COMPUTED_VALUE"""),"RAFAELLA RODRIGUES MENDONCA")</f>
        <v>RAFAELLA RODRIGUES MENDONCA</v>
      </c>
      <c r="C94" s="5"/>
      <c r="D94" s="5"/>
      <c r="E94" s="5" t="str">
        <f aca="false">IFERROR(__xludf.dummyfunction("""COMPUTED_VALUE"""),"GO")</f>
        <v>GO</v>
      </c>
      <c r="F94" s="4" t="str">
        <f aca="false">IFERROR(__xludf.dummyfunction("""COMPUTED_VALUE"""),"APARECIDA DE GOIÂNIA")</f>
        <v>APARECIDA DE GOIÂNIA</v>
      </c>
      <c r="G94" s="4" t="str">
        <f aca="false">IFERROR(__xludf.dummyfunction("""COMPUTED_VALUE"""),"DIREITO")</f>
        <v>DIREITO</v>
      </c>
      <c r="H94" s="4" t="str">
        <f aca="false">IFERROR(__xludf.dummyfunction("""COMPUTED_VALUE"""),"DESCLASSIFICADO")</f>
        <v>DESCLASSIFICADO</v>
      </c>
    </row>
    <row r="95" customFormat="false" ht="13.8" hidden="false" customHeight="false" outlineLevel="0" collapsed="false">
      <c r="A95" s="4" t="n">
        <f aca="false">IFERROR(__xludf.dummyfunction("""COMPUTED_VALUE"""),94)</f>
        <v>94</v>
      </c>
      <c r="B95" s="5" t="str">
        <f aca="false">IFERROR(__xludf.dummyfunction("""COMPUTED_VALUE"""),"LUCAS HENRIQUE DIAMANTINO")</f>
        <v>LUCAS HENRIQUE DIAMANTINO</v>
      </c>
      <c r="C95" s="5"/>
      <c r="D95" s="5"/>
      <c r="E95" s="5" t="str">
        <f aca="false">IFERROR(__xludf.dummyfunction("""COMPUTED_VALUE"""),"GO")</f>
        <v>GO</v>
      </c>
      <c r="F95" s="4" t="str">
        <f aca="false">IFERROR(__xludf.dummyfunction("""COMPUTED_VALUE"""),"APARECIDA DE GOIÂNIA")</f>
        <v>APARECIDA DE GOIÂNIA</v>
      </c>
      <c r="G95" s="4" t="str">
        <f aca="false">IFERROR(__xludf.dummyfunction("""COMPUTED_VALUE"""),"DIREITO")</f>
        <v>DIREITO</v>
      </c>
      <c r="H95" s="4" t="str">
        <f aca="false">IFERROR(__xludf.dummyfunction("""COMPUTED_VALUE"""),"CONTRATADO")</f>
        <v>CONTRATADO</v>
      </c>
    </row>
    <row r="96" customFormat="false" ht="13.8" hidden="false" customHeight="false" outlineLevel="0" collapsed="false">
      <c r="A96" s="4" t="n">
        <f aca="false">IFERROR(__xludf.dummyfunction("""COMPUTED_VALUE"""),95)</f>
        <v>95</v>
      </c>
      <c r="B96" s="5" t="str">
        <f aca="false">IFERROR(__xludf.dummyfunction("""COMPUTED_VALUE"""),"JORDANY RAMOS DE CARVALHO")</f>
        <v>JORDANY RAMOS DE CARVALHO</v>
      </c>
      <c r="C96" s="5"/>
      <c r="D96" s="5"/>
      <c r="E96" s="5" t="str">
        <f aca="false">IFERROR(__xludf.dummyfunction("""COMPUTED_VALUE"""),"GO")</f>
        <v>GO</v>
      </c>
      <c r="F96" s="4" t="str">
        <f aca="false">IFERROR(__xludf.dummyfunction("""COMPUTED_VALUE"""),"PORTELÂNDIA")</f>
        <v>PORTELÂNDIA</v>
      </c>
      <c r="G96" s="4" t="str">
        <f aca="false">IFERROR(__xludf.dummyfunction("""COMPUTED_VALUE"""),"DIREITO")</f>
        <v>DIREITO</v>
      </c>
      <c r="H96" s="4" t="str">
        <f aca="false">IFERROR(__xludf.dummyfunction("""COMPUTED_VALUE"""),"DESCLASSIFICADO")</f>
        <v>DESCLASSIFICADO</v>
      </c>
    </row>
    <row r="97" customFormat="false" ht="13.8" hidden="false" customHeight="false" outlineLevel="0" collapsed="false">
      <c r="A97" s="4" t="n">
        <f aca="false">IFERROR(__xludf.dummyfunction("""COMPUTED_VALUE"""),96)</f>
        <v>96</v>
      </c>
      <c r="B97" s="5" t="str">
        <f aca="false">IFERROR(__xludf.dummyfunction("""COMPUTED_VALUE"""),"LORRANE DE SOUZA SILVA")</f>
        <v>LORRANE DE SOUZA SILVA</v>
      </c>
      <c r="C97" s="5"/>
      <c r="D97" s="5"/>
      <c r="E97" s="5" t="str">
        <f aca="false">IFERROR(__xludf.dummyfunction("""COMPUTED_VALUE"""),"GO")</f>
        <v>GO</v>
      </c>
      <c r="F97" s="4" t="str">
        <f aca="false">IFERROR(__xludf.dummyfunction("""COMPUTED_VALUE"""),"GOIÂNIA")</f>
        <v>GOIÂNIA</v>
      </c>
      <c r="G97" s="4" t="str">
        <f aca="false">IFERROR(__xludf.dummyfunction("""COMPUTED_VALUE"""),"DIREITO")</f>
        <v>DIREITO</v>
      </c>
      <c r="H97" s="4" t="str">
        <f aca="false">IFERROR(__xludf.dummyfunction("""COMPUTED_VALUE"""),"CONTRATADO")</f>
        <v>CONTRATADO</v>
      </c>
    </row>
    <row r="98" customFormat="false" ht="13.8" hidden="false" customHeight="false" outlineLevel="0" collapsed="false">
      <c r="A98" s="4" t="n">
        <f aca="false">IFERROR(__xludf.dummyfunction("""COMPUTED_VALUE"""),97)</f>
        <v>97</v>
      </c>
      <c r="B98" s="5" t="str">
        <f aca="false">IFERROR(__xludf.dummyfunction("""COMPUTED_VALUE"""),"RUAN GOMES FONTENELE")</f>
        <v>RUAN GOMES FONTENELE</v>
      </c>
      <c r="C98" s="5"/>
      <c r="D98" s="5"/>
      <c r="E98" s="5" t="str">
        <f aca="false">IFERROR(__xludf.dummyfunction("""COMPUTED_VALUE"""),"GO")</f>
        <v>GO</v>
      </c>
      <c r="F98" s="4" t="str">
        <f aca="false">IFERROR(__xludf.dummyfunction("""COMPUTED_VALUE"""),"GOIÂNIA")</f>
        <v>GOIÂNIA</v>
      </c>
      <c r="G98" s="4" t="str">
        <f aca="false">IFERROR(__xludf.dummyfunction("""COMPUTED_VALUE"""),"DIREITO")</f>
        <v>DIREITO</v>
      </c>
      <c r="H98" s="4" t="str">
        <f aca="false">IFERROR(__xludf.dummyfunction("""COMPUTED_VALUE"""),"DESCLASSIFICADO")</f>
        <v>DESCLASSIFICADO</v>
      </c>
    </row>
    <row r="99" customFormat="false" ht="13.8" hidden="false" customHeight="false" outlineLevel="0" collapsed="false">
      <c r="A99" s="4" t="n">
        <f aca="false">IFERROR(__xludf.dummyfunction("""COMPUTED_VALUE"""),98)</f>
        <v>98</v>
      </c>
      <c r="B99" s="5" t="str">
        <f aca="false">IFERROR(__xludf.dummyfunction("""COMPUTED_VALUE"""),"DIEGO LIMA DE SOUZA")</f>
        <v>DIEGO LIMA DE SOUZA</v>
      </c>
      <c r="C99" s="5"/>
      <c r="D99" s="5"/>
      <c r="E99" s="5" t="str">
        <f aca="false">IFERROR(__xludf.dummyfunction("""COMPUTED_VALUE"""),"GO")</f>
        <v>GO</v>
      </c>
      <c r="F99" s="4" t="str">
        <f aca="false">IFERROR(__xludf.dummyfunction("""COMPUTED_VALUE"""),"APARECIDA DE GOIÂNIA")</f>
        <v>APARECIDA DE GOIÂNIA</v>
      </c>
      <c r="G99" s="4" t="str">
        <f aca="false">IFERROR(__xludf.dummyfunction("""COMPUTED_VALUE"""),"DIREITO")</f>
        <v>DIREITO</v>
      </c>
      <c r="H99" s="4" t="str">
        <f aca="false">IFERROR(__xludf.dummyfunction("""COMPUTED_VALUE"""),"DESCLASSIFICADO")</f>
        <v>DESCLASSIFICADO</v>
      </c>
    </row>
    <row r="100" customFormat="false" ht="13.8" hidden="false" customHeight="false" outlineLevel="0" collapsed="false">
      <c r="A100" s="4" t="n">
        <f aca="false">IFERROR(__xludf.dummyfunction("""COMPUTED_VALUE"""),99)</f>
        <v>99</v>
      </c>
      <c r="B100" s="5" t="str">
        <f aca="false">IFERROR(__xludf.dummyfunction("""COMPUTED_VALUE"""),"FRANCISCO TAIQUE FERREIRA RIBEIRO")</f>
        <v>FRANCISCO TAIQUE FERREIRA RIBEIRO</v>
      </c>
      <c r="C100" s="5"/>
      <c r="D100" s="5"/>
      <c r="E100" s="5" t="str">
        <f aca="false">IFERROR(__xludf.dummyfunction("""COMPUTED_VALUE"""),"GO")</f>
        <v>GO</v>
      </c>
      <c r="F100" s="4" t="str">
        <f aca="false">IFERROR(__xludf.dummyfunction("""COMPUTED_VALUE"""),"GOIÂNIA")</f>
        <v>GOIÂNIA</v>
      </c>
      <c r="G100" s="4" t="str">
        <f aca="false">IFERROR(__xludf.dummyfunction("""COMPUTED_VALUE"""),"DIREITO")</f>
        <v>DIREITO</v>
      </c>
      <c r="H100" s="4" t="str">
        <f aca="false">IFERROR(__xludf.dummyfunction("""COMPUTED_VALUE"""),"DESCLASSIFICADO")</f>
        <v>DESCLASSIFICADO</v>
      </c>
    </row>
    <row r="101" customFormat="false" ht="13.8" hidden="false" customHeight="false" outlineLevel="0" collapsed="false">
      <c r="A101" s="4" t="n">
        <f aca="false">IFERROR(__xludf.dummyfunction("""COMPUTED_VALUE"""),100)</f>
        <v>100</v>
      </c>
      <c r="B101" s="5" t="str">
        <f aca="false">IFERROR(__xludf.dummyfunction("""COMPUTED_VALUE"""),"JULLY RIBEIRO DUARTE SERAFIM ")</f>
        <v>JULLY RIBEIRO DUARTE SERAFIM</v>
      </c>
      <c r="C101" s="5"/>
      <c r="D101" s="5"/>
      <c r="E101" s="5" t="str">
        <f aca="false">IFERROR(__xludf.dummyfunction("""COMPUTED_VALUE"""),"GO")</f>
        <v>GO</v>
      </c>
      <c r="F101" s="4" t="str">
        <f aca="false">IFERROR(__xludf.dummyfunction("""COMPUTED_VALUE"""),"GOIÂNIA")</f>
        <v>GOIÂNIA</v>
      </c>
      <c r="G101" s="4" t="str">
        <f aca="false">IFERROR(__xludf.dummyfunction("""COMPUTED_VALUE"""),"DIREITO")</f>
        <v>DIREITO</v>
      </c>
      <c r="H101" s="4" t="str">
        <f aca="false">IFERROR(__xludf.dummyfunction("""COMPUTED_VALUE"""),"DESCLASSIFICADO")</f>
        <v>DESCLASSIFICADO</v>
      </c>
    </row>
    <row r="102" customFormat="false" ht="13.8" hidden="false" customHeight="false" outlineLevel="0" collapsed="false">
      <c r="A102" s="4" t="n">
        <f aca="false">IFERROR(__xludf.dummyfunction("""COMPUTED_VALUE"""),101)</f>
        <v>101</v>
      </c>
      <c r="B102" s="5" t="str">
        <f aca="false">IFERROR(__xludf.dummyfunction("""COMPUTED_VALUE"""),"MADRAS MARCELA DIAS AMARAL")</f>
        <v>MADRAS MARCELA DIAS AMARAL</v>
      </c>
      <c r="C102" s="5"/>
      <c r="D102" s="5"/>
      <c r="E102" s="5" t="str">
        <f aca="false">IFERROR(__xludf.dummyfunction("""COMPUTED_VALUE"""),"GO")</f>
        <v>GO</v>
      </c>
      <c r="F102" s="4" t="str">
        <f aca="false">IFERROR(__xludf.dummyfunction("""COMPUTED_VALUE"""),"APARECIDA DE GOIÂNIA")</f>
        <v>APARECIDA DE GOIÂNIA</v>
      </c>
      <c r="G102" s="4" t="str">
        <f aca="false">IFERROR(__xludf.dummyfunction("""COMPUTED_VALUE"""),"DIREITO")</f>
        <v>DIREITO</v>
      </c>
      <c r="H102" s="4" t="str">
        <f aca="false">IFERROR(__xludf.dummyfunction("""COMPUTED_VALUE"""),"DESCLASSIFICADO")</f>
        <v>DESCLASSIFICADO</v>
      </c>
    </row>
    <row r="103" customFormat="false" ht="13.8" hidden="false" customHeight="false" outlineLevel="0" collapsed="false">
      <c r="A103" s="4" t="n">
        <f aca="false">IFERROR(__xludf.dummyfunction("""COMPUTED_VALUE"""),102)</f>
        <v>102</v>
      </c>
      <c r="B103" s="5" t="str">
        <f aca="false">IFERROR(__xludf.dummyfunction("""COMPUTED_VALUE"""),"ISTEFANY CAMPOS DA SILVA")</f>
        <v>ISTEFANY CAMPOS DA SILVA</v>
      </c>
      <c r="C103" s="5"/>
      <c r="D103" s="5"/>
      <c r="E103" s="5" t="str">
        <f aca="false">IFERROR(__xludf.dummyfunction("""COMPUTED_VALUE"""),"GO")</f>
        <v>GO</v>
      </c>
      <c r="F103" s="4" t="str">
        <f aca="false">IFERROR(__xludf.dummyfunction("""COMPUTED_VALUE"""),"APARECIDA DE GOIÂNIA")</f>
        <v>APARECIDA DE GOIÂNIA</v>
      </c>
      <c r="G103" s="4" t="str">
        <f aca="false">IFERROR(__xludf.dummyfunction("""COMPUTED_VALUE"""),"DIREITO")</f>
        <v>DIREITO</v>
      </c>
      <c r="H103" s="4" t="str">
        <f aca="false">IFERROR(__xludf.dummyfunction("""COMPUTED_VALUE"""),"DESCLASSIFICADO")</f>
        <v>DESCLASSIFICADO</v>
      </c>
    </row>
    <row r="104" customFormat="false" ht="13.8" hidden="false" customHeight="false" outlineLevel="0" collapsed="false">
      <c r="A104" s="4" t="n">
        <f aca="false">IFERROR(__xludf.dummyfunction("""COMPUTED_VALUE"""),103)</f>
        <v>103</v>
      </c>
      <c r="B104" s="5" t="str">
        <f aca="false">IFERROR(__xludf.dummyfunction("""COMPUTED_VALUE"""),"THALITA DE LURDES DA COSTA DE FREITAS")</f>
        <v>THALITA DE LURDES DA COSTA DE FREITAS</v>
      </c>
      <c r="C104" s="5"/>
      <c r="D104" s="5"/>
      <c r="E104" s="5" t="str">
        <f aca="false">IFERROR(__xludf.dummyfunction("""COMPUTED_VALUE"""),"GO")</f>
        <v>GO</v>
      </c>
      <c r="F104" s="4" t="str">
        <f aca="false">IFERROR(__xludf.dummyfunction("""COMPUTED_VALUE"""),"GOIÂNIA")</f>
        <v>GOIÂNIA</v>
      </c>
      <c r="G104" s="4" t="str">
        <f aca="false">IFERROR(__xludf.dummyfunction("""COMPUTED_VALUE"""),"DIREITO")</f>
        <v>DIREITO</v>
      </c>
      <c r="H104" s="4" t="str">
        <f aca="false">IFERROR(__xludf.dummyfunction("""COMPUTED_VALUE"""),"DESCLASSIFICADO")</f>
        <v>DESCLASSIFICADO</v>
      </c>
    </row>
    <row r="105" customFormat="false" ht="13.8" hidden="false" customHeight="false" outlineLevel="0" collapsed="false">
      <c r="A105" s="4" t="n">
        <f aca="false">IFERROR(__xludf.dummyfunction("""COMPUTED_VALUE"""),104)</f>
        <v>104</v>
      </c>
      <c r="B105" s="5" t="str">
        <f aca="false">IFERROR(__xludf.dummyfunction("""COMPUTED_VALUE"""),"SARAH FERREIRA DE ASSIS ")</f>
        <v>SARAH FERREIRA DE ASSIS</v>
      </c>
      <c r="C105" s="5"/>
      <c r="D105" s="5"/>
      <c r="E105" s="5" t="str">
        <f aca="false">IFERROR(__xludf.dummyfunction("""COMPUTED_VALUE"""),"GO")</f>
        <v>GO</v>
      </c>
      <c r="F105" s="4" t="str">
        <f aca="false">IFERROR(__xludf.dummyfunction("""COMPUTED_VALUE"""),"SENADOR CANEDO")</f>
        <v>SENADOR CANEDO</v>
      </c>
      <c r="G105" s="4" t="str">
        <f aca="false">IFERROR(__xludf.dummyfunction("""COMPUTED_VALUE"""),"DIREITO")</f>
        <v>DIREITO</v>
      </c>
      <c r="H105" s="4" t="str">
        <f aca="false">IFERROR(__xludf.dummyfunction("""COMPUTED_VALUE"""),"CONTRATADO")</f>
        <v>CONTRATADO</v>
      </c>
    </row>
    <row r="106" customFormat="false" ht="13.8" hidden="false" customHeight="false" outlineLevel="0" collapsed="false">
      <c r="A106" s="4" t="n">
        <f aca="false">IFERROR(__xludf.dummyfunction("""COMPUTED_VALUE"""),105)</f>
        <v>105</v>
      </c>
      <c r="B106" s="5" t="str">
        <f aca="false">IFERROR(__xludf.dummyfunction("""COMPUTED_VALUE"""),"PAULA CRISTINA VENANCIO DA SILVA VAZ")</f>
        <v>PAULA CRISTINA VENANCIO DA SILVA VAZ</v>
      </c>
      <c r="C106" s="5"/>
      <c r="D106" s="5"/>
      <c r="E106" s="5" t="str">
        <f aca="false">IFERROR(__xludf.dummyfunction("""COMPUTED_VALUE"""),"GO")</f>
        <v>GO</v>
      </c>
      <c r="F106" s="4" t="str">
        <f aca="false">IFERROR(__xludf.dummyfunction("""COMPUTED_VALUE"""),"SENADOR CANEDO")</f>
        <v>SENADOR CANEDO</v>
      </c>
      <c r="G106" s="4" t="str">
        <f aca="false">IFERROR(__xludf.dummyfunction("""COMPUTED_VALUE"""),"DIREITO")</f>
        <v>DIREITO</v>
      </c>
      <c r="H106" s="4" t="str">
        <f aca="false">IFERROR(__xludf.dummyfunction("""COMPUTED_VALUE"""),"CONTRATADO")</f>
        <v>CONTRATADO</v>
      </c>
    </row>
    <row r="107" customFormat="false" ht="13.8" hidden="false" customHeight="false" outlineLevel="0" collapsed="false">
      <c r="A107" s="4" t="n">
        <f aca="false">IFERROR(__xludf.dummyfunction("""COMPUTED_VALUE"""),106)</f>
        <v>106</v>
      </c>
      <c r="B107" s="5" t="str">
        <f aca="false">IFERROR(__xludf.dummyfunction("""COMPUTED_VALUE"""),"ERIKA LUIZA BARBOSA MEDEIROS ")</f>
        <v>ERIKA LUIZA BARBOSA MEDEIROS</v>
      </c>
      <c r="C107" s="5"/>
      <c r="D107" s="5"/>
      <c r="E107" s="5" t="str">
        <f aca="false">IFERROR(__xludf.dummyfunction("""COMPUTED_VALUE"""),"GO")</f>
        <v>GO</v>
      </c>
      <c r="F107" s="4" t="str">
        <f aca="false">IFERROR(__xludf.dummyfunction("""COMPUTED_VALUE"""),"INHUMAS")</f>
        <v>INHUMAS</v>
      </c>
      <c r="G107" s="4" t="str">
        <f aca="false">IFERROR(__xludf.dummyfunction("""COMPUTED_VALUE"""),"DIREITO")</f>
        <v>DIREITO</v>
      </c>
      <c r="H107" s="4" t="str">
        <f aca="false">IFERROR(__xludf.dummyfunction("""COMPUTED_VALUE"""),"DESCLASSIFICADO")</f>
        <v>DESCLASSIFICADO</v>
      </c>
    </row>
    <row r="108" customFormat="false" ht="13.8" hidden="false" customHeight="false" outlineLevel="0" collapsed="false">
      <c r="A108" s="4" t="n">
        <f aca="false">IFERROR(__xludf.dummyfunction("""COMPUTED_VALUE"""),107)</f>
        <v>107</v>
      </c>
      <c r="B108" s="5" t="str">
        <f aca="false">IFERROR(__xludf.dummyfunction("""COMPUTED_VALUE"""),"HYGOR NERES OLIVEIRA DA SILVA ")</f>
        <v>HYGOR NERES OLIVEIRA DA SILVA</v>
      </c>
      <c r="C108" s="5"/>
      <c r="D108" s="5"/>
      <c r="E108" s="5" t="str">
        <f aca="false">IFERROR(__xludf.dummyfunction("""COMPUTED_VALUE"""),"GO")</f>
        <v>GO</v>
      </c>
      <c r="F108" s="4" t="str">
        <f aca="false">IFERROR(__xludf.dummyfunction("""COMPUTED_VALUE"""),"TRINDADE")</f>
        <v>TRINDADE</v>
      </c>
      <c r="G108" s="4" t="str">
        <f aca="false">IFERROR(__xludf.dummyfunction("""COMPUTED_VALUE"""),"DIREITO")</f>
        <v>DIREITO</v>
      </c>
      <c r="H108" s="4" t="str">
        <f aca="false">IFERROR(__xludf.dummyfunction("""COMPUTED_VALUE"""),"CONTRATADO")</f>
        <v>CONTRATADO</v>
      </c>
    </row>
    <row r="109" customFormat="false" ht="13.8" hidden="false" customHeight="false" outlineLevel="0" collapsed="false">
      <c r="A109" s="4" t="n">
        <f aca="false">IFERROR(__xludf.dummyfunction("""COMPUTED_VALUE"""),108)</f>
        <v>108</v>
      </c>
      <c r="B109" s="5" t="str">
        <f aca="false">IFERROR(__xludf.dummyfunction("""COMPUTED_VALUE"""),"FELIPE CHRISTOPHER RODRIGUES DA SILVA")</f>
        <v>FELIPE CHRISTOPHER RODRIGUES DA SILVA</v>
      </c>
      <c r="C109" s="5"/>
      <c r="D109" s="5"/>
      <c r="E109" s="5" t="str">
        <f aca="false">IFERROR(__xludf.dummyfunction("""COMPUTED_VALUE"""),"GO")</f>
        <v>GO</v>
      </c>
      <c r="F109" s="4" t="str">
        <f aca="false">IFERROR(__xludf.dummyfunction("""COMPUTED_VALUE"""),"GOIÂNIA")</f>
        <v>GOIÂNIA</v>
      </c>
      <c r="G109" s="4" t="str">
        <f aca="false">IFERROR(__xludf.dummyfunction("""COMPUTED_VALUE"""),"DIREITO")</f>
        <v>DIREITO</v>
      </c>
      <c r="H109" s="4" t="str">
        <f aca="false">IFERROR(__xludf.dummyfunction("""COMPUTED_VALUE"""),"CONTRATADO")</f>
        <v>CONTRATADO</v>
      </c>
    </row>
    <row r="110" customFormat="false" ht="13.8" hidden="false" customHeight="false" outlineLevel="0" collapsed="false">
      <c r="A110" s="4" t="n">
        <f aca="false">IFERROR(__xludf.dummyfunction("""COMPUTED_VALUE"""),109)</f>
        <v>109</v>
      </c>
      <c r="B110" s="5" t="str">
        <f aca="false">IFERROR(__xludf.dummyfunction("""COMPUTED_VALUE"""),"GISELE ALVES DOS SANTOS ")</f>
        <v>GISELE ALVES DOS SANTOS</v>
      </c>
      <c r="C110" s="5"/>
      <c r="D110" s="5"/>
      <c r="E110" s="5" t="str">
        <f aca="false">IFERROR(__xludf.dummyfunction("""COMPUTED_VALUE"""),"GO")</f>
        <v>GO</v>
      </c>
      <c r="F110" s="4" t="str">
        <f aca="false">IFERROR(__xludf.dummyfunction("""COMPUTED_VALUE"""),"MOZARLÂNDIA")</f>
        <v>MOZARLÂNDIA</v>
      </c>
      <c r="G110" s="4" t="str">
        <f aca="false">IFERROR(__xludf.dummyfunction("""COMPUTED_VALUE"""),"DIREITO")</f>
        <v>DIREITO</v>
      </c>
      <c r="H110" s="4" t="str">
        <f aca="false">IFERROR(__xludf.dummyfunction("""COMPUTED_VALUE"""),"DESCLASSIFICADO")</f>
        <v>DESCLASSIFICADO</v>
      </c>
    </row>
    <row r="111" customFormat="false" ht="13.8" hidden="false" customHeight="false" outlineLevel="0" collapsed="false">
      <c r="A111" s="4" t="n">
        <f aca="false">IFERROR(__xludf.dummyfunction("""COMPUTED_VALUE"""),110)</f>
        <v>110</v>
      </c>
      <c r="B111" s="5" t="str">
        <f aca="false">IFERROR(__xludf.dummyfunction("""COMPUTED_VALUE"""),"JACKSON OLIVEIRA SILVA")</f>
        <v>JACKSON OLIVEIRA SILVA</v>
      </c>
      <c r="C111" s="5"/>
      <c r="D111" s="5"/>
      <c r="E111" s="5" t="str">
        <f aca="false">IFERROR(__xludf.dummyfunction("""COMPUTED_VALUE"""),"GO")</f>
        <v>GO</v>
      </c>
      <c r="F111" s="4" t="str">
        <f aca="false">IFERROR(__xludf.dummyfunction("""COMPUTED_VALUE"""),"GOIÂNIA")</f>
        <v>GOIÂNIA</v>
      </c>
      <c r="G111" s="4" t="str">
        <f aca="false">IFERROR(__xludf.dummyfunction("""COMPUTED_VALUE"""),"DIREITO")</f>
        <v>DIREITO</v>
      </c>
      <c r="H111" s="4" t="str">
        <f aca="false">IFERROR(__xludf.dummyfunction("""COMPUTED_VALUE"""),"DESCLASSIFICADO")</f>
        <v>DESCLASSIFICADO</v>
      </c>
    </row>
    <row r="112" customFormat="false" ht="13.8" hidden="false" customHeight="false" outlineLevel="0" collapsed="false">
      <c r="A112" s="4" t="n">
        <f aca="false">IFERROR(__xludf.dummyfunction("""COMPUTED_VALUE"""),111)</f>
        <v>111</v>
      </c>
      <c r="B112" s="5" t="str">
        <f aca="false">IFERROR(__xludf.dummyfunction("""COMPUTED_VALUE"""),"NATALIA SILVA ALMEIDA")</f>
        <v>NATALIA SILVA ALMEIDA</v>
      </c>
      <c r="C112" s="5"/>
      <c r="D112" s="5"/>
      <c r="E112" s="5" t="str">
        <f aca="false">IFERROR(__xludf.dummyfunction("""COMPUTED_VALUE"""),"GO")</f>
        <v>GO</v>
      </c>
      <c r="F112" s="4" t="str">
        <f aca="false">IFERROR(__xludf.dummyfunction("""COMPUTED_VALUE"""),"GOIÂNIA")</f>
        <v>GOIÂNIA</v>
      </c>
      <c r="G112" s="4" t="str">
        <f aca="false">IFERROR(__xludf.dummyfunction("""COMPUTED_VALUE"""),"DIREITO")</f>
        <v>DIREITO</v>
      </c>
      <c r="H112" s="4" t="str">
        <f aca="false">IFERROR(__xludf.dummyfunction("""COMPUTED_VALUE"""),"DESCLASSIFICADO")</f>
        <v>DESCLASSIFICADO</v>
      </c>
    </row>
    <row r="113" customFormat="false" ht="13.8" hidden="false" customHeight="false" outlineLevel="0" collapsed="false">
      <c r="A113" s="4" t="n">
        <f aca="false">IFERROR(__xludf.dummyfunction("""COMPUTED_VALUE"""),112)</f>
        <v>112</v>
      </c>
      <c r="B113" s="5" t="str">
        <f aca="false">IFERROR(__xludf.dummyfunction("""COMPUTED_VALUE"""),"LUAN SOARES DE FARIA")</f>
        <v>LUAN SOARES DE FARIA</v>
      </c>
      <c r="C113" s="5"/>
      <c r="D113" s="5"/>
      <c r="E113" s="5" t="str">
        <f aca="false">IFERROR(__xludf.dummyfunction("""COMPUTED_VALUE"""),"GO")</f>
        <v>GO</v>
      </c>
      <c r="F113" s="4" t="str">
        <f aca="false">IFERROR(__xludf.dummyfunction("""COMPUTED_VALUE"""),"NERÓPOLIS")</f>
        <v>NERÓPOLIS</v>
      </c>
      <c r="G113" s="4" t="str">
        <f aca="false">IFERROR(__xludf.dummyfunction("""COMPUTED_VALUE"""),"DIREITO")</f>
        <v>DIREITO</v>
      </c>
      <c r="H113" s="4" t="str">
        <f aca="false">IFERROR(__xludf.dummyfunction("""COMPUTED_VALUE"""),"CONTRATADO")</f>
        <v>CONTRATADO</v>
      </c>
    </row>
    <row r="114" customFormat="false" ht="13.8" hidden="false" customHeight="false" outlineLevel="0" collapsed="false">
      <c r="A114" s="4" t="n">
        <f aca="false">IFERROR(__xludf.dummyfunction("""COMPUTED_VALUE"""),113)</f>
        <v>113</v>
      </c>
      <c r="B114" s="5" t="str">
        <f aca="false">IFERROR(__xludf.dummyfunction("""COMPUTED_VALUE"""),"POLIANA ALMEIDA DO CARMO")</f>
        <v>POLIANA ALMEIDA DO CARMO</v>
      </c>
      <c r="C114" s="5"/>
      <c r="D114" s="5"/>
      <c r="E114" s="5" t="str">
        <f aca="false">IFERROR(__xludf.dummyfunction("""COMPUTED_VALUE"""),"GO")</f>
        <v>GO</v>
      </c>
      <c r="F114" s="4" t="str">
        <f aca="false">IFERROR(__xludf.dummyfunction("""COMPUTED_VALUE"""),"GUARINOS")</f>
        <v>GUARINOS</v>
      </c>
      <c r="G114" s="4" t="str">
        <f aca="false">IFERROR(__xludf.dummyfunction("""COMPUTED_VALUE"""),"DIREITO")</f>
        <v>DIREITO</v>
      </c>
      <c r="H114" s="4" t="str">
        <f aca="false">IFERROR(__xludf.dummyfunction("""COMPUTED_VALUE"""),"DESCLASSIFICADO")</f>
        <v>DESCLASSIFICADO</v>
      </c>
    </row>
    <row r="115" customFormat="false" ht="13.8" hidden="false" customHeight="false" outlineLevel="0" collapsed="false">
      <c r="A115" s="4" t="n">
        <f aca="false">IFERROR(__xludf.dummyfunction("""COMPUTED_VALUE"""),114)</f>
        <v>114</v>
      </c>
      <c r="B115" s="5" t="str">
        <f aca="false">IFERROR(__xludf.dummyfunction("""COMPUTED_VALUE"""),"ROMULO CIRQUEIRA REGES FILHO")</f>
        <v>ROMULO CIRQUEIRA REGES FILHO</v>
      </c>
      <c r="C115" s="5"/>
      <c r="D115" s="5"/>
      <c r="E115" s="5" t="str">
        <f aca="false">IFERROR(__xludf.dummyfunction("""COMPUTED_VALUE"""),"GO")</f>
        <v>GO</v>
      </c>
      <c r="F115" s="4" t="str">
        <f aca="false">IFERROR(__xludf.dummyfunction("""COMPUTED_VALUE"""),"GOIÂNIA")</f>
        <v>GOIÂNIA</v>
      </c>
      <c r="G115" s="4" t="str">
        <f aca="false">IFERROR(__xludf.dummyfunction("""COMPUTED_VALUE"""),"DIREITO")</f>
        <v>DIREITO</v>
      </c>
      <c r="H115" s="4" t="str">
        <f aca="false">IFERROR(__xludf.dummyfunction("""COMPUTED_VALUE"""),"CONTRATADO")</f>
        <v>CONTRATADO</v>
      </c>
    </row>
    <row r="116" customFormat="false" ht="13.8" hidden="false" customHeight="false" outlineLevel="0" collapsed="false">
      <c r="A116" s="4" t="n">
        <f aca="false">IFERROR(__xludf.dummyfunction("""COMPUTED_VALUE"""),115)</f>
        <v>115</v>
      </c>
      <c r="B116" s="5" t="str">
        <f aca="false">IFERROR(__xludf.dummyfunction("""COMPUTED_VALUE"""),"SOPHIE CAROLINE HELENA DA SILVA")</f>
        <v>SOPHIE CAROLINE HELENA DA SILVA</v>
      </c>
      <c r="C116" s="5"/>
      <c r="D116" s="5"/>
      <c r="E116" s="5" t="str">
        <f aca="false">IFERROR(__xludf.dummyfunction("""COMPUTED_VALUE"""),"GO")</f>
        <v>GO</v>
      </c>
      <c r="F116" s="4" t="str">
        <f aca="false">IFERROR(__xludf.dummyfunction("""COMPUTED_VALUE"""),"APARECIDA DE GOIÂNIA")</f>
        <v>APARECIDA DE GOIÂNIA</v>
      </c>
      <c r="G116" s="4" t="str">
        <f aca="false">IFERROR(__xludf.dummyfunction("""COMPUTED_VALUE"""),"DIREITO")</f>
        <v>DIREITO</v>
      </c>
      <c r="H116" s="4" t="str">
        <f aca="false">IFERROR(__xludf.dummyfunction("""COMPUTED_VALUE"""),"DESCLASSIFICADO")</f>
        <v>DESCLASSIFICADO</v>
      </c>
    </row>
    <row r="117" customFormat="false" ht="13.8" hidden="false" customHeight="false" outlineLevel="0" collapsed="false">
      <c r="A117" s="4" t="n">
        <f aca="false">IFERROR(__xludf.dummyfunction("""COMPUTED_VALUE"""),116)</f>
        <v>116</v>
      </c>
      <c r="B117" s="5" t="str">
        <f aca="false">IFERROR(__xludf.dummyfunction("""COMPUTED_VALUE"""),"ERIKA MARIA DA SILVA SANTOS")</f>
        <v>ERIKA MARIA DA SILVA SANTOS</v>
      </c>
      <c r="C117" s="5"/>
      <c r="D117" s="5"/>
      <c r="E117" s="5" t="str">
        <f aca="false">IFERROR(__xludf.dummyfunction("""COMPUTED_VALUE"""),"GO")</f>
        <v>GO</v>
      </c>
      <c r="F117" s="4" t="str">
        <f aca="false">IFERROR(__xludf.dummyfunction("""COMPUTED_VALUE"""),"GOIÂNIA")</f>
        <v>GOIÂNIA</v>
      </c>
      <c r="G117" s="4" t="str">
        <f aca="false">IFERROR(__xludf.dummyfunction("""COMPUTED_VALUE"""),"DIREITO")</f>
        <v>DIREITO</v>
      </c>
      <c r="H117" s="4" t="str">
        <f aca="false">IFERROR(__xludf.dummyfunction("""COMPUTED_VALUE"""),"CONTRATADO")</f>
        <v>CONTRATADO</v>
      </c>
    </row>
    <row r="118" customFormat="false" ht="13.8" hidden="false" customHeight="false" outlineLevel="0" collapsed="false">
      <c r="A118" s="4" t="n">
        <f aca="false">IFERROR(__xludf.dummyfunction("""COMPUTED_VALUE"""),117)</f>
        <v>117</v>
      </c>
      <c r="B118" s="5" t="str">
        <f aca="false">IFERROR(__xludf.dummyfunction("""COMPUTED_VALUE"""),"FERNANDA ARAUJO DE SOUZA")</f>
        <v>FERNANDA ARAUJO DE SOUZA</v>
      </c>
      <c r="C118" s="5"/>
      <c r="D118" s="5"/>
      <c r="E118" s="5" t="str">
        <f aca="false">IFERROR(__xludf.dummyfunction("""COMPUTED_VALUE"""),"GO")</f>
        <v>GO</v>
      </c>
      <c r="F118" s="4" t="str">
        <f aca="false">IFERROR(__xludf.dummyfunction("""COMPUTED_VALUE"""),"GOIÂNIA")</f>
        <v>GOIÂNIA</v>
      </c>
      <c r="G118" s="4" t="str">
        <f aca="false">IFERROR(__xludf.dummyfunction("""COMPUTED_VALUE"""),"DIREITO")</f>
        <v>DIREITO</v>
      </c>
      <c r="H118" s="4" t="str">
        <f aca="false">IFERROR(__xludf.dummyfunction("""COMPUTED_VALUE"""),"DESCLASSIFICADO")</f>
        <v>DESCLASSIFICADO</v>
      </c>
    </row>
    <row r="119" customFormat="false" ht="13.8" hidden="false" customHeight="false" outlineLevel="0" collapsed="false">
      <c r="A119" s="4" t="n">
        <f aca="false">IFERROR(__xludf.dummyfunction("""COMPUTED_VALUE"""),118)</f>
        <v>118</v>
      </c>
      <c r="B119" s="5" t="str">
        <f aca="false">IFERROR(__xludf.dummyfunction("""COMPUTED_VALUE"""),"MARCOS VINICIOS DE SOUSA BEZERRA")</f>
        <v>MARCOS VINICIOS DE SOUSA BEZERRA</v>
      </c>
      <c r="C119" s="5"/>
      <c r="D119" s="5"/>
      <c r="E119" s="5" t="str">
        <f aca="false">IFERROR(__xludf.dummyfunction("""COMPUTED_VALUE"""),"GO")</f>
        <v>GO</v>
      </c>
      <c r="F119" s="4" t="str">
        <f aca="false">IFERROR(__xludf.dummyfunction("""COMPUTED_VALUE"""),"GOIÂNIA")</f>
        <v>GOIÂNIA</v>
      </c>
      <c r="G119" s="4" t="str">
        <f aca="false">IFERROR(__xludf.dummyfunction("""COMPUTED_VALUE"""),"DIREITO")</f>
        <v>DIREITO</v>
      </c>
      <c r="H119" s="4" t="str">
        <f aca="false">IFERROR(__xludf.dummyfunction("""COMPUTED_VALUE"""),"CONTRATADO")</f>
        <v>CONTRATADO</v>
      </c>
    </row>
    <row r="120" customFormat="false" ht="13.8" hidden="false" customHeight="false" outlineLevel="0" collapsed="false">
      <c r="A120" s="4" t="n">
        <f aca="false">IFERROR(__xludf.dummyfunction("""COMPUTED_VALUE"""),119)</f>
        <v>119</v>
      </c>
      <c r="B120" s="5" t="str">
        <f aca="false">IFERROR(__xludf.dummyfunction("""COMPUTED_VALUE"""),"JOÃO VICTOR SILVA SOUZA")</f>
        <v>JOÃO VICTOR SILVA SOUZA</v>
      </c>
      <c r="C120" s="5"/>
      <c r="D120" s="5"/>
      <c r="E120" s="5" t="str">
        <f aca="false">IFERROR(__xludf.dummyfunction("""COMPUTED_VALUE"""),"GO")</f>
        <v>GO</v>
      </c>
      <c r="F120" s="4" t="str">
        <f aca="false">IFERROR(__xludf.dummyfunction("""COMPUTED_VALUE"""),"MINEIROS")</f>
        <v>MINEIROS</v>
      </c>
      <c r="G120" s="4" t="str">
        <f aca="false">IFERROR(__xludf.dummyfunction("""COMPUTED_VALUE"""),"DIREITO")</f>
        <v>DIREITO</v>
      </c>
      <c r="H120" s="4" t="str">
        <f aca="false">IFERROR(__xludf.dummyfunction("""COMPUTED_VALUE"""),"CONTRATADO")</f>
        <v>CONTRATADO</v>
      </c>
    </row>
    <row r="121" customFormat="false" ht="13.8" hidden="false" customHeight="false" outlineLevel="0" collapsed="false">
      <c r="A121" s="4" t="n">
        <f aca="false">IFERROR(__xludf.dummyfunction("""COMPUTED_VALUE"""),120)</f>
        <v>120</v>
      </c>
      <c r="B121" s="5" t="str">
        <f aca="false">IFERROR(__xludf.dummyfunction("""COMPUTED_VALUE"""),"VICTOR ABRAO HENS")</f>
        <v>VICTOR ABRAO HENS</v>
      </c>
      <c r="C121" s="5"/>
      <c r="D121" s="5"/>
      <c r="E121" s="5" t="str">
        <f aca="false">IFERROR(__xludf.dummyfunction("""COMPUTED_VALUE"""),"GO")</f>
        <v>GO</v>
      </c>
      <c r="F121" s="4" t="str">
        <f aca="false">IFERROR(__xludf.dummyfunction("""COMPUTED_VALUE"""),"GOIÂNIA")</f>
        <v>GOIÂNIA</v>
      </c>
      <c r="G121" s="4" t="str">
        <f aca="false">IFERROR(__xludf.dummyfunction("""COMPUTED_VALUE"""),"DIREITO")</f>
        <v>DIREITO</v>
      </c>
      <c r="H121" s="4" t="str">
        <f aca="false">IFERROR(__xludf.dummyfunction("""COMPUTED_VALUE"""),"CONTRATADO")</f>
        <v>CONTRATADO</v>
      </c>
    </row>
    <row r="122" customFormat="false" ht="13.8" hidden="false" customHeight="false" outlineLevel="0" collapsed="false">
      <c r="A122" s="4" t="n">
        <f aca="false">IFERROR(__xludf.dummyfunction("""COMPUTED_VALUE"""),121)</f>
        <v>121</v>
      </c>
      <c r="B122" s="5" t="str">
        <f aca="false">IFERROR(__xludf.dummyfunction("""COMPUTED_VALUE"""),"ISABELLA STEPHANY SILVA BARBOSA")</f>
        <v>ISABELLA STEPHANY SILVA BARBOSA</v>
      </c>
      <c r="C122" s="5"/>
      <c r="D122" s="5"/>
      <c r="E122" s="5" t="str">
        <f aca="false">IFERROR(__xludf.dummyfunction("""COMPUTED_VALUE"""),"GO")</f>
        <v>GO</v>
      </c>
      <c r="F122" s="4" t="str">
        <f aca="false">IFERROR(__xludf.dummyfunction("""COMPUTED_VALUE"""),"APARECIDA DE GOIÂNIA")</f>
        <v>APARECIDA DE GOIÂNIA</v>
      </c>
      <c r="G122" s="4" t="str">
        <f aca="false">IFERROR(__xludf.dummyfunction("""COMPUTED_VALUE"""),"DIREITO")</f>
        <v>DIREITO</v>
      </c>
      <c r="H122" s="4" t="str">
        <f aca="false">IFERROR(__xludf.dummyfunction("""COMPUTED_VALUE"""),"DESCLASSIFICADO")</f>
        <v>DESCLASSIFICADO</v>
      </c>
    </row>
    <row r="123" customFormat="false" ht="13.8" hidden="false" customHeight="false" outlineLevel="0" collapsed="false">
      <c r="A123" s="4" t="n">
        <f aca="false">IFERROR(__xludf.dummyfunction("""COMPUTED_VALUE"""),122)</f>
        <v>122</v>
      </c>
      <c r="B123" s="5" t="str">
        <f aca="false">IFERROR(__xludf.dummyfunction("""COMPUTED_VALUE"""),"REBECA ALENCAR SILVA")</f>
        <v>REBECA ALENCAR SILVA</v>
      </c>
      <c r="C123" s="5"/>
      <c r="D123" s="5"/>
      <c r="E123" s="5" t="str">
        <f aca="false">IFERROR(__xludf.dummyfunction("""COMPUTED_VALUE"""),"GO")</f>
        <v>GO</v>
      </c>
      <c r="F123" s="4" t="str">
        <f aca="false">IFERROR(__xludf.dummyfunction("""COMPUTED_VALUE"""),"GOIÂNIA")</f>
        <v>GOIÂNIA</v>
      </c>
      <c r="G123" s="4" t="str">
        <f aca="false">IFERROR(__xludf.dummyfunction("""COMPUTED_VALUE"""),"DIREITO")</f>
        <v>DIREITO</v>
      </c>
      <c r="H123" s="4" t="str">
        <f aca="false">IFERROR(__xludf.dummyfunction("""COMPUTED_VALUE"""),"CONTRATADO")</f>
        <v>CONTRATADO</v>
      </c>
    </row>
    <row r="124" customFormat="false" ht="13.8" hidden="false" customHeight="false" outlineLevel="0" collapsed="false">
      <c r="A124" s="4" t="n">
        <f aca="false">IFERROR(__xludf.dummyfunction("""COMPUTED_VALUE"""),123)</f>
        <v>123</v>
      </c>
      <c r="B124" s="5" t="str">
        <f aca="false">IFERROR(__xludf.dummyfunction("""COMPUTED_VALUE"""),"IGOR GONÇALVES FAVARO")</f>
        <v>IGOR GONÇALVES FAVARO</v>
      </c>
      <c r="C124" s="5"/>
      <c r="D124" s="5"/>
      <c r="E124" s="5" t="str">
        <f aca="false">IFERROR(__xludf.dummyfunction("""COMPUTED_VALUE"""),"GO")</f>
        <v>GO</v>
      </c>
      <c r="F124" s="4" t="str">
        <f aca="false">IFERROR(__xludf.dummyfunction("""COMPUTED_VALUE"""),"GOIÂNIA")</f>
        <v>GOIÂNIA</v>
      </c>
      <c r="G124" s="4" t="str">
        <f aca="false">IFERROR(__xludf.dummyfunction("""COMPUTED_VALUE"""),"DIREITO")</f>
        <v>DIREITO</v>
      </c>
      <c r="H124" s="4" t="str">
        <f aca="false">IFERROR(__xludf.dummyfunction("""COMPUTED_VALUE"""),"DESCLASSIFICADO")</f>
        <v>DESCLASSIFICADO</v>
      </c>
    </row>
    <row r="125" customFormat="false" ht="13.8" hidden="false" customHeight="false" outlineLevel="0" collapsed="false">
      <c r="A125" s="4" t="n">
        <f aca="false">IFERROR(__xludf.dummyfunction("""COMPUTED_VALUE"""),124)</f>
        <v>124</v>
      </c>
      <c r="B125" s="5" t="str">
        <f aca="false">IFERROR(__xludf.dummyfunction("""COMPUTED_VALUE"""),"DANIEL CARLOS AZEVEDO CRUZ")</f>
        <v>DANIEL CARLOS AZEVEDO CRUZ</v>
      </c>
      <c r="C125" s="5"/>
      <c r="D125" s="5"/>
      <c r="E125" s="5" t="str">
        <f aca="false">IFERROR(__xludf.dummyfunction("""COMPUTED_VALUE"""),"GO")</f>
        <v>GO</v>
      </c>
      <c r="F125" s="4" t="str">
        <f aca="false">IFERROR(__xludf.dummyfunction("""COMPUTED_VALUE"""),"ANÁPOLIS")</f>
        <v>ANÁPOLIS</v>
      </c>
      <c r="G125" s="4" t="str">
        <f aca="false">IFERROR(__xludf.dummyfunction("""COMPUTED_VALUE"""),"DIREITO")</f>
        <v>DIREITO</v>
      </c>
      <c r="H125" s="4" t="str">
        <f aca="false">IFERROR(__xludf.dummyfunction("""COMPUTED_VALUE"""),"CONTRATADO")</f>
        <v>CONTRATADO</v>
      </c>
    </row>
    <row r="126" customFormat="false" ht="13.8" hidden="false" customHeight="false" outlineLevel="0" collapsed="false">
      <c r="A126" s="4" t="n">
        <f aca="false">IFERROR(__xludf.dummyfunction("""COMPUTED_VALUE"""),125)</f>
        <v>125</v>
      </c>
      <c r="B126" s="5" t="str">
        <f aca="false">IFERROR(__xludf.dummyfunction("""COMPUTED_VALUE"""),"LUANA AREBAS FARIA DE OLIVEIRA")</f>
        <v>LUANA AREBAS FARIA DE OLIVEIRA</v>
      </c>
      <c r="C126" s="5"/>
      <c r="D126" s="5"/>
      <c r="E126" s="5" t="str">
        <f aca="false">IFERROR(__xludf.dummyfunction("""COMPUTED_VALUE"""),"GO")</f>
        <v>GO</v>
      </c>
      <c r="F126" s="4" t="str">
        <f aca="false">IFERROR(__xludf.dummyfunction("""COMPUTED_VALUE"""),"SENADOR CANEDO")</f>
        <v>SENADOR CANEDO</v>
      </c>
      <c r="G126" s="4" t="str">
        <f aca="false">IFERROR(__xludf.dummyfunction("""COMPUTED_VALUE"""),"DIREITO")</f>
        <v>DIREITO</v>
      </c>
      <c r="H126" s="4" t="str">
        <f aca="false">IFERROR(__xludf.dummyfunction("""COMPUTED_VALUE"""),"CONTRATADO")</f>
        <v>CONTRATADO</v>
      </c>
    </row>
    <row r="127" customFormat="false" ht="13.8" hidden="false" customHeight="false" outlineLevel="0" collapsed="false">
      <c r="A127" s="4" t="n">
        <f aca="false">IFERROR(__xludf.dummyfunction("""COMPUTED_VALUE"""),126)</f>
        <v>126</v>
      </c>
      <c r="B127" s="5" t="str">
        <f aca="false">IFERROR(__xludf.dummyfunction("""COMPUTED_VALUE"""),"WANESSA PEREIRA FARIA")</f>
        <v>WANESSA PEREIRA FARIA</v>
      </c>
      <c r="C127" s="5"/>
      <c r="D127" s="5"/>
      <c r="E127" s="5" t="str">
        <f aca="false">IFERROR(__xludf.dummyfunction("""COMPUTED_VALUE"""),"GO")</f>
        <v>GO</v>
      </c>
      <c r="F127" s="4" t="str">
        <f aca="false">IFERROR(__xludf.dummyfunction("""COMPUTED_VALUE"""),"APARECIDA DE GOIÂNIA")</f>
        <v>APARECIDA DE GOIÂNIA</v>
      </c>
      <c r="G127" s="4" t="str">
        <f aca="false">IFERROR(__xludf.dummyfunction("""COMPUTED_VALUE"""),"DIREITO")</f>
        <v>DIREITO</v>
      </c>
      <c r="H127" s="4" t="str">
        <f aca="false">IFERROR(__xludf.dummyfunction("""COMPUTED_VALUE"""),"CONTRATADO")</f>
        <v>CONTRATADO</v>
      </c>
    </row>
    <row r="128" customFormat="false" ht="13.8" hidden="false" customHeight="false" outlineLevel="0" collapsed="false">
      <c r="A128" s="4" t="n">
        <f aca="false">IFERROR(__xludf.dummyfunction("""COMPUTED_VALUE"""),127)</f>
        <v>127</v>
      </c>
      <c r="B128" s="5" t="str">
        <f aca="false">IFERROR(__xludf.dummyfunction("""COMPUTED_VALUE"""),"THALITA VITÓRIA DA SILVA ALMEIDA RIBEIRO")</f>
        <v>THALITA VITÓRIA DA SILVA ALMEIDA RIBEIRO</v>
      </c>
      <c r="C128" s="5"/>
      <c r="D128" s="5"/>
      <c r="E128" s="5" t="str">
        <f aca="false">IFERROR(__xludf.dummyfunction("""COMPUTED_VALUE"""),"GO")</f>
        <v>GO</v>
      </c>
      <c r="F128" s="4" t="str">
        <f aca="false">IFERROR(__xludf.dummyfunction("""COMPUTED_VALUE"""),"GOIÂNIA")</f>
        <v>GOIÂNIA</v>
      </c>
      <c r="G128" s="4" t="str">
        <f aca="false">IFERROR(__xludf.dummyfunction("""COMPUTED_VALUE"""),"DIREITO")</f>
        <v>DIREITO</v>
      </c>
      <c r="H128" s="4" t="str">
        <f aca="false">IFERROR(__xludf.dummyfunction("""COMPUTED_VALUE"""),"CONTRATADO")</f>
        <v>CONTRATADO</v>
      </c>
    </row>
    <row r="129" customFormat="false" ht="13.8" hidden="false" customHeight="false" outlineLevel="0" collapsed="false">
      <c r="A129" s="4" t="n">
        <f aca="false">IFERROR(__xludf.dummyfunction("""COMPUTED_VALUE"""),128)</f>
        <v>128</v>
      </c>
      <c r="B129" s="5" t="str">
        <f aca="false">IFERROR(__xludf.dummyfunction("""COMPUTED_VALUE"""),"KEMILE GONZAGA TOME")</f>
        <v>KEMILE GONZAGA TOME</v>
      </c>
      <c r="C129" s="5"/>
      <c r="D129" s="5"/>
      <c r="E129" s="5" t="str">
        <f aca="false">IFERROR(__xludf.dummyfunction("""COMPUTED_VALUE"""),"GO")</f>
        <v>GO</v>
      </c>
      <c r="F129" s="4" t="str">
        <f aca="false">IFERROR(__xludf.dummyfunction("""COMPUTED_VALUE"""),"CALDAS NOVAS")</f>
        <v>CALDAS NOVAS</v>
      </c>
      <c r="G129" s="4" t="str">
        <f aca="false">IFERROR(__xludf.dummyfunction("""COMPUTED_VALUE"""),"DIREITO")</f>
        <v>DIREITO</v>
      </c>
      <c r="H129" s="4" t="str">
        <f aca="false">IFERROR(__xludf.dummyfunction("""COMPUTED_VALUE"""),"DESCLASSIFICADO")</f>
        <v>DESCLASSIFICADO</v>
      </c>
    </row>
    <row r="130" customFormat="false" ht="13.8" hidden="false" customHeight="false" outlineLevel="0" collapsed="false">
      <c r="A130" s="4" t="n">
        <f aca="false">IFERROR(__xludf.dummyfunction("""COMPUTED_VALUE"""),129)</f>
        <v>129</v>
      </c>
      <c r="B130" s="5" t="str">
        <f aca="false">IFERROR(__xludf.dummyfunction("""COMPUTED_VALUE"""),"HARYADNA IHSLAYRA BORGES DE OLIVEIRA ")</f>
        <v>HARYADNA IHSLAYRA BORGES DE OLIVEIRA</v>
      </c>
      <c r="C130" s="5"/>
      <c r="D130" s="5"/>
      <c r="E130" s="5" t="str">
        <f aca="false">IFERROR(__xludf.dummyfunction("""COMPUTED_VALUE"""),"GO")</f>
        <v>GO</v>
      </c>
      <c r="F130" s="4" t="str">
        <f aca="false">IFERROR(__xludf.dummyfunction("""COMPUTED_VALUE"""),"GOIÂNIA")</f>
        <v>GOIÂNIA</v>
      </c>
      <c r="G130" s="4" t="str">
        <f aca="false">IFERROR(__xludf.dummyfunction("""COMPUTED_VALUE"""),"DIREITO")</f>
        <v>DIREITO</v>
      </c>
      <c r="H130" s="4" t="str">
        <f aca="false">IFERROR(__xludf.dummyfunction("""COMPUTED_VALUE"""),"CONTRATADO")</f>
        <v>CONTRATADO</v>
      </c>
    </row>
    <row r="131" customFormat="false" ht="13.8" hidden="false" customHeight="false" outlineLevel="0" collapsed="false">
      <c r="A131" s="4" t="n">
        <f aca="false">IFERROR(__xludf.dummyfunction("""COMPUTED_VALUE"""),130)</f>
        <v>130</v>
      </c>
      <c r="B131" s="5" t="str">
        <f aca="false">IFERROR(__xludf.dummyfunction("""COMPUTED_VALUE"""),"GABRIEL CARDOSO DE SOUSA")</f>
        <v>GABRIEL CARDOSO DE SOUSA</v>
      </c>
      <c r="C131" s="5"/>
      <c r="D131" s="5"/>
      <c r="E131" s="5" t="str">
        <f aca="false">IFERROR(__xludf.dummyfunction("""COMPUTED_VALUE"""),"GO")</f>
        <v>GO</v>
      </c>
      <c r="F131" s="4" t="str">
        <f aca="false">IFERROR(__xludf.dummyfunction("""COMPUTED_VALUE"""),"SENADOR CANEDO")</f>
        <v>SENADOR CANEDO</v>
      </c>
      <c r="G131" s="4" t="str">
        <f aca="false">IFERROR(__xludf.dummyfunction("""COMPUTED_VALUE"""),"DIREITO")</f>
        <v>DIREITO</v>
      </c>
      <c r="H131" s="4" t="str">
        <f aca="false">IFERROR(__xludf.dummyfunction("""COMPUTED_VALUE"""),"CONTRATADO")</f>
        <v>CONTRATADO</v>
      </c>
    </row>
    <row r="132" customFormat="false" ht="13.8" hidden="false" customHeight="false" outlineLevel="0" collapsed="false">
      <c r="A132" s="4" t="n">
        <f aca="false">IFERROR(__xludf.dummyfunction("""COMPUTED_VALUE"""),131)</f>
        <v>131</v>
      </c>
      <c r="B132" s="5" t="str">
        <f aca="false">IFERROR(__xludf.dummyfunction("""COMPUTED_VALUE"""),"STHEFANY DE SOUZA COSTA")</f>
        <v>STHEFANY DE SOUZA COSTA</v>
      </c>
      <c r="C132" s="5"/>
      <c r="D132" s="5"/>
      <c r="E132" s="5" t="str">
        <f aca="false">IFERROR(__xludf.dummyfunction("""COMPUTED_VALUE"""),"GO")</f>
        <v>GO</v>
      </c>
      <c r="F132" s="4" t="str">
        <f aca="false">IFERROR(__xludf.dummyfunction("""COMPUTED_VALUE"""),"APARECIDA DE GOIÂNIA")</f>
        <v>APARECIDA DE GOIÂNIA</v>
      </c>
      <c r="G132" s="4" t="str">
        <f aca="false">IFERROR(__xludf.dummyfunction("""COMPUTED_VALUE"""),"DIREITO")</f>
        <v>DIREITO</v>
      </c>
      <c r="H132" s="4" t="str">
        <f aca="false">IFERROR(__xludf.dummyfunction("""COMPUTED_VALUE"""),"CONTRATADO")</f>
        <v>CONTRATADO</v>
      </c>
    </row>
    <row r="133" customFormat="false" ht="13.8" hidden="false" customHeight="false" outlineLevel="0" collapsed="false">
      <c r="A133" s="4" t="n">
        <f aca="false">IFERROR(__xludf.dummyfunction("""COMPUTED_VALUE"""),132)</f>
        <v>132</v>
      </c>
      <c r="B133" s="5" t="str">
        <f aca="false">IFERROR(__xludf.dummyfunction("""COMPUTED_VALUE"""),"SOPHIA GARCIA VITORELI BASSI DE CARVALHO")</f>
        <v>SOPHIA GARCIA VITORELI BASSI DE CARVALHO</v>
      </c>
      <c r="C133" s="5"/>
      <c r="D133" s="5"/>
      <c r="E133" s="5" t="str">
        <f aca="false">IFERROR(__xludf.dummyfunction("""COMPUTED_VALUE"""),"GO")</f>
        <v>GO</v>
      </c>
      <c r="F133" s="4" t="str">
        <f aca="false">IFERROR(__xludf.dummyfunction("""COMPUTED_VALUE"""),"GOIÂNIA")</f>
        <v>GOIÂNIA</v>
      </c>
      <c r="G133" s="4" t="str">
        <f aca="false">IFERROR(__xludf.dummyfunction("""COMPUTED_VALUE"""),"DIREITO")</f>
        <v>DIREITO</v>
      </c>
      <c r="H133" s="4" t="str">
        <f aca="false">IFERROR(__xludf.dummyfunction("""COMPUTED_VALUE"""),"DESCLASSIFICADO")</f>
        <v>DESCLASSIFICADO</v>
      </c>
    </row>
    <row r="134" customFormat="false" ht="13.8" hidden="false" customHeight="false" outlineLevel="0" collapsed="false">
      <c r="A134" s="4" t="n">
        <f aca="false">IFERROR(__xludf.dummyfunction("""COMPUTED_VALUE"""),133)</f>
        <v>133</v>
      </c>
      <c r="B134" s="5" t="str">
        <f aca="false">IFERROR(__xludf.dummyfunction("""COMPUTED_VALUE"""),"HEVELLIM FELIX BRASILEIRO DA SILVA")</f>
        <v>HEVELLIM FELIX BRASILEIRO DA SILVA</v>
      </c>
      <c r="C134" s="5"/>
      <c r="D134" s="5"/>
      <c r="E134" s="5" t="str">
        <f aca="false">IFERROR(__xludf.dummyfunction("""COMPUTED_VALUE"""),"GO")</f>
        <v>GO</v>
      </c>
      <c r="F134" s="4" t="str">
        <f aca="false">IFERROR(__xludf.dummyfunction("""COMPUTED_VALUE"""),"SILVÂNIA")</f>
        <v>SILVÂNIA</v>
      </c>
      <c r="G134" s="4" t="str">
        <f aca="false">IFERROR(__xludf.dummyfunction("""COMPUTED_VALUE"""),"DIREITO")</f>
        <v>DIREITO</v>
      </c>
      <c r="H134" s="4" t="str">
        <f aca="false">IFERROR(__xludf.dummyfunction("""COMPUTED_VALUE"""),"DESCLASSIFICADO")</f>
        <v>DESCLASSIFICADO</v>
      </c>
    </row>
    <row r="135" customFormat="false" ht="13.8" hidden="false" customHeight="false" outlineLevel="0" collapsed="false">
      <c r="A135" s="4" t="n">
        <f aca="false">IFERROR(__xludf.dummyfunction("""COMPUTED_VALUE"""),134)</f>
        <v>134</v>
      </c>
      <c r="B135" s="5" t="str">
        <f aca="false">IFERROR(__xludf.dummyfunction("""COMPUTED_VALUE"""),"THIAGO SEDRIK VIEIRA DE ALMEIDA")</f>
        <v>THIAGO SEDRIK VIEIRA DE ALMEIDA</v>
      </c>
      <c r="C135" s="5"/>
      <c r="D135" s="5"/>
      <c r="E135" s="5" t="str">
        <f aca="false">IFERROR(__xludf.dummyfunction("""COMPUTED_VALUE"""),"GO")</f>
        <v>GO</v>
      </c>
      <c r="F135" s="4" t="str">
        <f aca="false">IFERROR(__xludf.dummyfunction("""COMPUTED_VALUE"""),"GOIÂNIA")</f>
        <v>GOIÂNIA</v>
      </c>
      <c r="G135" s="4" t="str">
        <f aca="false">IFERROR(__xludf.dummyfunction("""COMPUTED_VALUE"""),"DIREITO")</f>
        <v>DIREITO</v>
      </c>
      <c r="H135" s="4" t="str">
        <f aca="false">IFERROR(__xludf.dummyfunction("""COMPUTED_VALUE"""),"CONTRATADO")</f>
        <v>CONTRATADO</v>
      </c>
    </row>
    <row r="136" customFormat="false" ht="13.8" hidden="false" customHeight="false" outlineLevel="0" collapsed="false">
      <c r="A136" s="4" t="n">
        <f aca="false">IFERROR(__xludf.dummyfunction("""COMPUTED_VALUE"""),135)</f>
        <v>135</v>
      </c>
      <c r="B136" s="5" t="str">
        <f aca="false">IFERROR(__xludf.dummyfunction("""COMPUTED_VALUE"""),"STHER WANDER PEREIRA DE SOUZA ")</f>
        <v>STHER WANDER PEREIRA DE SOUZA</v>
      </c>
      <c r="C136" s="5"/>
      <c r="D136" s="5"/>
      <c r="E136" s="5" t="str">
        <f aca="false">IFERROR(__xludf.dummyfunction("""COMPUTED_VALUE"""),"GO")</f>
        <v>GO</v>
      </c>
      <c r="F136" s="4" t="str">
        <f aca="false">IFERROR(__xludf.dummyfunction("""COMPUTED_VALUE"""),"GOIÂNIA")</f>
        <v>GOIÂNIA</v>
      </c>
      <c r="G136" s="4" t="str">
        <f aca="false">IFERROR(__xludf.dummyfunction("""COMPUTED_VALUE"""),"DIREITO")</f>
        <v>DIREITO</v>
      </c>
      <c r="H136" s="4" t="str">
        <f aca="false">IFERROR(__xludf.dummyfunction("""COMPUTED_VALUE"""),"CONTRATADO")</f>
        <v>CONTRATADO</v>
      </c>
    </row>
    <row r="137" customFormat="false" ht="13.8" hidden="false" customHeight="false" outlineLevel="0" collapsed="false">
      <c r="A137" s="4" t="n">
        <f aca="false">IFERROR(__xludf.dummyfunction("""COMPUTED_VALUE"""),136)</f>
        <v>136</v>
      </c>
      <c r="B137" s="5" t="str">
        <f aca="false">IFERROR(__xludf.dummyfunction("""COMPUTED_VALUE"""),"LUKKAHS ROCHESTER ASSIS CINTRA")</f>
        <v>LUKKAHS ROCHESTER ASSIS CINTRA</v>
      </c>
      <c r="C137" s="5"/>
      <c r="D137" s="5"/>
      <c r="E137" s="5" t="str">
        <f aca="false">IFERROR(__xludf.dummyfunction("""COMPUTED_VALUE"""),"GO")</f>
        <v>GO</v>
      </c>
      <c r="F137" s="4" t="str">
        <f aca="false">IFERROR(__xludf.dummyfunction("""COMPUTED_VALUE"""),"APARECIDA DE GOIÂNIA")</f>
        <v>APARECIDA DE GOIÂNIA</v>
      </c>
      <c r="G137" s="4" t="str">
        <f aca="false">IFERROR(__xludf.dummyfunction("""COMPUTED_VALUE"""),"DIREITO")</f>
        <v>DIREITO</v>
      </c>
      <c r="H137" s="4" t="str">
        <f aca="false">IFERROR(__xludf.dummyfunction("""COMPUTED_VALUE"""),"CONTRATADO")</f>
        <v>CONTRATADO</v>
      </c>
    </row>
    <row r="138" customFormat="false" ht="13.8" hidden="false" customHeight="false" outlineLevel="0" collapsed="false">
      <c r="A138" s="4" t="n">
        <f aca="false">IFERROR(__xludf.dummyfunction("""COMPUTED_VALUE"""),137)</f>
        <v>137</v>
      </c>
      <c r="B138" s="5" t="str">
        <f aca="false">IFERROR(__xludf.dummyfunction("""COMPUTED_VALUE"""),"GABRIELA LUIZA DE SOUSA")</f>
        <v>GABRIELA LUIZA DE SOUSA</v>
      </c>
      <c r="C138" s="5"/>
      <c r="D138" s="5"/>
      <c r="E138" s="5" t="str">
        <f aca="false">IFERROR(__xludf.dummyfunction("""COMPUTED_VALUE"""),"GO")</f>
        <v>GO</v>
      </c>
      <c r="F138" s="4" t="str">
        <f aca="false">IFERROR(__xludf.dummyfunction("""COMPUTED_VALUE"""),"APARECIDA DE GOIÂNIA")</f>
        <v>APARECIDA DE GOIÂNIA</v>
      </c>
      <c r="G138" s="4" t="str">
        <f aca="false">IFERROR(__xludf.dummyfunction("""COMPUTED_VALUE"""),"DIREITO")</f>
        <v>DIREITO</v>
      </c>
      <c r="H138" s="4" t="str">
        <f aca="false">IFERROR(__xludf.dummyfunction("""COMPUTED_VALUE"""),"DESCLASSIFICADO")</f>
        <v>DESCLASSIFICADO</v>
      </c>
    </row>
    <row r="139" customFormat="false" ht="13.8" hidden="false" customHeight="false" outlineLevel="0" collapsed="false">
      <c r="A139" s="4" t="n">
        <f aca="false">IFERROR(__xludf.dummyfunction("""COMPUTED_VALUE"""),138)</f>
        <v>138</v>
      </c>
      <c r="B139" s="5" t="str">
        <f aca="false">IFERROR(__xludf.dummyfunction("""COMPUTED_VALUE"""),"MARIA BEATRIZ GOMES DE OLIVEIRA")</f>
        <v>MARIA BEATRIZ GOMES DE OLIVEIRA</v>
      </c>
      <c r="C139" s="5"/>
      <c r="D139" s="5"/>
      <c r="E139" s="5" t="str">
        <f aca="false">IFERROR(__xludf.dummyfunction("""COMPUTED_VALUE"""),"GO")</f>
        <v>GO</v>
      </c>
      <c r="F139" s="4" t="str">
        <f aca="false">IFERROR(__xludf.dummyfunction("""COMPUTED_VALUE"""),"ÁGUAS LINDAS DE GOIÁS")</f>
        <v>ÁGUAS LINDAS DE GOIÁS</v>
      </c>
      <c r="G139" s="4" t="str">
        <f aca="false">IFERROR(__xludf.dummyfunction("""COMPUTED_VALUE"""),"DIREITO")</f>
        <v>DIREITO</v>
      </c>
      <c r="H139" s="4" t="str">
        <f aca="false">IFERROR(__xludf.dummyfunction("""COMPUTED_VALUE"""),"DESCLASSIFICADO")</f>
        <v>DESCLASSIFICADO</v>
      </c>
    </row>
    <row r="140" customFormat="false" ht="13.8" hidden="false" customHeight="false" outlineLevel="0" collapsed="false">
      <c r="A140" s="4" t="n">
        <f aca="false">IFERROR(__xludf.dummyfunction("""COMPUTED_VALUE"""),139)</f>
        <v>139</v>
      </c>
      <c r="B140" s="5" t="str">
        <f aca="false">IFERROR(__xludf.dummyfunction("""COMPUTED_VALUE"""),"WELLEN PINTO DO NASCIMENTO")</f>
        <v>WELLEN PINTO DO NASCIMENTO</v>
      </c>
      <c r="C140" s="5"/>
      <c r="D140" s="5"/>
      <c r="E140" s="5" t="str">
        <f aca="false">IFERROR(__xludf.dummyfunction("""COMPUTED_VALUE"""),"GO")</f>
        <v>GO</v>
      </c>
      <c r="F140" s="4" t="str">
        <f aca="false">IFERROR(__xludf.dummyfunction("""COMPUTED_VALUE"""),"GOIÂNIA")</f>
        <v>GOIÂNIA</v>
      </c>
      <c r="G140" s="4" t="str">
        <f aca="false">IFERROR(__xludf.dummyfunction("""COMPUTED_VALUE"""),"DIREITO")</f>
        <v>DIREITO</v>
      </c>
      <c r="H140" s="4" t="str">
        <f aca="false">IFERROR(__xludf.dummyfunction("""COMPUTED_VALUE"""),"CONTRATADO")</f>
        <v>CONTRATADO</v>
      </c>
    </row>
    <row r="141" customFormat="false" ht="13.8" hidden="false" customHeight="false" outlineLevel="0" collapsed="false">
      <c r="A141" s="4" t="n">
        <f aca="false">IFERROR(__xludf.dummyfunction("""COMPUTED_VALUE"""),140)</f>
        <v>140</v>
      </c>
      <c r="B141" s="5" t="str">
        <f aca="false">IFERROR(__xludf.dummyfunction("""COMPUTED_VALUE"""),"IGOR ARROYO ALVES SUZUKI")</f>
        <v>IGOR ARROYO ALVES SUZUKI</v>
      </c>
      <c r="C141" s="5"/>
      <c r="D141" s="5"/>
      <c r="E141" s="5" t="str">
        <f aca="false">IFERROR(__xludf.dummyfunction("""COMPUTED_VALUE"""),"GO")</f>
        <v>GO</v>
      </c>
      <c r="F141" s="4" t="str">
        <f aca="false">IFERROR(__xludf.dummyfunction("""COMPUTED_VALUE"""),"GOIÂNIA")</f>
        <v>GOIÂNIA</v>
      </c>
      <c r="G141" s="4" t="str">
        <f aca="false">IFERROR(__xludf.dummyfunction("""COMPUTED_VALUE"""),"DIREITO")</f>
        <v>DIREITO</v>
      </c>
      <c r="H141" s="4" t="str">
        <f aca="false">IFERROR(__xludf.dummyfunction("""COMPUTED_VALUE"""),"CONTRATADO")</f>
        <v>CONTRATADO</v>
      </c>
    </row>
    <row r="142" customFormat="false" ht="13.8" hidden="false" customHeight="false" outlineLevel="0" collapsed="false">
      <c r="A142" s="4" t="n">
        <f aca="false">IFERROR(__xludf.dummyfunction("""COMPUTED_VALUE"""),141)</f>
        <v>141</v>
      </c>
      <c r="B142" s="5" t="str">
        <f aca="false">IFERROR(__xludf.dummyfunction("""COMPUTED_VALUE"""),"GEOVANNA RIBEIRO DA SILVA COSTA")</f>
        <v>GEOVANNA RIBEIRO DA SILVA COSTA</v>
      </c>
      <c r="C142" s="5"/>
      <c r="D142" s="5"/>
      <c r="E142" s="5" t="str">
        <f aca="false">IFERROR(__xludf.dummyfunction("""COMPUTED_VALUE"""),"GO")</f>
        <v>GO</v>
      </c>
      <c r="F142" s="4" t="str">
        <f aca="false">IFERROR(__xludf.dummyfunction("""COMPUTED_VALUE"""),"APARECIDA DE GOIÂNIA")</f>
        <v>APARECIDA DE GOIÂNIA</v>
      </c>
      <c r="G142" s="4" t="str">
        <f aca="false">IFERROR(__xludf.dummyfunction("""COMPUTED_VALUE"""),"DIREITO")</f>
        <v>DIREITO</v>
      </c>
      <c r="H142" s="4" t="str">
        <f aca="false">IFERROR(__xludf.dummyfunction("""COMPUTED_VALUE"""),"DESCLASSIFICADO")</f>
        <v>DESCLASSIFICADO</v>
      </c>
    </row>
    <row r="143" customFormat="false" ht="13.8" hidden="false" customHeight="false" outlineLevel="0" collapsed="false">
      <c r="A143" s="4" t="n">
        <f aca="false">IFERROR(__xludf.dummyfunction("""COMPUTED_VALUE"""),142)</f>
        <v>142</v>
      </c>
      <c r="B143" s="5" t="str">
        <f aca="false">IFERROR(__xludf.dummyfunction("""COMPUTED_VALUE"""),"JOANA VITORIA FERREIRA SOUSA")</f>
        <v>JOANA VITORIA FERREIRA SOUSA</v>
      </c>
      <c r="C143" s="5"/>
      <c r="D143" s="5"/>
      <c r="E143" s="5" t="str">
        <f aca="false">IFERROR(__xludf.dummyfunction("""COMPUTED_VALUE"""),"GO")</f>
        <v>GO</v>
      </c>
      <c r="F143" s="4" t="str">
        <f aca="false">IFERROR(__xludf.dummyfunction("""COMPUTED_VALUE"""),"GOIÂNIA")</f>
        <v>GOIÂNIA</v>
      </c>
      <c r="G143" s="4" t="str">
        <f aca="false">IFERROR(__xludf.dummyfunction("""COMPUTED_VALUE"""),"DIREITO")</f>
        <v>DIREITO</v>
      </c>
      <c r="H143" s="4" t="str">
        <f aca="false">IFERROR(__xludf.dummyfunction("""COMPUTED_VALUE"""),"DESCLASSIFICADO")</f>
        <v>DESCLASSIFICADO</v>
      </c>
    </row>
    <row r="144" customFormat="false" ht="13.8" hidden="false" customHeight="false" outlineLevel="0" collapsed="false">
      <c r="A144" s="4" t="n">
        <f aca="false">IFERROR(__xludf.dummyfunction("""COMPUTED_VALUE"""),143)</f>
        <v>143</v>
      </c>
      <c r="B144" s="5" t="str">
        <f aca="false">IFERROR(__xludf.dummyfunction("""COMPUTED_VALUE"""),"RAQUEL GOMES FERREIRA")</f>
        <v>RAQUEL GOMES FERREIRA</v>
      </c>
      <c r="C144" s="5"/>
      <c r="D144" s="5"/>
      <c r="E144" s="5" t="str">
        <f aca="false">IFERROR(__xludf.dummyfunction("""COMPUTED_VALUE"""),"GO")</f>
        <v>GO</v>
      </c>
      <c r="F144" s="4" t="str">
        <f aca="false">IFERROR(__xludf.dummyfunction("""COMPUTED_VALUE"""),"LUZIÂNIA")</f>
        <v>LUZIÂNIA</v>
      </c>
      <c r="G144" s="4" t="str">
        <f aca="false">IFERROR(__xludf.dummyfunction("""COMPUTED_VALUE"""),"DIREITO")</f>
        <v>DIREITO</v>
      </c>
      <c r="H144" s="4" t="str">
        <f aca="false">IFERROR(__xludf.dummyfunction("""COMPUTED_VALUE"""),"DESCLASSIFICADO")</f>
        <v>DESCLASSIFICADO</v>
      </c>
    </row>
    <row r="145" customFormat="false" ht="13.8" hidden="false" customHeight="false" outlineLevel="0" collapsed="false">
      <c r="A145" s="4" t="n">
        <f aca="false">IFERROR(__xludf.dummyfunction("""COMPUTED_VALUE"""),144)</f>
        <v>144</v>
      </c>
      <c r="B145" s="5" t="str">
        <f aca="false">IFERROR(__xludf.dummyfunction("""COMPUTED_VALUE"""),"DAYANE SOUSA SARTIN")</f>
        <v>DAYANE SOUSA SARTIN</v>
      </c>
      <c r="C145" s="5"/>
      <c r="D145" s="5"/>
      <c r="E145" s="5" t="str">
        <f aca="false">IFERROR(__xludf.dummyfunction("""COMPUTED_VALUE"""),"GO")</f>
        <v>GO</v>
      </c>
      <c r="F145" s="4" t="str">
        <f aca="false">IFERROR(__xludf.dummyfunction("""COMPUTED_VALUE"""),"GOIÂNIA")</f>
        <v>GOIÂNIA</v>
      </c>
      <c r="G145" s="4" t="str">
        <f aca="false">IFERROR(__xludf.dummyfunction("""COMPUTED_VALUE"""),"DIREITO")</f>
        <v>DIREITO</v>
      </c>
      <c r="H145" s="4" t="str">
        <f aca="false">IFERROR(__xludf.dummyfunction("""COMPUTED_VALUE"""),"DESCLASSIFICADO")</f>
        <v>DESCLASSIFICADO</v>
      </c>
    </row>
    <row r="146" customFormat="false" ht="13.8" hidden="false" customHeight="false" outlineLevel="0" collapsed="false">
      <c r="A146" s="4" t="n">
        <f aca="false">IFERROR(__xludf.dummyfunction("""COMPUTED_VALUE"""),145)</f>
        <v>145</v>
      </c>
      <c r="B146" s="5" t="str">
        <f aca="false">IFERROR(__xludf.dummyfunction("""COMPUTED_VALUE"""),"ANA CLARA MELO DA SILVA FERRO")</f>
        <v>ANA CLARA MELO DA SILVA FERRO</v>
      </c>
      <c r="C146" s="5"/>
      <c r="D146" s="5"/>
      <c r="E146" s="5" t="str">
        <f aca="false">IFERROR(__xludf.dummyfunction("""COMPUTED_VALUE"""),"GO")</f>
        <v>GO</v>
      </c>
      <c r="F146" s="4" t="str">
        <f aca="false">IFERROR(__xludf.dummyfunction("""COMPUTED_VALUE"""),"GOIÂNIA")</f>
        <v>GOIÂNIA</v>
      </c>
      <c r="G146" s="4" t="str">
        <f aca="false">IFERROR(__xludf.dummyfunction("""COMPUTED_VALUE"""),"DIREITO")</f>
        <v>DIREITO</v>
      </c>
      <c r="H146" s="4" t="str">
        <f aca="false">IFERROR(__xludf.dummyfunction("""COMPUTED_VALUE"""),"DESCLASSIFICADO")</f>
        <v>DESCLASSIFICADO</v>
      </c>
    </row>
    <row r="147" customFormat="false" ht="13.8" hidden="false" customHeight="false" outlineLevel="0" collapsed="false">
      <c r="A147" s="4" t="n">
        <f aca="false">IFERROR(__xludf.dummyfunction("""COMPUTED_VALUE"""),146)</f>
        <v>146</v>
      </c>
      <c r="B147" s="5" t="str">
        <f aca="false">IFERROR(__xludf.dummyfunction("""COMPUTED_VALUE"""),"STEPHANIE AGNES LEAL ANDRADE")</f>
        <v>STEPHANIE AGNES LEAL ANDRADE</v>
      </c>
      <c r="C147" s="5"/>
      <c r="D147" s="5"/>
      <c r="E147" s="5" t="str">
        <f aca="false">IFERROR(__xludf.dummyfunction("""COMPUTED_VALUE"""),"GO")</f>
        <v>GO</v>
      </c>
      <c r="F147" s="4" t="str">
        <f aca="false">IFERROR(__xludf.dummyfunction("""COMPUTED_VALUE"""),"APARECIDA DE GOIÂNIA")</f>
        <v>APARECIDA DE GOIÂNIA</v>
      </c>
      <c r="G147" s="4" t="str">
        <f aca="false">IFERROR(__xludf.dummyfunction("""COMPUTED_VALUE"""),"DIREITO")</f>
        <v>DIREITO</v>
      </c>
      <c r="H147" s="4" t="str">
        <f aca="false">IFERROR(__xludf.dummyfunction("""COMPUTED_VALUE"""),"CONTRATADO")</f>
        <v>CONTRATADO</v>
      </c>
    </row>
    <row r="148" customFormat="false" ht="13.8" hidden="false" customHeight="false" outlineLevel="0" collapsed="false">
      <c r="A148" s="4" t="n">
        <f aca="false">IFERROR(__xludf.dummyfunction("""COMPUTED_VALUE"""),147)</f>
        <v>147</v>
      </c>
      <c r="B148" s="5" t="str">
        <f aca="false">IFERROR(__xludf.dummyfunction("""COMPUTED_VALUE"""),"VITOR CESAR FERREIRA PINHEIRO ")</f>
        <v>VITOR CESAR FERREIRA PINHEIRO</v>
      </c>
      <c r="C148" s="5"/>
      <c r="D148" s="5"/>
      <c r="E148" s="5" t="str">
        <f aca="false">IFERROR(__xludf.dummyfunction("""COMPUTED_VALUE"""),"DF")</f>
        <v>DF</v>
      </c>
      <c r="F148" s="4" t="str">
        <f aca="false">IFERROR(__xludf.dummyfunction("""COMPUTED_VALUE"""),"BRASÍLIA")</f>
        <v>BRASÍLIA</v>
      </c>
      <c r="G148" s="4" t="str">
        <f aca="false">IFERROR(__xludf.dummyfunction("""COMPUTED_VALUE"""),"DIREITO")</f>
        <v>DIREITO</v>
      </c>
      <c r="H148" s="4" t="str">
        <f aca="false">IFERROR(__xludf.dummyfunction("""COMPUTED_VALUE"""),"DESCLASSIFICADO")</f>
        <v>DESCLASSIFICADO</v>
      </c>
    </row>
    <row r="149" customFormat="false" ht="13.8" hidden="false" customHeight="false" outlineLevel="0" collapsed="false">
      <c r="A149" s="4" t="n">
        <f aca="false">IFERROR(__xludf.dummyfunction("""COMPUTED_VALUE"""),148)</f>
        <v>148</v>
      </c>
      <c r="B149" s="5" t="str">
        <f aca="false">IFERROR(__xludf.dummyfunction("""COMPUTED_VALUE"""),"JOAO MARCELO FERREIRA DE PAULA")</f>
        <v>JOAO MARCELO FERREIRA DE PAULA</v>
      </c>
      <c r="C149" s="5"/>
      <c r="D149" s="5"/>
      <c r="E149" s="5" t="str">
        <f aca="false">IFERROR(__xludf.dummyfunction("""COMPUTED_VALUE"""),"GO")</f>
        <v>GO</v>
      </c>
      <c r="F149" s="4" t="str">
        <f aca="false">IFERROR(__xludf.dummyfunction("""COMPUTED_VALUE"""),"ANÁPOLIS")</f>
        <v>ANÁPOLIS</v>
      </c>
      <c r="G149" s="4" t="str">
        <f aca="false">IFERROR(__xludf.dummyfunction("""COMPUTED_VALUE"""),"DIREITO")</f>
        <v>DIREITO</v>
      </c>
      <c r="H149" s="4" t="str">
        <f aca="false">IFERROR(__xludf.dummyfunction("""COMPUTED_VALUE"""),"CONTRATADO")</f>
        <v>CONTRATADO</v>
      </c>
    </row>
    <row r="150" customFormat="false" ht="13.8" hidden="false" customHeight="false" outlineLevel="0" collapsed="false">
      <c r="A150" s="4" t="n">
        <f aca="false">IFERROR(__xludf.dummyfunction("""COMPUTED_VALUE"""),149)</f>
        <v>149</v>
      </c>
      <c r="B150" s="5" t="str">
        <f aca="false">IFERROR(__xludf.dummyfunction("""COMPUTED_VALUE"""),"BRUNO NERES REZENDE")</f>
        <v>BRUNO NERES REZENDE</v>
      </c>
      <c r="C150" s="5"/>
      <c r="D150" s="5"/>
      <c r="E150" s="5" t="str">
        <f aca="false">IFERROR(__xludf.dummyfunction("""COMPUTED_VALUE"""),"DF")</f>
        <v>DF</v>
      </c>
      <c r="F150" s="4" t="str">
        <f aca="false">IFERROR(__xludf.dummyfunction("""COMPUTED_VALUE"""),"BRASÍLIA")</f>
        <v>BRASÍLIA</v>
      </c>
      <c r="G150" s="4" t="str">
        <f aca="false">IFERROR(__xludf.dummyfunction("""COMPUTED_VALUE"""),"DIREITO")</f>
        <v>DIREITO</v>
      </c>
      <c r="H150" s="4" t="str">
        <f aca="false">IFERROR(__xludf.dummyfunction("""COMPUTED_VALUE"""),"DESCLASSIFICADO")</f>
        <v>DESCLASSIFICADO</v>
      </c>
    </row>
    <row r="151" customFormat="false" ht="13.8" hidden="false" customHeight="false" outlineLevel="0" collapsed="false">
      <c r="A151" s="4" t="n">
        <f aca="false">IFERROR(__xludf.dummyfunction("""COMPUTED_VALUE"""),150)</f>
        <v>150</v>
      </c>
      <c r="B151" s="5" t="str">
        <f aca="false">IFERROR(__xludf.dummyfunction("""COMPUTED_VALUE"""),"SUZANA RIBEIRO ZATTA")</f>
        <v>SUZANA RIBEIRO ZATTA</v>
      </c>
      <c r="C151" s="5"/>
      <c r="D151" s="5"/>
      <c r="E151" s="5" t="str">
        <f aca="false">IFERROR(__xludf.dummyfunction("""COMPUTED_VALUE"""),"GO")</f>
        <v>GO</v>
      </c>
      <c r="F151" s="4" t="str">
        <f aca="false">IFERROR(__xludf.dummyfunction("""COMPUTED_VALUE"""),"SENADOR CANEDO")</f>
        <v>SENADOR CANEDO</v>
      </c>
      <c r="G151" s="4" t="str">
        <f aca="false">IFERROR(__xludf.dummyfunction("""COMPUTED_VALUE"""),"DIREITO")</f>
        <v>DIREITO</v>
      </c>
      <c r="H151" s="4" t="str">
        <f aca="false">IFERROR(__xludf.dummyfunction("""COMPUTED_VALUE"""),"CONTRATADO")</f>
        <v>CONTRATADO</v>
      </c>
    </row>
    <row r="152" customFormat="false" ht="13.8" hidden="false" customHeight="false" outlineLevel="0" collapsed="false">
      <c r="A152" s="4" t="n">
        <f aca="false">IFERROR(__xludf.dummyfunction("""COMPUTED_VALUE"""),151)</f>
        <v>151</v>
      </c>
      <c r="B152" s="5" t="str">
        <f aca="false">IFERROR(__xludf.dummyfunction("""COMPUTED_VALUE"""),"GABRIELLA DOMINGOS PEIXOTO DA SILVA")</f>
        <v>GABRIELLA DOMINGOS PEIXOTO DA SILVA</v>
      </c>
      <c r="C152" s="5"/>
      <c r="D152" s="5"/>
      <c r="E152" s="5" t="str">
        <f aca="false">IFERROR(__xludf.dummyfunction("""COMPUTED_VALUE"""),"GO")</f>
        <v>GO</v>
      </c>
      <c r="F152" s="4" t="str">
        <f aca="false">IFERROR(__xludf.dummyfunction("""COMPUTED_VALUE"""),"GOIÂNIA")</f>
        <v>GOIÂNIA</v>
      </c>
      <c r="G152" s="4" t="str">
        <f aca="false">IFERROR(__xludf.dummyfunction("""COMPUTED_VALUE"""),"DIREITO")</f>
        <v>DIREITO</v>
      </c>
      <c r="H152" s="4" t="str">
        <f aca="false">IFERROR(__xludf.dummyfunction("""COMPUTED_VALUE"""),"DESCLASSIFICADO")</f>
        <v>DESCLASSIFICADO</v>
      </c>
    </row>
    <row r="153" customFormat="false" ht="13.8" hidden="false" customHeight="false" outlineLevel="0" collapsed="false">
      <c r="A153" s="4" t="n">
        <f aca="false">IFERROR(__xludf.dummyfunction("""COMPUTED_VALUE"""),152)</f>
        <v>152</v>
      </c>
      <c r="B153" s="5" t="str">
        <f aca="false">IFERROR(__xludf.dummyfunction("""COMPUTED_VALUE"""),"JENIFFER FERREIRA DE SOUZA")</f>
        <v>JENIFFER FERREIRA DE SOUZA</v>
      </c>
      <c r="C153" s="5"/>
      <c r="D153" s="5"/>
      <c r="E153" s="5" t="str">
        <f aca="false">IFERROR(__xludf.dummyfunction("""COMPUTED_VALUE"""),"GO")</f>
        <v>GO</v>
      </c>
      <c r="F153" s="4" t="str">
        <f aca="false">IFERROR(__xludf.dummyfunction("""COMPUTED_VALUE"""),"GOIANIRA")</f>
        <v>GOIANIRA</v>
      </c>
      <c r="G153" s="4" t="str">
        <f aca="false">IFERROR(__xludf.dummyfunction("""COMPUTED_VALUE"""),"DIREITO")</f>
        <v>DIREITO</v>
      </c>
      <c r="H153" s="4" t="str">
        <f aca="false">IFERROR(__xludf.dummyfunction("""COMPUTED_VALUE"""),"CONTRATADO")</f>
        <v>CONTRATADO</v>
      </c>
    </row>
    <row r="154" customFormat="false" ht="13.8" hidden="false" customHeight="false" outlineLevel="0" collapsed="false">
      <c r="A154" s="4" t="n">
        <f aca="false">IFERROR(__xludf.dummyfunction("""COMPUTED_VALUE"""),153)</f>
        <v>153</v>
      </c>
      <c r="B154" s="5" t="str">
        <f aca="false">IFERROR(__xludf.dummyfunction("""COMPUTED_VALUE"""),"KAUANI MIRANDA DOS SANTOS")</f>
        <v>KAUANI MIRANDA DOS SANTOS</v>
      </c>
      <c r="C154" s="5"/>
      <c r="D154" s="5"/>
      <c r="E154" s="5" t="str">
        <f aca="false">IFERROR(__xludf.dummyfunction("""COMPUTED_VALUE"""),"GO")</f>
        <v>GO</v>
      </c>
      <c r="F154" s="4" t="str">
        <f aca="false">IFERROR(__xludf.dummyfunction("""COMPUTED_VALUE"""),"APARECIDA DE GOIÂNIA")</f>
        <v>APARECIDA DE GOIÂNIA</v>
      </c>
      <c r="G154" s="4" t="str">
        <f aca="false">IFERROR(__xludf.dummyfunction("""COMPUTED_VALUE"""),"DIREITO")</f>
        <v>DIREITO</v>
      </c>
      <c r="H154" s="4" t="str">
        <f aca="false">IFERROR(__xludf.dummyfunction("""COMPUTED_VALUE"""),"DESCLASSIFICADO")</f>
        <v>DESCLASSIFICADO</v>
      </c>
    </row>
    <row r="155" customFormat="false" ht="13.8" hidden="false" customHeight="false" outlineLevel="0" collapsed="false">
      <c r="A155" s="4" t="n">
        <f aca="false">IFERROR(__xludf.dummyfunction("""COMPUTED_VALUE"""),154)</f>
        <v>154</v>
      </c>
      <c r="B155" s="5" t="str">
        <f aca="false">IFERROR(__xludf.dummyfunction("""COMPUTED_VALUE"""),"JULIA SOUSA CAMPOS DA SILVEIRA SANTOS ")</f>
        <v>JULIA SOUSA CAMPOS DA SILVEIRA SANTOS</v>
      </c>
      <c r="C155" s="5"/>
      <c r="D155" s="5"/>
      <c r="E155" s="5" t="str">
        <f aca="false">IFERROR(__xludf.dummyfunction("""COMPUTED_VALUE"""),"GO")</f>
        <v>GO</v>
      </c>
      <c r="F155" s="4" t="str">
        <f aca="false">IFERROR(__xludf.dummyfunction("""COMPUTED_VALUE"""),"APARECIDA DE GOIÂNIA")</f>
        <v>APARECIDA DE GOIÂNIA</v>
      </c>
      <c r="G155" s="4" t="str">
        <f aca="false">IFERROR(__xludf.dummyfunction("""COMPUTED_VALUE"""),"DIREITO")</f>
        <v>DIREITO</v>
      </c>
      <c r="H155" s="4" t="str">
        <f aca="false">IFERROR(__xludf.dummyfunction("""COMPUTED_VALUE"""),"DESCLASSIFICADO")</f>
        <v>DESCLASSIFICADO</v>
      </c>
    </row>
    <row r="156" customFormat="false" ht="13.8" hidden="false" customHeight="false" outlineLevel="0" collapsed="false">
      <c r="A156" s="4" t="n">
        <f aca="false">IFERROR(__xludf.dummyfunction("""COMPUTED_VALUE"""),155)</f>
        <v>155</v>
      </c>
      <c r="B156" s="5" t="str">
        <f aca="false">IFERROR(__xludf.dummyfunction("""COMPUTED_VALUE"""),"VITOR TEODORO OLIVEIRA")</f>
        <v>VITOR TEODORO OLIVEIRA</v>
      </c>
      <c r="C156" s="5"/>
      <c r="D156" s="5"/>
      <c r="E156" s="5" t="str">
        <f aca="false">IFERROR(__xludf.dummyfunction("""COMPUTED_VALUE"""),"GO")</f>
        <v>GO</v>
      </c>
      <c r="F156" s="4" t="str">
        <f aca="false">IFERROR(__xludf.dummyfunction("""COMPUTED_VALUE"""),"SILVÂNIA")</f>
        <v>SILVÂNIA</v>
      </c>
      <c r="G156" s="4" t="str">
        <f aca="false">IFERROR(__xludf.dummyfunction("""COMPUTED_VALUE"""),"DIREITO")</f>
        <v>DIREITO</v>
      </c>
      <c r="H156" s="4" t="str">
        <f aca="false">IFERROR(__xludf.dummyfunction("""COMPUTED_VALUE"""),"DESCLASSIFICADO")</f>
        <v>DESCLASSIFICADO</v>
      </c>
    </row>
    <row r="157" customFormat="false" ht="13.8" hidden="false" customHeight="false" outlineLevel="0" collapsed="false">
      <c r="A157" s="4" t="n">
        <f aca="false">IFERROR(__xludf.dummyfunction("""COMPUTED_VALUE"""),156)</f>
        <v>156</v>
      </c>
      <c r="B157" s="5" t="str">
        <f aca="false">IFERROR(__xludf.dummyfunction("""COMPUTED_VALUE"""),"THAINARA NASCIMENTO CÂNDIDO")</f>
        <v>THAINARA NASCIMENTO CÂNDIDO</v>
      </c>
      <c r="C157" s="5"/>
      <c r="D157" s="5"/>
      <c r="E157" s="5" t="str">
        <f aca="false">IFERROR(__xludf.dummyfunction("""COMPUTED_VALUE"""),"GO")</f>
        <v>GO</v>
      </c>
      <c r="F157" s="4" t="str">
        <f aca="false">IFERROR(__xludf.dummyfunction("""COMPUTED_VALUE"""),"APARECIDA DE GOIÂNIA")</f>
        <v>APARECIDA DE GOIÂNIA</v>
      </c>
      <c r="G157" s="4" t="str">
        <f aca="false">IFERROR(__xludf.dummyfunction("""COMPUTED_VALUE"""),"DIREITO")</f>
        <v>DIREITO</v>
      </c>
      <c r="H157" s="4" t="str">
        <f aca="false">IFERROR(__xludf.dummyfunction("""COMPUTED_VALUE"""),"CONTRATADO")</f>
        <v>CONTRATADO</v>
      </c>
    </row>
    <row r="158" customFormat="false" ht="13.8" hidden="false" customHeight="false" outlineLevel="0" collapsed="false">
      <c r="A158" s="4" t="n">
        <f aca="false">IFERROR(__xludf.dummyfunction("""COMPUTED_VALUE"""),157)</f>
        <v>157</v>
      </c>
      <c r="B158" s="5" t="str">
        <f aca="false">IFERROR(__xludf.dummyfunction("""COMPUTED_VALUE"""),"DHEYZIANE HIÊDA BRAGA SARAIVA")</f>
        <v>DHEYZIANE HIÊDA BRAGA SARAIVA</v>
      </c>
      <c r="C158" s="5"/>
      <c r="D158" s="5"/>
      <c r="E158" s="5" t="str">
        <f aca="false">IFERROR(__xludf.dummyfunction("""COMPUTED_VALUE"""),"GO")</f>
        <v>GO</v>
      </c>
      <c r="F158" s="4" t="str">
        <f aca="false">IFERROR(__xludf.dummyfunction("""COMPUTED_VALUE"""),"APARECIDA DE GOIÂNIA")</f>
        <v>APARECIDA DE GOIÂNIA</v>
      </c>
      <c r="G158" s="4" t="str">
        <f aca="false">IFERROR(__xludf.dummyfunction("""COMPUTED_VALUE"""),"DIREITO")</f>
        <v>DIREITO</v>
      </c>
      <c r="H158" s="4" t="str">
        <f aca="false">IFERROR(__xludf.dummyfunction("""COMPUTED_VALUE"""),"CONTRATADO")</f>
        <v>CONTRATADO</v>
      </c>
    </row>
    <row r="159" customFormat="false" ht="13.8" hidden="false" customHeight="false" outlineLevel="0" collapsed="false">
      <c r="A159" s="4" t="n">
        <f aca="false">IFERROR(__xludf.dummyfunction("""COMPUTED_VALUE"""),158)</f>
        <v>158</v>
      </c>
      <c r="B159" s="5" t="str">
        <f aca="false">IFERROR(__xludf.dummyfunction("""COMPUTED_VALUE"""),"GRASIELE DE SOUSA OLIVEIRA")</f>
        <v>GRASIELE DE SOUSA OLIVEIRA</v>
      </c>
      <c r="C159" s="5"/>
      <c r="D159" s="5"/>
      <c r="E159" s="5" t="str">
        <f aca="false">IFERROR(__xludf.dummyfunction("""COMPUTED_VALUE"""),"GO")</f>
        <v>GO</v>
      </c>
      <c r="F159" s="4" t="str">
        <f aca="false">IFERROR(__xludf.dummyfunction("""COMPUTED_VALUE"""),"APARECIDA DE GOIÂNIA")</f>
        <v>APARECIDA DE GOIÂNIA</v>
      </c>
      <c r="G159" s="4" t="str">
        <f aca="false">IFERROR(__xludf.dummyfunction("""COMPUTED_VALUE"""),"DIREITO")</f>
        <v>DIREITO</v>
      </c>
      <c r="H159" s="4" t="str">
        <f aca="false">IFERROR(__xludf.dummyfunction("""COMPUTED_VALUE"""),"CONTRATADO")</f>
        <v>CONTRATADO</v>
      </c>
    </row>
    <row r="160" customFormat="false" ht="13.8" hidden="false" customHeight="false" outlineLevel="0" collapsed="false">
      <c r="A160" s="4" t="n">
        <f aca="false">IFERROR(__xludf.dummyfunction("""COMPUTED_VALUE"""),159)</f>
        <v>159</v>
      </c>
      <c r="B160" s="5" t="str">
        <f aca="false">IFERROR(__xludf.dummyfunction("""COMPUTED_VALUE"""),"GABRIEL DA ROCHA SPERANDIO")</f>
        <v>GABRIEL DA ROCHA SPERANDIO</v>
      </c>
      <c r="C160" s="5"/>
      <c r="D160" s="5"/>
      <c r="E160" s="5" t="str">
        <f aca="false">IFERROR(__xludf.dummyfunction("""COMPUTED_VALUE"""),"GO")</f>
        <v>GO</v>
      </c>
      <c r="F160" s="4" t="str">
        <f aca="false">IFERROR(__xludf.dummyfunction("""COMPUTED_VALUE"""),"APARECIDA DE GOIÂNIA")</f>
        <v>APARECIDA DE GOIÂNIA</v>
      </c>
      <c r="G160" s="4" t="str">
        <f aca="false">IFERROR(__xludf.dummyfunction("""COMPUTED_VALUE"""),"DIREITO")</f>
        <v>DIREITO</v>
      </c>
      <c r="H160" s="4" t="str">
        <f aca="false">IFERROR(__xludf.dummyfunction("""COMPUTED_VALUE"""),"DESCLASSIFICADO")</f>
        <v>DESCLASSIFICADO</v>
      </c>
    </row>
    <row r="161" customFormat="false" ht="13.8" hidden="false" customHeight="false" outlineLevel="0" collapsed="false">
      <c r="A161" s="4" t="n">
        <f aca="false">IFERROR(__xludf.dummyfunction("""COMPUTED_VALUE"""),160)</f>
        <v>160</v>
      </c>
      <c r="B161" s="5" t="str">
        <f aca="false">IFERROR(__xludf.dummyfunction("""COMPUTED_VALUE"""),"MARIA CLARA GAMA")</f>
        <v>MARIA CLARA GAMA</v>
      </c>
      <c r="C161" s="5"/>
      <c r="D161" s="5"/>
      <c r="E161" s="5" t="str">
        <f aca="false">IFERROR(__xludf.dummyfunction("""COMPUTED_VALUE"""),"GO")</f>
        <v>GO</v>
      </c>
      <c r="F161" s="4" t="str">
        <f aca="false">IFERROR(__xludf.dummyfunction("""COMPUTED_VALUE"""),"APARECIDA DE GOIÂNIA")</f>
        <v>APARECIDA DE GOIÂNIA</v>
      </c>
      <c r="G161" s="4" t="str">
        <f aca="false">IFERROR(__xludf.dummyfunction("""COMPUTED_VALUE"""),"DIREITO")</f>
        <v>DIREITO</v>
      </c>
      <c r="H161" s="4" t="str">
        <f aca="false">IFERROR(__xludf.dummyfunction("""COMPUTED_VALUE"""),"DESCLASSIFICADO")</f>
        <v>DESCLASSIFICADO</v>
      </c>
    </row>
    <row r="162" customFormat="false" ht="13.8" hidden="false" customHeight="false" outlineLevel="0" collapsed="false">
      <c r="A162" s="4" t="n">
        <f aca="false">IFERROR(__xludf.dummyfunction("""COMPUTED_VALUE"""),161)</f>
        <v>161</v>
      </c>
      <c r="B162" s="5" t="str">
        <f aca="false">IFERROR(__xludf.dummyfunction("""COMPUTED_VALUE"""),"JACKELLYNE GONÇALVES DA SILVA")</f>
        <v>JACKELLYNE GONÇALVES DA SILVA</v>
      </c>
      <c r="C162" s="5"/>
      <c r="D162" s="5"/>
      <c r="E162" s="5" t="str">
        <f aca="false">IFERROR(__xludf.dummyfunction("""COMPUTED_VALUE"""),"GO")</f>
        <v>GO</v>
      </c>
      <c r="F162" s="4" t="str">
        <f aca="false">IFERROR(__xludf.dummyfunction("""COMPUTED_VALUE"""),"GOIÂNIA")</f>
        <v>GOIÂNIA</v>
      </c>
      <c r="G162" s="4" t="str">
        <f aca="false">IFERROR(__xludf.dummyfunction("""COMPUTED_VALUE"""),"DIREITO")</f>
        <v>DIREITO</v>
      </c>
      <c r="H162" s="4" t="str">
        <f aca="false">IFERROR(__xludf.dummyfunction("""COMPUTED_VALUE"""),"DESCLASSIFICADO")</f>
        <v>DESCLASSIFICADO</v>
      </c>
    </row>
    <row r="163" customFormat="false" ht="13.8" hidden="false" customHeight="false" outlineLevel="0" collapsed="false">
      <c r="A163" s="4" t="n">
        <f aca="false">IFERROR(__xludf.dummyfunction("""COMPUTED_VALUE"""),162)</f>
        <v>162</v>
      </c>
      <c r="B163" s="5" t="str">
        <f aca="false">IFERROR(__xludf.dummyfunction("""COMPUTED_VALUE"""),"AGATHA VITORIA GUIMARAES TEOFILO")</f>
        <v>AGATHA VITORIA GUIMARAES TEOFILO</v>
      </c>
      <c r="C163" s="5"/>
      <c r="D163" s="5"/>
      <c r="E163" s="5" t="str">
        <f aca="false">IFERROR(__xludf.dummyfunction("""COMPUTED_VALUE"""),"GO")</f>
        <v>GO</v>
      </c>
      <c r="F163" s="4" t="str">
        <f aca="false">IFERROR(__xludf.dummyfunction("""COMPUTED_VALUE"""),"APARECIDA DE GOIÂNIA")</f>
        <v>APARECIDA DE GOIÂNIA</v>
      </c>
      <c r="G163" s="4" t="str">
        <f aca="false">IFERROR(__xludf.dummyfunction("""COMPUTED_VALUE"""),"DIREITO")</f>
        <v>DIREITO</v>
      </c>
      <c r="H163" s="4" t="str">
        <f aca="false">IFERROR(__xludf.dummyfunction("""COMPUTED_VALUE"""),"CONTRATADO")</f>
        <v>CONTRATADO</v>
      </c>
    </row>
    <row r="164" customFormat="false" ht="13.8" hidden="false" customHeight="false" outlineLevel="0" collapsed="false">
      <c r="A164" s="4" t="n">
        <f aca="false">IFERROR(__xludf.dummyfunction("""COMPUTED_VALUE"""),163)</f>
        <v>163</v>
      </c>
      <c r="B164" s="5" t="str">
        <f aca="false">IFERROR(__xludf.dummyfunction("""COMPUTED_VALUE"""),"MATHEUS DE JESUS SILVA")</f>
        <v>MATHEUS DE JESUS SILVA</v>
      </c>
      <c r="C164" s="5"/>
      <c r="D164" s="5"/>
      <c r="E164" s="5" t="str">
        <f aca="false">IFERROR(__xludf.dummyfunction("""COMPUTED_VALUE"""),"GO")</f>
        <v>GO</v>
      </c>
      <c r="F164" s="4" t="str">
        <f aca="false">IFERROR(__xludf.dummyfunction("""COMPUTED_VALUE"""),"GOIÂNIA")</f>
        <v>GOIÂNIA</v>
      </c>
      <c r="G164" s="4" t="str">
        <f aca="false">IFERROR(__xludf.dummyfunction("""COMPUTED_VALUE"""),"DIREITO")</f>
        <v>DIREITO</v>
      </c>
      <c r="H164" s="4" t="str">
        <f aca="false">IFERROR(__xludf.dummyfunction("""COMPUTED_VALUE"""),"CONTRATADO")</f>
        <v>CONTRATADO</v>
      </c>
    </row>
    <row r="165" customFormat="false" ht="13.8" hidden="false" customHeight="false" outlineLevel="0" collapsed="false">
      <c r="A165" s="4" t="n">
        <f aca="false">IFERROR(__xludf.dummyfunction("""COMPUTED_VALUE"""),164)</f>
        <v>164</v>
      </c>
      <c r="B165" s="5" t="str">
        <f aca="false">IFERROR(__xludf.dummyfunction("""COMPUTED_VALUE"""),"NICKOLAS ROBERT DE OLIVEIRA SOUZA")</f>
        <v>NICKOLAS ROBERT DE OLIVEIRA SOUZA</v>
      </c>
      <c r="C165" s="5"/>
      <c r="D165" s="5"/>
      <c r="E165" s="5" t="str">
        <f aca="false">IFERROR(__xludf.dummyfunction("""COMPUTED_VALUE"""),"GO")</f>
        <v>GO</v>
      </c>
      <c r="F165" s="4" t="str">
        <f aca="false">IFERROR(__xludf.dummyfunction("""COMPUTED_VALUE"""),"ANÁPOLIS")</f>
        <v>ANÁPOLIS</v>
      </c>
      <c r="G165" s="4" t="str">
        <f aca="false">IFERROR(__xludf.dummyfunction("""COMPUTED_VALUE"""),"DIREITO")</f>
        <v>DIREITO</v>
      </c>
      <c r="H165" s="4" t="str">
        <f aca="false">IFERROR(__xludf.dummyfunction("""COMPUTED_VALUE"""),"DESCLASSIFICADO")</f>
        <v>DESCLASSIFICADO</v>
      </c>
    </row>
    <row r="166" customFormat="false" ht="13.8" hidden="false" customHeight="false" outlineLevel="0" collapsed="false">
      <c r="A166" s="4" t="n">
        <f aca="false">IFERROR(__xludf.dummyfunction("""COMPUTED_VALUE"""),165)</f>
        <v>165</v>
      </c>
      <c r="B166" s="5" t="str">
        <f aca="false">IFERROR(__xludf.dummyfunction("""COMPUTED_VALUE"""),"EDUARDO VASCONCELOS SILVA")</f>
        <v>EDUARDO VASCONCELOS SILVA</v>
      </c>
      <c r="C166" s="5"/>
      <c r="D166" s="5"/>
      <c r="E166" s="5" t="str">
        <f aca="false">IFERROR(__xludf.dummyfunction("""COMPUTED_VALUE"""),"GO")</f>
        <v>GO</v>
      </c>
      <c r="F166" s="4" t="str">
        <f aca="false">IFERROR(__xludf.dummyfunction("""COMPUTED_VALUE"""),"APARECIDA DE GOIÂNIA")</f>
        <v>APARECIDA DE GOIÂNIA</v>
      </c>
      <c r="G166" s="4" t="str">
        <f aca="false">IFERROR(__xludf.dummyfunction("""COMPUTED_VALUE"""),"DIREITO")</f>
        <v>DIREITO</v>
      </c>
      <c r="H166" s="4" t="str">
        <f aca="false">IFERROR(__xludf.dummyfunction("""COMPUTED_VALUE"""),"DESCLASSIFICADO")</f>
        <v>DESCLASSIFICADO</v>
      </c>
    </row>
    <row r="167" customFormat="false" ht="13.8" hidden="false" customHeight="false" outlineLevel="0" collapsed="false">
      <c r="A167" s="4" t="n">
        <f aca="false">IFERROR(__xludf.dummyfunction("""COMPUTED_VALUE"""),166)</f>
        <v>166</v>
      </c>
      <c r="B167" s="5" t="str">
        <f aca="false">IFERROR(__xludf.dummyfunction("""COMPUTED_VALUE"""),"INDYHORRANA VIEIRA DE SOUSA")</f>
        <v>INDYHORRANA VIEIRA DE SOUSA</v>
      </c>
      <c r="C167" s="5"/>
      <c r="D167" s="5"/>
      <c r="E167" s="5" t="str">
        <f aca="false">IFERROR(__xludf.dummyfunction("""COMPUTED_VALUE"""),"GO")</f>
        <v>GO</v>
      </c>
      <c r="F167" s="4" t="str">
        <f aca="false">IFERROR(__xludf.dummyfunction("""COMPUTED_VALUE"""),"APARECIDA DE GOIÂNIA")</f>
        <v>APARECIDA DE GOIÂNIA</v>
      </c>
      <c r="G167" s="4" t="str">
        <f aca="false">IFERROR(__xludf.dummyfunction("""COMPUTED_VALUE"""),"DIREITO")</f>
        <v>DIREITO</v>
      </c>
      <c r="H167" s="4" t="str">
        <f aca="false">IFERROR(__xludf.dummyfunction("""COMPUTED_VALUE"""),"DESCLASSIFICADO")</f>
        <v>DESCLASSIFICADO</v>
      </c>
    </row>
    <row r="168" customFormat="false" ht="13.8" hidden="false" customHeight="false" outlineLevel="0" collapsed="false">
      <c r="A168" s="4" t="n">
        <f aca="false">IFERROR(__xludf.dummyfunction("""COMPUTED_VALUE"""),167)</f>
        <v>167</v>
      </c>
      <c r="B168" s="5" t="str">
        <f aca="false">IFERROR(__xludf.dummyfunction("""COMPUTED_VALUE"""),"YARITSSA MARTINS FERREIRA")</f>
        <v>YARITSSA MARTINS FERREIRA</v>
      </c>
      <c r="C168" s="5"/>
      <c r="D168" s="5"/>
      <c r="E168" s="5" t="str">
        <f aca="false">IFERROR(__xludf.dummyfunction("""COMPUTED_VALUE"""),"GO")</f>
        <v>GO</v>
      </c>
      <c r="F168" s="4" t="str">
        <f aca="false">IFERROR(__xludf.dummyfunction("""COMPUTED_VALUE"""),"GOIÂNIA")</f>
        <v>GOIÂNIA</v>
      </c>
      <c r="G168" s="4" t="str">
        <f aca="false">IFERROR(__xludf.dummyfunction("""COMPUTED_VALUE"""),"DIREITO")</f>
        <v>DIREITO</v>
      </c>
      <c r="H168" s="4" t="str">
        <f aca="false">IFERROR(__xludf.dummyfunction("""COMPUTED_VALUE"""),"DESCLASSIFICADO")</f>
        <v>DESCLASSIFICADO</v>
      </c>
    </row>
    <row r="169" customFormat="false" ht="13.8" hidden="false" customHeight="false" outlineLevel="0" collapsed="false">
      <c r="A169" s="4" t="n">
        <f aca="false">IFERROR(__xludf.dummyfunction("""COMPUTED_VALUE"""),168)</f>
        <v>168</v>
      </c>
      <c r="B169" s="5" t="str">
        <f aca="false">IFERROR(__xludf.dummyfunction("""COMPUTED_VALUE"""),"JÚLIA BERNARDI RABELO")</f>
        <v>JÚLIA BERNARDI RABELO</v>
      </c>
      <c r="C169" s="5"/>
      <c r="D169" s="5"/>
      <c r="E169" s="5" t="str">
        <f aca="false">IFERROR(__xludf.dummyfunction("""COMPUTED_VALUE"""),"GO")</f>
        <v>GO</v>
      </c>
      <c r="F169" s="4" t="str">
        <f aca="false">IFERROR(__xludf.dummyfunction("""COMPUTED_VALUE"""),"GOIÂNIA")</f>
        <v>GOIÂNIA</v>
      </c>
      <c r="G169" s="4" t="str">
        <f aca="false">IFERROR(__xludf.dummyfunction("""COMPUTED_VALUE"""),"DIREITO")</f>
        <v>DIREITO</v>
      </c>
      <c r="H169" s="4" t="str">
        <f aca="false">IFERROR(__xludf.dummyfunction("""COMPUTED_VALUE"""),"DESCLASSIFICADO")</f>
        <v>DESCLASSIFICADO</v>
      </c>
    </row>
    <row r="170" customFormat="false" ht="13.8" hidden="false" customHeight="false" outlineLevel="0" collapsed="false">
      <c r="A170" s="4" t="n">
        <f aca="false">IFERROR(__xludf.dummyfunction("""COMPUTED_VALUE"""),169)</f>
        <v>169</v>
      </c>
      <c r="B170" s="5" t="str">
        <f aca="false">IFERROR(__xludf.dummyfunction("""COMPUTED_VALUE"""),"KAUANNY XAVIER SOARES 26/12/2000")</f>
        <v>KAUANNY XAVIER SOARES 26/12/2000</v>
      </c>
      <c r="C170" s="5"/>
      <c r="D170" s="5"/>
      <c r="E170" s="5" t="str">
        <f aca="false">IFERROR(__xludf.dummyfunction("""COMPUTED_VALUE"""),"GO")</f>
        <v>GO</v>
      </c>
      <c r="F170" s="4" t="str">
        <f aca="false">IFERROR(__xludf.dummyfunction("""COMPUTED_VALUE"""),"GOIÂNIA")</f>
        <v>GOIÂNIA</v>
      </c>
      <c r="G170" s="4" t="str">
        <f aca="false">IFERROR(__xludf.dummyfunction("""COMPUTED_VALUE"""),"DIREITO")</f>
        <v>DIREITO</v>
      </c>
      <c r="H170" s="4" t="str">
        <f aca="false">IFERROR(__xludf.dummyfunction("""COMPUTED_VALUE"""),"CONTRATADO")</f>
        <v>CONTRATADO</v>
      </c>
    </row>
    <row r="171" customFormat="false" ht="13.8" hidden="false" customHeight="false" outlineLevel="0" collapsed="false">
      <c r="A171" s="4" t="n">
        <f aca="false">IFERROR(__xludf.dummyfunction("""COMPUTED_VALUE"""),170)</f>
        <v>170</v>
      </c>
      <c r="B171" s="5" t="str">
        <f aca="false">IFERROR(__xludf.dummyfunction("""COMPUTED_VALUE"""),"MATEUS FELIPE DE OLIVEIRA")</f>
        <v>MATEUS FELIPE DE OLIVEIRA</v>
      </c>
      <c r="C171" s="5"/>
      <c r="D171" s="5"/>
      <c r="E171" s="5" t="str">
        <f aca="false">IFERROR(__xludf.dummyfunction("""COMPUTED_VALUE"""),"GO")</f>
        <v>GO</v>
      </c>
      <c r="F171" s="4" t="str">
        <f aca="false">IFERROR(__xludf.dummyfunction("""COMPUTED_VALUE"""),"SANCLERLÂNDIA")</f>
        <v>SANCLERLÂNDIA</v>
      </c>
      <c r="G171" s="4" t="str">
        <f aca="false">IFERROR(__xludf.dummyfunction("""COMPUTED_VALUE"""),"DIREITO")</f>
        <v>DIREITO</v>
      </c>
      <c r="H171" s="4" t="str">
        <f aca="false">IFERROR(__xludf.dummyfunction("""COMPUTED_VALUE"""),"DESCLASSIFICADO")</f>
        <v>DESCLASSIFICADO</v>
      </c>
    </row>
    <row r="172" customFormat="false" ht="13.8" hidden="false" customHeight="false" outlineLevel="0" collapsed="false">
      <c r="A172" s="4" t="n">
        <f aca="false">IFERROR(__xludf.dummyfunction("""COMPUTED_VALUE"""),171)</f>
        <v>171</v>
      </c>
      <c r="B172" s="5" t="str">
        <f aca="false">IFERROR(__xludf.dummyfunction("""COMPUTED_VALUE"""),"VERONICA FREITAS RIBEIRO")</f>
        <v>VERONICA FREITAS RIBEIRO</v>
      </c>
      <c r="C172" s="5"/>
      <c r="D172" s="5"/>
      <c r="E172" s="5" t="str">
        <f aca="false">IFERROR(__xludf.dummyfunction("""COMPUTED_VALUE"""),"GO")</f>
        <v>GO</v>
      </c>
      <c r="F172" s="4" t="str">
        <f aca="false">IFERROR(__xludf.dummyfunction("""COMPUTED_VALUE"""),"SÃO SIMÃO")</f>
        <v>SÃO SIMÃO</v>
      </c>
      <c r="G172" s="4" t="str">
        <f aca="false">IFERROR(__xludf.dummyfunction("""COMPUTED_VALUE"""),"DIREITO")</f>
        <v>DIREITO</v>
      </c>
      <c r="H172" s="4" t="str">
        <f aca="false">IFERROR(__xludf.dummyfunction("""COMPUTED_VALUE"""),"DESCLASSIFICADO")</f>
        <v>DESCLASSIFICADO</v>
      </c>
    </row>
    <row r="173" customFormat="false" ht="13.8" hidden="false" customHeight="false" outlineLevel="0" collapsed="false">
      <c r="A173" s="4" t="n">
        <f aca="false">IFERROR(__xludf.dummyfunction("""COMPUTED_VALUE"""),172)</f>
        <v>172</v>
      </c>
      <c r="B173" s="5" t="str">
        <f aca="false">IFERROR(__xludf.dummyfunction("""COMPUTED_VALUE"""),"MARILIA DE OLIVEIRA ALVES")</f>
        <v>MARILIA DE OLIVEIRA ALVES</v>
      </c>
      <c r="C173" s="5"/>
      <c r="D173" s="5"/>
      <c r="E173" s="5" t="str">
        <f aca="false">IFERROR(__xludf.dummyfunction("""COMPUTED_VALUE"""),"DF")</f>
        <v>DF</v>
      </c>
      <c r="F173" s="4" t="str">
        <f aca="false">IFERROR(__xludf.dummyfunction("""COMPUTED_VALUE"""),"BRASÍLIA")</f>
        <v>BRASÍLIA</v>
      </c>
      <c r="G173" s="4" t="str">
        <f aca="false">IFERROR(__xludf.dummyfunction("""COMPUTED_VALUE"""),"DIREITO")</f>
        <v>DIREITO</v>
      </c>
      <c r="H173" s="4" t="str">
        <f aca="false">IFERROR(__xludf.dummyfunction("""COMPUTED_VALUE"""),"DESCLASSIFICADO")</f>
        <v>DESCLASSIFICADO</v>
      </c>
    </row>
    <row r="174" customFormat="false" ht="13.8" hidden="false" customHeight="false" outlineLevel="0" collapsed="false">
      <c r="A174" s="4" t="n">
        <f aca="false">IFERROR(__xludf.dummyfunction("""COMPUTED_VALUE"""),173)</f>
        <v>173</v>
      </c>
      <c r="B174" s="5" t="str">
        <f aca="false">IFERROR(__xludf.dummyfunction("""COMPUTED_VALUE"""),"CLARA CORIOLANO DA COSTA")</f>
        <v>CLARA CORIOLANO DA COSTA</v>
      </c>
      <c r="C174" s="5"/>
      <c r="D174" s="5"/>
      <c r="E174" s="5" t="str">
        <f aca="false">IFERROR(__xludf.dummyfunction("""COMPUTED_VALUE"""),"GO")</f>
        <v>GO</v>
      </c>
      <c r="F174" s="4" t="str">
        <f aca="false">IFERROR(__xludf.dummyfunction("""COMPUTED_VALUE"""),"APARECIDA DE GOIÂNIA")</f>
        <v>APARECIDA DE GOIÂNIA</v>
      </c>
      <c r="G174" s="4" t="str">
        <f aca="false">IFERROR(__xludf.dummyfunction("""COMPUTED_VALUE"""),"DIREITO")</f>
        <v>DIREITO</v>
      </c>
      <c r="H174" s="4" t="str">
        <f aca="false">IFERROR(__xludf.dummyfunction("""COMPUTED_VALUE"""),"DESCLASSIFICADO")</f>
        <v>DESCLASSIFICADO</v>
      </c>
    </row>
    <row r="175" customFormat="false" ht="13.8" hidden="false" customHeight="false" outlineLevel="0" collapsed="false">
      <c r="A175" s="4" t="n">
        <f aca="false">IFERROR(__xludf.dummyfunction("""COMPUTED_VALUE"""),174)</f>
        <v>174</v>
      </c>
      <c r="B175" s="5" t="str">
        <f aca="false">IFERROR(__xludf.dummyfunction("""COMPUTED_VALUE"""),"MARCELO SCHINDEL COSTA")</f>
        <v>MARCELO SCHINDEL COSTA</v>
      </c>
      <c r="C175" s="5" t="str">
        <f aca="false">IFERROR(__xludf.dummyfunction("""COMPUTED_VALUE"""),"NEGRO")</f>
        <v>NEGRO</v>
      </c>
      <c r="D175" s="5"/>
      <c r="E175" s="5" t="str">
        <f aca="false">IFERROR(__xludf.dummyfunction("""COMPUTED_VALUE"""),"GO")</f>
        <v>GO</v>
      </c>
      <c r="F175" s="4" t="str">
        <f aca="false">IFERROR(__xludf.dummyfunction("""COMPUTED_VALUE"""),"GOIÂNIA")</f>
        <v>GOIÂNIA</v>
      </c>
      <c r="G175" s="4" t="str">
        <f aca="false">IFERROR(__xludf.dummyfunction("""COMPUTED_VALUE"""),"DIREITO")</f>
        <v>DIREITO</v>
      </c>
      <c r="H175" s="4" t="str">
        <f aca="false">IFERROR(__xludf.dummyfunction("""COMPUTED_VALUE"""),"CONTRATADO")</f>
        <v>CONTRATADO</v>
      </c>
    </row>
    <row r="176" customFormat="false" ht="13.8" hidden="false" customHeight="false" outlineLevel="0" collapsed="false">
      <c r="A176" s="4" t="n">
        <f aca="false">IFERROR(__xludf.dummyfunction("""COMPUTED_VALUE"""),175)</f>
        <v>175</v>
      </c>
      <c r="B176" s="5" t="str">
        <f aca="false">IFERROR(__xludf.dummyfunction("""COMPUTED_VALUE"""),"EMANUELLE CRISTINA CAMPOS RODRIGUES")</f>
        <v>EMANUELLE CRISTINA CAMPOS RODRIGUES</v>
      </c>
      <c r="C176" s="5"/>
      <c r="D176" s="5"/>
      <c r="E176" s="5" t="str">
        <f aca="false">IFERROR(__xludf.dummyfunction("""COMPUTED_VALUE"""),"GO")</f>
        <v>GO</v>
      </c>
      <c r="F176" s="4" t="str">
        <f aca="false">IFERROR(__xludf.dummyfunction("""COMPUTED_VALUE"""),"GOIÂNIA")</f>
        <v>GOIÂNIA</v>
      </c>
      <c r="G176" s="4" t="str">
        <f aca="false">IFERROR(__xludf.dummyfunction("""COMPUTED_VALUE"""),"DIREITO")</f>
        <v>DIREITO</v>
      </c>
      <c r="H176" s="4" t="str">
        <f aca="false">IFERROR(__xludf.dummyfunction("""COMPUTED_VALUE"""),"CONTRATADO")</f>
        <v>CONTRATADO</v>
      </c>
    </row>
    <row r="177" customFormat="false" ht="13.8" hidden="false" customHeight="false" outlineLevel="0" collapsed="false">
      <c r="A177" s="4" t="n">
        <f aca="false">IFERROR(__xludf.dummyfunction("""COMPUTED_VALUE"""),176)</f>
        <v>176</v>
      </c>
      <c r="B177" s="5" t="str">
        <f aca="false">IFERROR(__xludf.dummyfunction("""COMPUTED_VALUE"""),"DÉBORA VICTÓRIA RODRIGUES SOUSA ")</f>
        <v>DÉBORA VICTÓRIA RODRIGUES SOUSA</v>
      </c>
      <c r="C177" s="5" t="str">
        <f aca="false">IFERROR(__xludf.dummyfunction("""COMPUTED_VALUE"""),"NEGRO")</f>
        <v>NEGRO</v>
      </c>
      <c r="D177" s="5"/>
      <c r="E177" s="5" t="str">
        <f aca="false">IFERROR(__xludf.dummyfunction("""COMPUTED_VALUE"""),"GO")</f>
        <v>GO</v>
      </c>
      <c r="F177" s="4" t="str">
        <f aca="false">IFERROR(__xludf.dummyfunction("""COMPUTED_VALUE"""),"SENADOR CANEDO")</f>
        <v>SENADOR CANEDO</v>
      </c>
      <c r="G177" s="4" t="str">
        <f aca="false">IFERROR(__xludf.dummyfunction("""COMPUTED_VALUE"""),"DIREITO")</f>
        <v>DIREITO</v>
      </c>
      <c r="H177" s="4" t="str">
        <f aca="false">IFERROR(__xludf.dummyfunction("""COMPUTED_VALUE"""),"CONTRATADO")</f>
        <v>CONTRATADO</v>
      </c>
    </row>
    <row r="178" customFormat="false" ht="13.8" hidden="false" customHeight="false" outlineLevel="0" collapsed="false">
      <c r="A178" s="4" t="n">
        <f aca="false">IFERROR(__xludf.dummyfunction("""COMPUTED_VALUE"""),177)</f>
        <v>177</v>
      </c>
      <c r="B178" s="5" t="str">
        <f aca="false">IFERROR(__xludf.dummyfunction("""COMPUTED_VALUE"""),"ARIANE BARBOSA E SILVA")</f>
        <v>ARIANE BARBOSA E SILVA</v>
      </c>
      <c r="C178" s="5"/>
      <c r="D178" s="5"/>
      <c r="E178" s="5" t="str">
        <f aca="false">IFERROR(__xludf.dummyfunction("""COMPUTED_VALUE"""),"GO")</f>
        <v>GO</v>
      </c>
      <c r="F178" s="4" t="str">
        <f aca="false">IFERROR(__xludf.dummyfunction("""COMPUTED_VALUE"""),"APARECIDA DE GOIÂNIA")</f>
        <v>APARECIDA DE GOIÂNIA</v>
      </c>
      <c r="G178" s="4" t="str">
        <f aca="false">IFERROR(__xludf.dummyfunction("""COMPUTED_VALUE"""),"DIREITO")</f>
        <v>DIREITO</v>
      </c>
      <c r="H178" s="4" t="str">
        <f aca="false">IFERROR(__xludf.dummyfunction("""COMPUTED_VALUE"""),"CONTRATADO")</f>
        <v>CONTRATADO</v>
      </c>
    </row>
    <row r="179" customFormat="false" ht="13.8" hidden="false" customHeight="false" outlineLevel="0" collapsed="false">
      <c r="A179" s="4" t="n">
        <f aca="false">IFERROR(__xludf.dummyfunction("""COMPUTED_VALUE"""),178)</f>
        <v>178</v>
      </c>
      <c r="B179" s="5" t="str">
        <f aca="false">IFERROR(__xludf.dummyfunction("""COMPUTED_VALUE"""),"AMANDA VIEIRA LELIS")</f>
        <v>AMANDA VIEIRA LELIS</v>
      </c>
      <c r="C179" s="5"/>
      <c r="D179" s="5"/>
      <c r="E179" s="5" t="str">
        <f aca="false">IFERROR(__xludf.dummyfunction("""COMPUTED_VALUE"""),"GO")</f>
        <v>GO</v>
      </c>
      <c r="F179" s="4" t="str">
        <f aca="false">IFERROR(__xludf.dummyfunction("""COMPUTED_VALUE"""),"GOIÂNIA")</f>
        <v>GOIÂNIA</v>
      </c>
      <c r="G179" s="4" t="str">
        <f aca="false">IFERROR(__xludf.dummyfunction("""COMPUTED_VALUE"""),"DIREITO")</f>
        <v>DIREITO</v>
      </c>
      <c r="H179" s="4" t="str">
        <f aca="false">IFERROR(__xludf.dummyfunction("""COMPUTED_VALUE"""),"CONTRATADO")</f>
        <v>CONTRATADO</v>
      </c>
    </row>
    <row r="180" customFormat="false" ht="13.8" hidden="false" customHeight="false" outlineLevel="0" collapsed="false">
      <c r="A180" s="4" t="n">
        <f aca="false">IFERROR(__xludf.dummyfunction("""COMPUTED_VALUE"""),179)</f>
        <v>179</v>
      </c>
      <c r="B180" s="5" t="str">
        <f aca="false">IFERROR(__xludf.dummyfunction("""COMPUTED_VALUE"""),"GUSTAVO VIEIRA SANTOS")</f>
        <v>GUSTAVO VIEIRA SANTOS</v>
      </c>
      <c r="C180" s="5"/>
      <c r="D180" s="5"/>
      <c r="E180" s="5" t="str">
        <f aca="false">IFERROR(__xludf.dummyfunction("""COMPUTED_VALUE"""),"GO")</f>
        <v>GO</v>
      </c>
      <c r="F180" s="4" t="str">
        <f aca="false">IFERROR(__xludf.dummyfunction("""COMPUTED_VALUE"""),"APARECIDA DE GOIÂNIA")</f>
        <v>APARECIDA DE GOIÂNIA</v>
      </c>
      <c r="G180" s="4" t="str">
        <f aca="false">IFERROR(__xludf.dummyfunction("""COMPUTED_VALUE"""),"DIREITO")</f>
        <v>DIREITO</v>
      </c>
      <c r="H180" s="4" t="str">
        <f aca="false">IFERROR(__xludf.dummyfunction("""COMPUTED_VALUE"""),"DESCLASSIFICADO")</f>
        <v>DESCLASSIFICADO</v>
      </c>
    </row>
    <row r="181" customFormat="false" ht="13.8" hidden="false" customHeight="false" outlineLevel="0" collapsed="false">
      <c r="A181" s="4" t="n">
        <f aca="false">IFERROR(__xludf.dummyfunction("""COMPUTED_VALUE"""),180)</f>
        <v>180</v>
      </c>
      <c r="B181" s="5" t="str">
        <f aca="false">IFERROR(__xludf.dummyfunction("""COMPUTED_VALUE"""),"IGOR MARTINS DUTRA DE OLIVEIRA")</f>
        <v>IGOR MARTINS DUTRA DE OLIVEIRA</v>
      </c>
      <c r="C181" s="5"/>
      <c r="D181" s="5"/>
      <c r="E181" s="5" t="str">
        <f aca="false">IFERROR(__xludf.dummyfunction("""COMPUTED_VALUE"""),"GO")</f>
        <v>GO</v>
      </c>
      <c r="F181" s="4" t="str">
        <f aca="false">IFERROR(__xludf.dummyfunction("""COMPUTED_VALUE"""),"GOIÂNIA")</f>
        <v>GOIÂNIA</v>
      </c>
      <c r="G181" s="4" t="str">
        <f aca="false">IFERROR(__xludf.dummyfunction("""COMPUTED_VALUE"""),"DIREITO")</f>
        <v>DIREITO</v>
      </c>
      <c r="H181" s="4" t="str">
        <f aca="false">IFERROR(__xludf.dummyfunction("""COMPUTED_VALUE"""),"DESCLASSIFICADO")</f>
        <v>DESCLASSIFICADO</v>
      </c>
    </row>
    <row r="182" customFormat="false" ht="13.8" hidden="false" customHeight="false" outlineLevel="0" collapsed="false">
      <c r="A182" s="4" t="n">
        <f aca="false">IFERROR(__xludf.dummyfunction("""COMPUTED_VALUE"""),181)</f>
        <v>181</v>
      </c>
      <c r="B182" s="5" t="str">
        <f aca="false">IFERROR(__xludf.dummyfunction("""COMPUTED_VALUE"""),"THAINARA BARROSO DA COSTA")</f>
        <v>THAINARA BARROSO DA COSTA</v>
      </c>
      <c r="C182" s="5"/>
      <c r="D182" s="5"/>
      <c r="E182" s="5" t="str">
        <f aca="false">IFERROR(__xludf.dummyfunction("""COMPUTED_VALUE"""),"GO")</f>
        <v>GO</v>
      </c>
      <c r="F182" s="4" t="str">
        <f aca="false">IFERROR(__xludf.dummyfunction("""COMPUTED_VALUE"""),"APARECIDA DE GOIÂNIA")</f>
        <v>APARECIDA DE GOIÂNIA</v>
      </c>
      <c r="G182" s="4" t="str">
        <f aca="false">IFERROR(__xludf.dummyfunction("""COMPUTED_VALUE"""),"DIREITO")</f>
        <v>DIREITO</v>
      </c>
      <c r="H182" s="4" t="str">
        <f aca="false">IFERROR(__xludf.dummyfunction("""COMPUTED_VALUE"""),"CONTRATADO")</f>
        <v>CONTRATADO</v>
      </c>
    </row>
    <row r="183" customFormat="false" ht="13.8" hidden="false" customHeight="false" outlineLevel="0" collapsed="false">
      <c r="A183" s="4" t="n">
        <f aca="false">IFERROR(__xludf.dummyfunction("""COMPUTED_VALUE"""),182)</f>
        <v>182</v>
      </c>
      <c r="B183" s="5" t="str">
        <f aca="false">IFERROR(__xludf.dummyfunction("""COMPUTED_VALUE"""),"BÁRBARA FERNANDA MARTINS E SILVA")</f>
        <v>BÁRBARA FERNANDA MARTINS E SILVA</v>
      </c>
      <c r="C183" s="5"/>
      <c r="D183" s="5"/>
      <c r="E183" s="5" t="str">
        <f aca="false">IFERROR(__xludf.dummyfunction("""COMPUTED_VALUE"""),"GO")</f>
        <v>GO</v>
      </c>
      <c r="F183" s="4" t="str">
        <f aca="false">IFERROR(__xludf.dummyfunction("""COMPUTED_VALUE"""),"APARECIDA DE GOIÂNIA")</f>
        <v>APARECIDA DE GOIÂNIA</v>
      </c>
      <c r="G183" s="4" t="str">
        <f aca="false">IFERROR(__xludf.dummyfunction("""COMPUTED_VALUE"""),"DIREITO")</f>
        <v>DIREITO</v>
      </c>
      <c r="H183" s="4" t="str">
        <f aca="false">IFERROR(__xludf.dummyfunction("""COMPUTED_VALUE"""),"CONTRATADO")</f>
        <v>CONTRATADO</v>
      </c>
    </row>
    <row r="184" customFormat="false" ht="13.8" hidden="false" customHeight="false" outlineLevel="0" collapsed="false">
      <c r="A184" s="4" t="n">
        <f aca="false">IFERROR(__xludf.dummyfunction("""COMPUTED_VALUE"""),183)</f>
        <v>183</v>
      </c>
      <c r="B184" s="5" t="str">
        <f aca="false">IFERROR(__xludf.dummyfunction("""COMPUTED_VALUE"""),"HEVELLY MARIA RODRIGUES COSTA")</f>
        <v>HEVELLY MARIA RODRIGUES COSTA</v>
      </c>
      <c r="C184" s="5"/>
      <c r="D184" s="5"/>
      <c r="E184" s="5" t="str">
        <f aca="false">IFERROR(__xludf.dummyfunction("""COMPUTED_VALUE"""),"GO")</f>
        <v>GO</v>
      </c>
      <c r="F184" s="4" t="str">
        <f aca="false">IFERROR(__xludf.dummyfunction("""COMPUTED_VALUE"""),"APARECIDA DE GOIÂNIA")</f>
        <v>APARECIDA DE GOIÂNIA</v>
      </c>
      <c r="G184" s="4" t="str">
        <f aca="false">IFERROR(__xludf.dummyfunction("""COMPUTED_VALUE"""),"DIREITO")</f>
        <v>DIREITO</v>
      </c>
      <c r="H184" s="4" t="str">
        <f aca="false">IFERROR(__xludf.dummyfunction("""COMPUTED_VALUE"""),"CONTRATADO")</f>
        <v>CONTRATADO</v>
      </c>
    </row>
    <row r="185" customFormat="false" ht="13.8" hidden="false" customHeight="false" outlineLevel="0" collapsed="false">
      <c r="A185" s="4" t="n">
        <f aca="false">IFERROR(__xludf.dummyfunction("""COMPUTED_VALUE"""),184)</f>
        <v>184</v>
      </c>
      <c r="B185" s="5" t="str">
        <f aca="false">IFERROR(__xludf.dummyfunction("""COMPUTED_VALUE"""),"ISABELLA SOUSA OLIVEIRA")</f>
        <v>ISABELLA SOUSA OLIVEIRA</v>
      </c>
      <c r="C185" s="5"/>
      <c r="D185" s="5"/>
      <c r="E185" s="5" t="str">
        <f aca="false">IFERROR(__xludf.dummyfunction("""COMPUTED_VALUE"""),"GO")</f>
        <v>GO</v>
      </c>
      <c r="F185" s="4" t="str">
        <f aca="false">IFERROR(__xludf.dummyfunction("""COMPUTED_VALUE"""),"MINEIROS")</f>
        <v>MINEIROS</v>
      </c>
      <c r="G185" s="4" t="str">
        <f aca="false">IFERROR(__xludf.dummyfunction("""COMPUTED_VALUE"""),"DIREITO")</f>
        <v>DIREITO</v>
      </c>
      <c r="H185" s="4" t="str">
        <f aca="false">IFERROR(__xludf.dummyfunction("""COMPUTED_VALUE"""),"DESCLASSIFICADO")</f>
        <v>DESCLASSIFICADO</v>
      </c>
    </row>
    <row r="186" customFormat="false" ht="13.8" hidden="false" customHeight="false" outlineLevel="0" collapsed="false">
      <c r="A186" s="4" t="n">
        <f aca="false">IFERROR(__xludf.dummyfunction("""COMPUTED_VALUE"""),185)</f>
        <v>185</v>
      </c>
      <c r="B186" s="5" t="str">
        <f aca="false">IFERROR(__xludf.dummyfunction("""COMPUTED_VALUE"""),"VANESSA LEAL SILVA")</f>
        <v>VANESSA LEAL SILVA</v>
      </c>
      <c r="C186" s="5"/>
      <c r="D186" s="5"/>
      <c r="E186" s="5" t="str">
        <f aca="false">IFERROR(__xludf.dummyfunction("""COMPUTED_VALUE"""),"GO")</f>
        <v>GO</v>
      </c>
      <c r="F186" s="4" t="str">
        <f aca="false">IFERROR(__xludf.dummyfunction("""COMPUTED_VALUE"""),"APARECIDA DE GOIÂNIA")</f>
        <v>APARECIDA DE GOIÂNIA</v>
      </c>
      <c r="G186" s="4" t="str">
        <f aca="false">IFERROR(__xludf.dummyfunction("""COMPUTED_VALUE"""),"DIREITO")</f>
        <v>DIREITO</v>
      </c>
      <c r="H186" s="4" t="str">
        <f aca="false">IFERROR(__xludf.dummyfunction("""COMPUTED_VALUE"""),"CONTRATADO")</f>
        <v>CONTRATADO</v>
      </c>
    </row>
    <row r="187" customFormat="false" ht="13.8" hidden="false" customHeight="false" outlineLevel="0" collapsed="false">
      <c r="A187" s="4" t="n">
        <f aca="false">IFERROR(__xludf.dummyfunction("""COMPUTED_VALUE"""),186)</f>
        <v>186</v>
      </c>
      <c r="B187" s="5" t="str">
        <f aca="false">IFERROR(__xludf.dummyfunction("""COMPUTED_VALUE"""),"SABRINA DOS REIS MOREIRA ")</f>
        <v>SABRINA DOS REIS MOREIRA</v>
      </c>
      <c r="C187" s="5"/>
      <c r="D187" s="5"/>
      <c r="E187" s="5" t="str">
        <f aca="false">IFERROR(__xludf.dummyfunction("""COMPUTED_VALUE"""),"GO")</f>
        <v>GO</v>
      </c>
      <c r="F187" s="4" t="str">
        <f aca="false">IFERROR(__xludf.dummyfunction("""COMPUTED_VALUE"""),"GOIÂNIA")</f>
        <v>GOIÂNIA</v>
      </c>
      <c r="G187" s="4" t="str">
        <f aca="false">IFERROR(__xludf.dummyfunction("""COMPUTED_VALUE"""),"DIREITO")</f>
        <v>DIREITO</v>
      </c>
      <c r="H187" s="4" t="str">
        <f aca="false">IFERROR(__xludf.dummyfunction("""COMPUTED_VALUE"""),"CONTRATADO")</f>
        <v>CONTRATADO</v>
      </c>
    </row>
    <row r="188" customFormat="false" ht="13.8" hidden="false" customHeight="false" outlineLevel="0" collapsed="false">
      <c r="A188" s="4" t="n">
        <f aca="false">IFERROR(__xludf.dummyfunction("""COMPUTED_VALUE"""),187)</f>
        <v>187</v>
      </c>
      <c r="B188" s="5" t="str">
        <f aca="false">IFERROR(__xludf.dummyfunction("""COMPUTED_VALUE"""),"JOSILENE LUIZ CORDEIRO ")</f>
        <v>JOSILENE LUIZ CORDEIRO</v>
      </c>
      <c r="C188" s="5"/>
      <c r="D188" s="5"/>
      <c r="E188" s="5" t="str">
        <f aca="false">IFERROR(__xludf.dummyfunction("""COMPUTED_VALUE"""),"GO")</f>
        <v>GO</v>
      </c>
      <c r="F188" s="4" t="str">
        <f aca="false">IFERROR(__xludf.dummyfunction("""COMPUTED_VALUE"""),"APARECIDA DE GOIÂNIA")</f>
        <v>APARECIDA DE GOIÂNIA</v>
      </c>
      <c r="G188" s="4" t="str">
        <f aca="false">IFERROR(__xludf.dummyfunction("""COMPUTED_VALUE"""),"DIREITO")</f>
        <v>DIREITO</v>
      </c>
      <c r="H188" s="4" t="str">
        <f aca="false">IFERROR(__xludf.dummyfunction("""COMPUTED_VALUE"""),"DESCLASSIFICADO")</f>
        <v>DESCLASSIFICADO</v>
      </c>
    </row>
    <row r="189" customFormat="false" ht="13.8" hidden="false" customHeight="false" outlineLevel="0" collapsed="false">
      <c r="A189" s="4" t="n">
        <f aca="false">IFERROR(__xludf.dummyfunction("""COMPUTED_VALUE"""),188)</f>
        <v>188</v>
      </c>
      <c r="B189" s="5" t="str">
        <f aca="false">IFERROR(__xludf.dummyfunction("""COMPUTED_VALUE"""),"ANA CAROLINE OLIVEIRA DOS REIS ")</f>
        <v>ANA CAROLINE OLIVEIRA DOS REIS</v>
      </c>
      <c r="C189" s="5"/>
      <c r="D189" s="5"/>
      <c r="E189" s="5" t="str">
        <f aca="false">IFERROR(__xludf.dummyfunction("""COMPUTED_VALUE"""),"DF")</f>
        <v>DF</v>
      </c>
      <c r="F189" s="4" t="str">
        <f aca="false">IFERROR(__xludf.dummyfunction("""COMPUTED_VALUE"""),"BRASÍLIA")</f>
        <v>BRASÍLIA</v>
      </c>
      <c r="G189" s="4" t="str">
        <f aca="false">IFERROR(__xludf.dummyfunction("""COMPUTED_VALUE"""),"DIREITO")</f>
        <v>DIREITO</v>
      </c>
      <c r="H189" s="4" t="str">
        <f aca="false">IFERROR(__xludf.dummyfunction("""COMPUTED_VALUE"""),"DESCLASSIFICADO")</f>
        <v>DESCLASSIFICADO</v>
      </c>
    </row>
    <row r="190" customFormat="false" ht="13.8" hidden="false" customHeight="false" outlineLevel="0" collapsed="false">
      <c r="A190" s="4" t="n">
        <f aca="false">IFERROR(__xludf.dummyfunction("""COMPUTED_VALUE"""),189)</f>
        <v>189</v>
      </c>
      <c r="B190" s="5" t="str">
        <f aca="false">IFERROR(__xludf.dummyfunction("""COMPUTED_VALUE"""),"GUSTAVO PEREIRA DE SOUSA")</f>
        <v>GUSTAVO PEREIRA DE SOUSA</v>
      </c>
      <c r="C190" s="5"/>
      <c r="D190" s="5"/>
      <c r="E190" s="5" t="str">
        <f aca="false">IFERROR(__xludf.dummyfunction("""COMPUTED_VALUE"""),"GO")</f>
        <v>GO</v>
      </c>
      <c r="F190" s="4" t="str">
        <f aca="false">IFERROR(__xludf.dummyfunction("""COMPUTED_VALUE"""),"GOIÂNIA")</f>
        <v>GOIÂNIA</v>
      </c>
      <c r="G190" s="4" t="str">
        <f aca="false">IFERROR(__xludf.dummyfunction("""COMPUTED_VALUE"""),"DIREITO")</f>
        <v>DIREITO</v>
      </c>
      <c r="H190" s="4" t="str">
        <f aca="false">IFERROR(__xludf.dummyfunction("""COMPUTED_VALUE"""),"CONTRATADO")</f>
        <v>CONTRATADO</v>
      </c>
    </row>
    <row r="191" customFormat="false" ht="13.8" hidden="false" customHeight="false" outlineLevel="0" collapsed="false">
      <c r="A191" s="4" t="n">
        <f aca="false">IFERROR(__xludf.dummyfunction("""COMPUTED_VALUE"""),190)</f>
        <v>190</v>
      </c>
      <c r="B191" s="5" t="str">
        <f aca="false">IFERROR(__xludf.dummyfunction("""COMPUTED_VALUE"""),"EDUARDO BORGES PEIXOTO")</f>
        <v>EDUARDO BORGES PEIXOTO</v>
      </c>
      <c r="C191" s="5"/>
      <c r="D191" s="5"/>
      <c r="E191" s="5" t="str">
        <f aca="false">IFERROR(__xludf.dummyfunction("""COMPUTED_VALUE"""),"GO")</f>
        <v>GO</v>
      </c>
      <c r="F191" s="4" t="str">
        <f aca="false">IFERROR(__xludf.dummyfunction("""COMPUTED_VALUE"""),"VALPARAÍSO DE GOIÁS")</f>
        <v>VALPARAÍSO DE GOIÁS</v>
      </c>
      <c r="G191" s="4" t="str">
        <f aca="false">IFERROR(__xludf.dummyfunction("""COMPUTED_VALUE"""),"DIREITO")</f>
        <v>DIREITO</v>
      </c>
      <c r="H191" s="4" t="str">
        <f aca="false">IFERROR(__xludf.dummyfunction("""COMPUTED_VALUE"""),"CONTRATADO")</f>
        <v>CONTRATADO</v>
      </c>
    </row>
    <row r="192" customFormat="false" ht="13.8" hidden="false" customHeight="false" outlineLevel="0" collapsed="false">
      <c r="A192" s="4" t="n">
        <f aca="false">IFERROR(__xludf.dummyfunction("""COMPUTED_VALUE"""),191)</f>
        <v>191</v>
      </c>
      <c r="B192" s="5" t="str">
        <f aca="false">IFERROR(__xludf.dummyfunction("""COMPUTED_VALUE"""),"GABRYELLA DE BORBA ")</f>
        <v>GABRYELLA DE BORBA</v>
      </c>
      <c r="C192" s="5"/>
      <c r="D192" s="5"/>
      <c r="E192" s="5" t="str">
        <f aca="false">IFERROR(__xludf.dummyfunction("""COMPUTED_VALUE"""),"GO")</f>
        <v>GO</v>
      </c>
      <c r="F192" s="4" t="str">
        <f aca="false">IFERROR(__xludf.dummyfunction("""COMPUTED_VALUE"""),"GOIÂNIA")</f>
        <v>GOIÂNIA</v>
      </c>
      <c r="G192" s="4" t="str">
        <f aca="false">IFERROR(__xludf.dummyfunction("""COMPUTED_VALUE"""),"DIREITO")</f>
        <v>DIREITO</v>
      </c>
      <c r="H192" s="4" t="str">
        <f aca="false">IFERROR(__xludf.dummyfunction("""COMPUTED_VALUE"""),"CONTRATADO")</f>
        <v>CONTRATADO</v>
      </c>
    </row>
    <row r="193" customFormat="false" ht="13.8" hidden="false" customHeight="false" outlineLevel="0" collapsed="false">
      <c r="A193" s="4" t="n">
        <f aca="false">IFERROR(__xludf.dummyfunction("""COMPUTED_VALUE"""),192)</f>
        <v>192</v>
      </c>
      <c r="B193" s="5" t="str">
        <f aca="false">IFERROR(__xludf.dummyfunction("""COMPUTED_VALUE"""),"NAIARA DUARTE FERREIRA ")</f>
        <v>NAIARA DUARTE FERREIRA</v>
      </c>
      <c r="C193" s="5"/>
      <c r="D193" s="5"/>
      <c r="E193" s="5" t="str">
        <f aca="false">IFERROR(__xludf.dummyfunction("""COMPUTED_VALUE"""),"GO")</f>
        <v>GO</v>
      </c>
      <c r="F193" s="4" t="str">
        <f aca="false">IFERROR(__xludf.dummyfunction("""COMPUTED_VALUE"""),"APARECIDA DE GOIÂNIA")</f>
        <v>APARECIDA DE GOIÂNIA</v>
      </c>
      <c r="G193" s="4" t="str">
        <f aca="false">IFERROR(__xludf.dummyfunction("""COMPUTED_VALUE"""),"DIREITO")</f>
        <v>DIREITO</v>
      </c>
      <c r="H193" s="4" t="str">
        <f aca="false">IFERROR(__xludf.dummyfunction("""COMPUTED_VALUE"""),"CONTRATADO")</f>
        <v>CONTRATADO</v>
      </c>
    </row>
    <row r="194" customFormat="false" ht="13.8" hidden="false" customHeight="false" outlineLevel="0" collapsed="false">
      <c r="A194" s="4" t="n">
        <f aca="false">IFERROR(__xludf.dummyfunction("""COMPUTED_VALUE"""),193)</f>
        <v>193</v>
      </c>
      <c r="B194" s="5" t="str">
        <f aca="false">IFERROR(__xludf.dummyfunction("""COMPUTED_VALUE"""),"ANDREZA APOLINÁRIA LEITE DE SOUZA")</f>
        <v>ANDREZA APOLINÁRIA LEITE DE SOUZA</v>
      </c>
      <c r="C194" s="5"/>
      <c r="D194" s="5"/>
      <c r="E194" s="5" t="str">
        <f aca="false">IFERROR(__xludf.dummyfunction("""COMPUTED_VALUE"""),"DF")</f>
        <v>DF</v>
      </c>
      <c r="F194" s="4" t="str">
        <f aca="false">IFERROR(__xludf.dummyfunction("""COMPUTED_VALUE"""),"BRASÍLIA")</f>
        <v>BRASÍLIA</v>
      </c>
      <c r="G194" s="4" t="str">
        <f aca="false">IFERROR(__xludf.dummyfunction("""COMPUTED_VALUE"""),"DIREITO")</f>
        <v>DIREITO</v>
      </c>
      <c r="H194" s="4" t="str">
        <f aca="false">IFERROR(__xludf.dummyfunction("""COMPUTED_VALUE"""),"CONTRATADO")</f>
        <v>CONTRATADO</v>
      </c>
    </row>
    <row r="195" customFormat="false" ht="13.8" hidden="false" customHeight="false" outlineLevel="0" collapsed="false">
      <c r="A195" s="4" t="n">
        <f aca="false">IFERROR(__xludf.dummyfunction("""COMPUTED_VALUE"""),194)</f>
        <v>194</v>
      </c>
      <c r="B195" s="5" t="str">
        <f aca="false">IFERROR(__xludf.dummyfunction("""COMPUTED_VALUE"""),"LUANNA LORRAINY FLORIANO FUZETT")</f>
        <v>LUANNA LORRAINY FLORIANO FUZETT</v>
      </c>
      <c r="C195" s="5"/>
      <c r="D195" s="5"/>
      <c r="E195" s="5" t="str">
        <f aca="false">IFERROR(__xludf.dummyfunction("""COMPUTED_VALUE"""),"GO")</f>
        <v>GO</v>
      </c>
      <c r="F195" s="4" t="str">
        <f aca="false">IFERROR(__xludf.dummyfunction("""COMPUTED_VALUE"""),"MONTES CLAROS DE GOIÁS")</f>
        <v>MONTES CLAROS DE GOIÁS</v>
      </c>
      <c r="G195" s="4" t="str">
        <f aca="false">IFERROR(__xludf.dummyfunction("""COMPUTED_VALUE"""),"DIREITO")</f>
        <v>DIREITO</v>
      </c>
      <c r="H195" s="4" t="str">
        <f aca="false">IFERROR(__xludf.dummyfunction("""COMPUTED_VALUE"""),"DESCLASSIFICADO")</f>
        <v>DESCLASSIFICADO</v>
      </c>
    </row>
    <row r="196" customFormat="false" ht="13.8" hidden="false" customHeight="false" outlineLevel="0" collapsed="false">
      <c r="A196" s="4" t="n">
        <f aca="false">IFERROR(__xludf.dummyfunction("""COMPUTED_VALUE"""),195)</f>
        <v>195</v>
      </c>
      <c r="B196" s="5" t="str">
        <f aca="false">IFERROR(__xludf.dummyfunction("""COMPUTED_VALUE"""),"LETICIA CLARA GOULART")</f>
        <v>LETICIA CLARA GOULART</v>
      </c>
      <c r="C196" s="5"/>
      <c r="D196" s="5"/>
      <c r="E196" s="5" t="str">
        <f aca="false">IFERROR(__xludf.dummyfunction("""COMPUTED_VALUE"""),"GO")</f>
        <v>GO</v>
      </c>
      <c r="F196" s="4" t="str">
        <f aca="false">IFERROR(__xludf.dummyfunction("""COMPUTED_VALUE"""),"APARECIDA DE GOIÂNIA")</f>
        <v>APARECIDA DE GOIÂNIA</v>
      </c>
      <c r="G196" s="4" t="str">
        <f aca="false">IFERROR(__xludf.dummyfunction("""COMPUTED_VALUE"""),"DIREITO")</f>
        <v>DIREITO</v>
      </c>
      <c r="H196" s="4" t="str">
        <f aca="false">IFERROR(__xludf.dummyfunction("""COMPUTED_VALUE"""),"CONTRATADO")</f>
        <v>CONTRATADO</v>
      </c>
    </row>
    <row r="197" customFormat="false" ht="13.8" hidden="false" customHeight="false" outlineLevel="0" collapsed="false">
      <c r="A197" s="4" t="n">
        <f aca="false">IFERROR(__xludf.dummyfunction("""COMPUTED_VALUE"""),196)</f>
        <v>196</v>
      </c>
      <c r="B197" s="5" t="str">
        <f aca="false">IFERROR(__xludf.dummyfunction("""COMPUTED_VALUE"""),"MATHEUS")</f>
        <v>MATHEUS</v>
      </c>
      <c r="C197" s="5"/>
      <c r="D197" s="5"/>
      <c r="E197" s="5" t="str">
        <f aca="false">IFERROR(__xludf.dummyfunction("""COMPUTED_VALUE"""),"GO")</f>
        <v>GO</v>
      </c>
      <c r="F197" s="4" t="str">
        <f aca="false">IFERROR(__xludf.dummyfunction("""COMPUTED_VALUE"""),"GOIÂNIA")</f>
        <v>GOIÂNIA</v>
      </c>
      <c r="G197" s="4" t="str">
        <f aca="false">IFERROR(__xludf.dummyfunction("""COMPUTED_VALUE"""),"DIREITO")</f>
        <v>DIREITO</v>
      </c>
      <c r="H197" s="4" t="str">
        <f aca="false">IFERROR(__xludf.dummyfunction("""COMPUTED_VALUE"""),"CONTRATADO")</f>
        <v>CONTRATADO</v>
      </c>
    </row>
    <row r="198" customFormat="false" ht="13.8" hidden="false" customHeight="false" outlineLevel="0" collapsed="false">
      <c r="A198" s="4" t="n">
        <f aca="false">IFERROR(__xludf.dummyfunction("""COMPUTED_VALUE"""),197)</f>
        <v>197</v>
      </c>
      <c r="B198" s="5" t="str">
        <f aca="false">IFERROR(__xludf.dummyfunction("""COMPUTED_VALUE"""),"DEBORAH BATISTA NUNES")</f>
        <v>DEBORAH BATISTA NUNES</v>
      </c>
      <c r="C198" s="5"/>
      <c r="D198" s="5"/>
      <c r="E198" s="5" t="str">
        <f aca="false">IFERROR(__xludf.dummyfunction("""COMPUTED_VALUE"""),"GO")</f>
        <v>GO</v>
      </c>
      <c r="F198" s="4" t="str">
        <f aca="false">IFERROR(__xludf.dummyfunction("""COMPUTED_VALUE"""),"GOIÂNIA")</f>
        <v>GOIÂNIA</v>
      </c>
      <c r="G198" s="4" t="str">
        <f aca="false">IFERROR(__xludf.dummyfunction("""COMPUTED_VALUE"""),"DIREITO")</f>
        <v>DIREITO</v>
      </c>
      <c r="H198" s="4" t="str">
        <f aca="false">IFERROR(__xludf.dummyfunction("""COMPUTED_VALUE"""),"DESCLASSIFICADO")</f>
        <v>DESCLASSIFICADO</v>
      </c>
    </row>
    <row r="199" customFormat="false" ht="13.8" hidden="false" customHeight="false" outlineLevel="0" collapsed="false">
      <c r="A199" s="4" t="n">
        <f aca="false">IFERROR(__xludf.dummyfunction("""COMPUTED_VALUE"""),198)</f>
        <v>198</v>
      </c>
      <c r="B199" s="5" t="str">
        <f aca="false">IFERROR(__xludf.dummyfunction("""COMPUTED_VALUE"""),"FELIPE FREITAS ")</f>
        <v>FELIPE FREITAS</v>
      </c>
      <c r="C199" s="5"/>
      <c r="D199" s="5"/>
      <c r="E199" s="5" t="str">
        <f aca="false">IFERROR(__xludf.dummyfunction("""COMPUTED_VALUE"""),"GO")</f>
        <v>GO</v>
      </c>
      <c r="F199" s="4" t="str">
        <f aca="false">IFERROR(__xludf.dummyfunction("""COMPUTED_VALUE"""),"GOIÂNIA")</f>
        <v>GOIÂNIA</v>
      </c>
      <c r="G199" s="4" t="str">
        <f aca="false">IFERROR(__xludf.dummyfunction("""COMPUTED_VALUE"""),"DIREITO")</f>
        <v>DIREITO</v>
      </c>
      <c r="H199" s="4" t="str">
        <f aca="false">IFERROR(__xludf.dummyfunction("""COMPUTED_VALUE"""),"CONTRATADO")</f>
        <v>CONTRATADO</v>
      </c>
    </row>
    <row r="200" customFormat="false" ht="13.8" hidden="false" customHeight="false" outlineLevel="0" collapsed="false">
      <c r="A200" s="4" t="n">
        <f aca="false">IFERROR(__xludf.dummyfunction("""COMPUTED_VALUE"""),199)</f>
        <v>199</v>
      </c>
      <c r="B200" s="5" t="str">
        <f aca="false">IFERROR(__xludf.dummyfunction("""COMPUTED_VALUE"""),"LETHÍCIA DE ALMEIDA MORAIS")</f>
        <v>LETHÍCIA DE ALMEIDA MORAIS</v>
      </c>
      <c r="C200" s="5"/>
      <c r="D200" s="5"/>
      <c r="E200" s="5" t="str">
        <f aca="false">IFERROR(__xludf.dummyfunction("""COMPUTED_VALUE"""),"GO")</f>
        <v>GO</v>
      </c>
      <c r="F200" s="4" t="str">
        <f aca="false">IFERROR(__xludf.dummyfunction("""COMPUTED_VALUE"""),"GOIÂNIA")</f>
        <v>GOIÂNIA</v>
      </c>
      <c r="G200" s="4" t="str">
        <f aca="false">IFERROR(__xludf.dummyfunction("""COMPUTED_VALUE"""),"DIREITO")</f>
        <v>DIREITO</v>
      </c>
      <c r="H200" s="4" t="str">
        <f aca="false">IFERROR(__xludf.dummyfunction("""COMPUTED_VALUE"""),"DESCLASSIFICADO")</f>
        <v>DESCLASSIFICADO</v>
      </c>
    </row>
    <row r="201" customFormat="false" ht="13.8" hidden="false" customHeight="false" outlineLevel="0" collapsed="false">
      <c r="A201" s="4" t="n">
        <f aca="false">IFERROR(__xludf.dummyfunction("""COMPUTED_VALUE"""),200)</f>
        <v>200</v>
      </c>
      <c r="B201" s="5" t="str">
        <f aca="false">IFERROR(__xludf.dummyfunction("""COMPUTED_VALUE"""),"MARIA LUÍSA MORAIS GOMES")</f>
        <v>MARIA LUÍSA MORAIS GOMES</v>
      </c>
      <c r="C201" s="5"/>
      <c r="D201" s="5"/>
      <c r="E201" s="5" t="str">
        <f aca="false">IFERROR(__xludf.dummyfunction("""COMPUTED_VALUE"""),"GO")</f>
        <v>GO</v>
      </c>
      <c r="F201" s="4" t="str">
        <f aca="false">IFERROR(__xludf.dummyfunction("""COMPUTED_VALUE"""),"GOIÂNIA")</f>
        <v>GOIÂNIA</v>
      </c>
      <c r="G201" s="4" t="str">
        <f aca="false">IFERROR(__xludf.dummyfunction("""COMPUTED_VALUE"""),"DIREITO")</f>
        <v>DIREITO</v>
      </c>
      <c r="H201" s="4" t="str">
        <f aca="false">IFERROR(__xludf.dummyfunction("""COMPUTED_VALUE"""),"DESCLASSIFICADO")</f>
        <v>DESCLASSIFICADO</v>
      </c>
    </row>
    <row r="202" customFormat="false" ht="13.8" hidden="false" customHeight="false" outlineLevel="0" collapsed="false">
      <c r="A202" s="4" t="n">
        <f aca="false">IFERROR(__xludf.dummyfunction("""COMPUTED_VALUE"""),201)</f>
        <v>201</v>
      </c>
      <c r="B202" s="5" t="str">
        <f aca="false">IFERROR(__xludf.dummyfunction("""COMPUTED_VALUE"""),"HEVELLIN PAES OLIVEIRA")</f>
        <v>HEVELLIN PAES OLIVEIRA</v>
      </c>
      <c r="C202" s="5"/>
      <c r="D202" s="5"/>
      <c r="E202" s="5" t="str">
        <f aca="false">IFERROR(__xludf.dummyfunction("""COMPUTED_VALUE"""),"GO")</f>
        <v>GO</v>
      </c>
      <c r="F202" s="4" t="str">
        <f aca="false">IFERROR(__xludf.dummyfunction("""COMPUTED_VALUE"""),"GOIÂNIA")</f>
        <v>GOIÂNIA</v>
      </c>
      <c r="G202" s="4" t="str">
        <f aca="false">IFERROR(__xludf.dummyfunction("""COMPUTED_VALUE"""),"DIREITO")</f>
        <v>DIREITO</v>
      </c>
      <c r="H202" s="4" t="str">
        <f aca="false">IFERROR(__xludf.dummyfunction("""COMPUTED_VALUE"""),"CONTRATADO")</f>
        <v>CONTRATADO</v>
      </c>
    </row>
    <row r="203" customFormat="false" ht="13.8" hidden="false" customHeight="false" outlineLevel="0" collapsed="false">
      <c r="A203" s="4" t="n">
        <f aca="false">IFERROR(__xludf.dummyfunction("""COMPUTED_VALUE"""),202)</f>
        <v>202</v>
      </c>
      <c r="B203" s="5" t="str">
        <f aca="false">IFERROR(__xludf.dummyfunction("""COMPUTED_VALUE"""),"IZADORA LUIZ ALVES DA SILVA")</f>
        <v>IZADORA LUIZ ALVES DA SILVA</v>
      </c>
      <c r="C203" s="5" t="str">
        <f aca="false">IFERROR(__xludf.dummyfunction("""COMPUTED_VALUE"""),"DEFICIENTE")</f>
        <v>DEFICIENTE</v>
      </c>
      <c r="D203" s="5" t="str">
        <f aca="false">IFERROR(__xludf.dummyfunction("""COMPUTED_VALUE"""),"DEFICIÊNCIA MOTORA NA MÃO DIREITA ")</f>
        <v>DEFICIÊNCIA MOTORA NA MÃO DIREITA</v>
      </c>
      <c r="E203" s="5" t="str">
        <f aca="false">IFERROR(__xludf.dummyfunction("""COMPUTED_VALUE"""),"GO")</f>
        <v>GO</v>
      </c>
      <c r="F203" s="4" t="str">
        <f aca="false">IFERROR(__xludf.dummyfunction("""COMPUTED_VALUE"""),"APARECIDA DE GOIÂNIA")</f>
        <v>APARECIDA DE GOIÂNIA</v>
      </c>
      <c r="G203" s="4" t="str">
        <f aca="false">IFERROR(__xludf.dummyfunction("""COMPUTED_VALUE"""),"DIREITO")</f>
        <v>DIREITO</v>
      </c>
      <c r="H203" s="4" t="str">
        <f aca="false">IFERROR(__xludf.dummyfunction("""COMPUTED_VALUE"""),"CONTRATADO")</f>
        <v>CONTRATADO</v>
      </c>
    </row>
    <row r="204" customFormat="false" ht="13.8" hidden="false" customHeight="false" outlineLevel="0" collapsed="false">
      <c r="A204" s="4" t="n">
        <f aca="false">IFERROR(__xludf.dummyfunction("""COMPUTED_VALUE"""),203)</f>
        <v>203</v>
      </c>
      <c r="B204" s="5" t="str">
        <f aca="false">IFERROR(__xludf.dummyfunction("""COMPUTED_VALUE"""),"JHULLY EMILLY DA SILVA ABREU")</f>
        <v>JHULLY EMILLY DA SILVA ABREU</v>
      </c>
      <c r="C204" s="5"/>
      <c r="D204" s="5"/>
      <c r="E204" s="5" t="str">
        <f aca="false">IFERROR(__xludf.dummyfunction("""COMPUTED_VALUE"""),"GO")</f>
        <v>GO</v>
      </c>
      <c r="F204" s="4" t="str">
        <f aca="false">IFERROR(__xludf.dummyfunction("""COMPUTED_VALUE"""),"APARECIDA DE GOIÂNIA")</f>
        <v>APARECIDA DE GOIÂNIA</v>
      </c>
      <c r="G204" s="4" t="str">
        <f aca="false">IFERROR(__xludf.dummyfunction("""COMPUTED_VALUE"""),"DIREITO")</f>
        <v>DIREITO</v>
      </c>
      <c r="H204" s="4" t="str">
        <f aca="false">IFERROR(__xludf.dummyfunction("""COMPUTED_VALUE"""),"CONTRATADO")</f>
        <v>CONTRATADO</v>
      </c>
    </row>
    <row r="205" customFormat="false" ht="13.8" hidden="false" customHeight="false" outlineLevel="0" collapsed="false">
      <c r="A205" s="4" t="n">
        <f aca="false">IFERROR(__xludf.dummyfunction("""COMPUTED_VALUE"""),204)</f>
        <v>204</v>
      </c>
      <c r="B205" s="5" t="str">
        <f aca="false">IFERROR(__xludf.dummyfunction("""COMPUTED_VALUE"""),"MARIA AMÉLIA FREITAS DOS SANTOS")</f>
        <v>MARIA AMÉLIA FREITAS DOS SANTOS</v>
      </c>
      <c r="C205" s="5"/>
      <c r="D205" s="5"/>
      <c r="E205" s="5" t="str">
        <f aca="false">IFERROR(__xludf.dummyfunction("""COMPUTED_VALUE"""),"MS")</f>
        <v>MS</v>
      </c>
      <c r="F205" s="4" t="str">
        <f aca="false">IFERROR(__xludf.dummyfunction("""COMPUTED_VALUE"""),"APARECIDA DO TABOADO")</f>
        <v>APARECIDA DO TABOADO</v>
      </c>
      <c r="G205" s="4" t="str">
        <f aca="false">IFERROR(__xludf.dummyfunction("""COMPUTED_VALUE"""),"DIREITO")</f>
        <v>DIREITO</v>
      </c>
      <c r="H205" s="4" t="str">
        <f aca="false">IFERROR(__xludf.dummyfunction("""COMPUTED_VALUE"""),"DESCLASSIFICADO")</f>
        <v>DESCLASSIFICADO</v>
      </c>
    </row>
    <row r="206" customFormat="false" ht="13.8" hidden="false" customHeight="false" outlineLevel="0" collapsed="false">
      <c r="A206" s="4" t="n">
        <f aca="false">IFERROR(__xludf.dummyfunction("""COMPUTED_VALUE"""),205)</f>
        <v>205</v>
      </c>
      <c r="B206" s="5" t="str">
        <f aca="false">IFERROR(__xludf.dummyfunction("""COMPUTED_VALUE"""),"SABRYNA JULIA GONÇALVES DE OLIVEIRA ")</f>
        <v>SABRYNA JULIA GONÇALVES DE OLIVEIRA</v>
      </c>
      <c r="C206" s="5"/>
      <c r="D206" s="5"/>
      <c r="E206" s="5" t="str">
        <f aca="false">IFERROR(__xludf.dummyfunction("""COMPUTED_VALUE"""),"GO")</f>
        <v>GO</v>
      </c>
      <c r="F206" s="4" t="str">
        <f aca="false">IFERROR(__xludf.dummyfunction("""COMPUTED_VALUE"""),"GOIÂNIA")</f>
        <v>GOIÂNIA</v>
      </c>
      <c r="G206" s="4" t="str">
        <f aca="false">IFERROR(__xludf.dummyfunction("""COMPUTED_VALUE"""),"DIREITO")</f>
        <v>DIREITO</v>
      </c>
      <c r="H206" s="4" t="str">
        <f aca="false">IFERROR(__xludf.dummyfunction("""COMPUTED_VALUE"""),"DESCLASSIFICADO")</f>
        <v>DESCLASSIFICADO</v>
      </c>
    </row>
    <row r="207" customFormat="false" ht="13.8" hidden="false" customHeight="false" outlineLevel="0" collapsed="false">
      <c r="A207" s="4" t="n">
        <f aca="false">IFERROR(__xludf.dummyfunction("""COMPUTED_VALUE"""),206)</f>
        <v>206</v>
      </c>
      <c r="B207" s="5" t="str">
        <f aca="false">IFERROR(__xludf.dummyfunction("""COMPUTED_VALUE"""),"NICOLE DUARTE BELTRAO")</f>
        <v>NICOLE DUARTE BELTRAO</v>
      </c>
      <c r="C207" s="5"/>
      <c r="D207" s="5"/>
      <c r="E207" s="5" t="str">
        <f aca="false">IFERROR(__xludf.dummyfunction("""COMPUTED_VALUE"""),"GO")</f>
        <v>GO</v>
      </c>
      <c r="F207" s="4" t="str">
        <f aca="false">IFERROR(__xludf.dummyfunction("""COMPUTED_VALUE"""),"APARECIDA DE GOIÂNIA")</f>
        <v>APARECIDA DE GOIÂNIA</v>
      </c>
      <c r="G207" s="4" t="str">
        <f aca="false">IFERROR(__xludf.dummyfunction("""COMPUTED_VALUE"""),"DIREITO")</f>
        <v>DIREITO</v>
      </c>
      <c r="H207" s="4" t="str">
        <f aca="false">IFERROR(__xludf.dummyfunction("""COMPUTED_VALUE"""),"DESCLASSIFICADO")</f>
        <v>DESCLASSIFICADO</v>
      </c>
    </row>
    <row r="208" customFormat="false" ht="13.8" hidden="false" customHeight="false" outlineLevel="0" collapsed="false">
      <c r="A208" s="4" t="n">
        <f aca="false">IFERROR(__xludf.dummyfunction("""COMPUTED_VALUE"""),207)</f>
        <v>207</v>
      </c>
      <c r="B208" s="5" t="str">
        <f aca="false">IFERROR(__xludf.dummyfunction("""COMPUTED_VALUE"""),"NATHALYA CAROLINE SILVA")</f>
        <v>NATHALYA CAROLINE SILVA</v>
      </c>
      <c r="C208" s="5"/>
      <c r="D208" s="5"/>
      <c r="E208" s="5" t="str">
        <f aca="false">IFERROR(__xludf.dummyfunction("""COMPUTED_VALUE"""),"GO")</f>
        <v>GO</v>
      </c>
      <c r="F208" s="4" t="str">
        <f aca="false">IFERROR(__xludf.dummyfunction("""COMPUTED_VALUE"""),"APARECIDA DE GOIÂNIA")</f>
        <v>APARECIDA DE GOIÂNIA</v>
      </c>
      <c r="G208" s="4" t="str">
        <f aca="false">IFERROR(__xludf.dummyfunction("""COMPUTED_VALUE"""),"DIREITO")</f>
        <v>DIREITO</v>
      </c>
      <c r="H208" s="4" t="str">
        <f aca="false">IFERROR(__xludf.dummyfunction("""COMPUTED_VALUE"""),"DESCLASSIFICADO")</f>
        <v>DESCLASSIFICADO</v>
      </c>
    </row>
    <row r="209" customFormat="false" ht="13.8" hidden="false" customHeight="false" outlineLevel="0" collapsed="false">
      <c r="A209" s="4" t="n">
        <f aca="false">IFERROR(__xludf.dummyfunction("""COMPUTED_VALUE"""),208)</f>
        <v>208</v>
      </c>
      <c r="B209" s="5" t="str">
        <f aca="false">IFERROR(__xludf.dummyfunction("""COMPUTED_VALUE"""),"GUILHERME AUGUSTO ALVES NASCENTE")</f>
        <v>GUILHERME AUGUSTO ALVES NASCENTE</v>
      </c>
      <c r="C209" s="5"/>
      <c r="D209" s="5"/>
      <c r="E209" s="5" t="str">
        <f aca="false">IFERROR(__xludf.dummyfunction("""COMPUTED_VALUE"""),"GO")</f>
        <v>GO</v>
      </c>
      <c r="F209" s="4" t="str">
        <f aca="false">IFERROR(__xludf.dummyfunction("""COMPUTED_VALUE"""),"GOIÂNIA")</f>
        <v>GOIÂNIA</v>
      </c>
      <c r="G209" s="4" t="str">
        <f aca="false">IFERROR(__xludf.dummyfunction("""COMPUTED_VALUE"""),"DIREITO")</f>
        <v>DIREITO</v>
      </c>
      <c r="H209" s="4" t="str">
        <f aca="false">IFERROR(__xludf.dummyfunction("""COMPUTED_VALUE"""),"CONTRATADO")</f>
        <v>CONTRATADO</v>
      </c>
    </row>
    <row r="210" customFormat="false" ht="13.8" hidden="false" customHeight="false" outlineLevel="0" collapsed="false">
      <c r="A210" s="4" t="n">
        <f aca="false">IFERROR(__xludf.dummyfunction("""COMPUTED_VALUE"""),209)</f>
        <v>209</v>
      </c>
      <c r="B210" s="5" t="str">
        <f aca="false">IFERROR(__xludf.dummyfunction("""COMPUTED_VALUE"""),"LUÍS EDUARDO MENDONÇA MENDES")</f>
        <v>LUÍS EDUARDO MENDONÇA MENDES</v>
      </c>
      <c r="C210" s="5"/>
      <c r="D210" s="5"/>
      <c r="E210" s="5" t="str">
        <f aca="false">IFERROR(__xludf.dummyfunction("""COMPUTED_VALUE"""),"GO")</f>
        <v>GO</v>
      </c>
      <c r="F210" s="4" t="str">
        <f aca="false">IFERROR(__xludf.dummyfunction("""COMPUTED_VALUE"""),"GOIANÉSIA")</f>
        <v>GOIANÉSIA</v>
      </c>
      <c r="G210" s="4" t="str">
        <f aca="false">IFERROR(__xludf.dummyfunction("""COMPUTED_VALUE"""),"DIREITO")</f>
        <v>DIREITO</v>
      </c>
      <c r="H210" s="4" t="str">
        <f aca="false">IFERROR(__xludf.dummyfunction("""COMPUTED_VALUE"""),"DESCLASSIFICADO")</f>
        <v>DESCLASSIFICADO</v>
      </c>
    </row>
    <row r="211" customFormat="false" ht="13.8" hidden="false" customHeight="false" outlineLevel="0" collapsed="false">
      <c r="A211" s="4" t="n">
        <f aca="false">IFERROR(__xludf.dummyfunction("""COMPUTED_VALUE"""),210)</f>
        <v>210</v>
      </c>
      <c r="B211" s="5" t="str">
        <f aca="false">IFERROR(__xludf.dummyfunction("""COMPUTED_VALUE"""),"JOÃO VICTOR HOSOKAWA AGUIAR ")</f>
        <v>JOÃO VICTOR HOSOKAWA AGUIAR</v>
      </c>
      <c r="C211" s="5"/>
      <c r="D211" s="5"/>
      <c r="E211" s="5" t="str">
        <f aca="false">IFERROR(__xludf.dummyfunction("""COMPUTED_VALUE"""),"GO")</f>
        <v>GO</v>
      </c>
      <c r="F211" s="4" t="str">
        <f aca="false">IFERROR(__xludf.dummyfunction("""COMPUTED_VALUE"""),"GOIÂNIA")</f>
        <v>GOIÂNIA</v>
      </c>
      <c r="G211" s="4" t="str">
        <f aca="false">IFERROR(__xludf.dummyfunction("""COMPUTED_VALUE"""),"DIREITO")</f>
        <v>DIREITO</v>
      </c>
      <c r="H211" s="4" t="str">
        <f aca="false">IFERROR(__xludf.dummyfunction("""COMPUTED_VALUE"""),"CONTRATADO")</f>
        <v>CONTRATADO</v>
      </c>
    </row>
    <row r="212" customFormat="false" ht="13.8" hidden="false" customHeight="false" outlineLevel="0" collapsed="false">
      <c r="A212" s="4" t="n">
        <f aca="false">IFERROR(__xludf.dummyfunction("""COMPUTED_VALUE"""),211)</f>
        <v>211</v>
      </c>
      <c r="B212" s="5" t="str">
        <f aca="false">IFERROR(__xludf.dummyfunction("""COMPUTED_VALUE"""),"LEANDRA AGNES TOMÉ DA CRUZ ")</f>
        <v>LEANDRA AGNES TOMÉ DA CRUZ</v>
      </c>
      <c r="C212" s="5"/>
      <c r="D212" s="5"/>
      <c r="E212" s="5" t="str">
        <f aca="false">IFERROR(__xludf.dummyfunction("""COMPUTED_VALUE"""),"GO")</f>
        <v>GO</v>
      </c>
      <c r="F212" s="4" t="str">
        <f aca="false">IFERROR(__xludf.dummyfunction("""COMPUTED_VALUE"""),"GOIÂNIA")</f>
        <v>GOIÂNIA</v>
      </c>
      <c r="G212" s="4" t="str">
        <f aca="false">IFERROR(__xludf.dummyfunction("""COMPUTED_VALUE"""),"DIREITO")</f>
        <v>DIREITO</v>
      </c>
      <c r="H212" s="4" t="str">
        <f aca="false">IFERROR(__xludf.dummyfunction("""COMPUTED_VALUE"""),"CONTRATADO")</f>
        <v>CONTRATADO</v>
      </c>
    </row>
    <row r="213" customFormat="false" ht="13.8" hidden="false" customHeight="false" outlineLevel="0" collapsed="false">
      <c r="A213" s="4" t="n">
        <f aca="false">IFERROR(__xludf.dummyfunction("""COMPUTED_VALUE"""),212)</f>
        <v>212</v>
      </c>
      <c r="B213" s="5" t="str">
        <f aca="false">IFERROR(__xludf.dummyfunction("""COMPUTED_VALUE"""),"IGOR GONÇALVES VIEIRA")</f>
        <v>IGOR GONÇALVES VIEIRA</v>
      </c>
      <c r="C213" s="5"/>
      <c r="D213" s="5"/>
      <c r="E213" s="5" t="str">
        <f aca="false">IFERROR(__xludf.dummyfunction("""COMPUTED_VALUE"""),"GO")</f>
        <v>GO</v>
      </c>
      <c r="F213" s="4" t="str">
        <f aca="false">IFERROR(__xludf.dummyfunction("""COMPUTED_VALUE"""),"GOIÂNIA")</f>
        <v>GOIÂNIA</v>
      </c>
      <c r="G213" s="4" t="str">
        <f aca="false">IFERROR(__xludf.dummyfunction("""COMPUTED_VALUE"""),"DIREITO")</f>
        <v>DIREITO</v>
      </c>
      <c r="H213" s="4" t="str">
        <f aca="false">IFERROR(__xludf.dummyfunction("""COMPUTED_VALUE"""),"DESCLASSIFICADO")</f>
        <v>DESCLASSIFICADO</v>
      </c>
    </row>
    <row r="214" customFormat="false" ht="13.8" hidden="false" customHeight="false" outlineLevel="0" collapsed="false">
      <c r="A214" s="4" t="n">
        <f aca="false">IFERROR(__xludf.dummyfunction("""COMPUTED_VALUE"""),213)</f>
        <v>213</v>
      </c>
      <c r="B214" s="5" t="str">
        <f aca="false">IFERROR(__xludf.dummyfunction("""COMPUTED_VALUE"""),"ALÍCYA DYOVANNA")</f>
        <v>ALÍCYA DYOVANNA</v>
      </c>
      <c r="C214" s="5"/>
      <c r="D214" s="5"/>
      <c r="E214" s="5" t="str">
        <f aca="false">IFERROR(__xludf.dummyfunction("""COMPUTED_VALUE"""),"GO")</f>
        <v>GO</v>
      </c>
      <c r="F214" s="4" t="str">
        <f aca="false">IFERROR(__xludf.dummyfunction("""COMPUTED_VALUE"""),"ITUMBIARA")</f>
        <v>ITUMBIARA</v>
      </c>
      <c r="G214" s="4" t="str">
        <f aca="false">IFERROR(__xludf.dummyfunction("""COMPUTED_VALUE"""),"DIREITO")</f>
        <v>DIREITO</v>
      </c>
      <c r="H214" s="4" t="str">
        <f aca="false">IFERROR(__xludf.dummyfunction("""COMPUTED_VALUE"""),"CONTRATADO")</f>
        <v>CONTRATADO</v>
      </c>
    </row>
    <row r="215" customFormat="false" ht="13.8" hidden="false" customHeight="false" outlineLevel="0" collapsed="false">
      <c r="A215" s="4" t="n">
        <f aca="false">IFERROR(__xludf.dummyfunction("""COMPUTED_VALUE"""),214)</f>
        <v>214</v>
      </c>
      <c r="B215" s="5" t="str">
        <f aca="false">IFERROR(__xludf.dummyfunction("""COMPUTED_VALUE"""),"KAROLAYNE FERREIRA COSTA DOS SANTOS ")</f>
        <v>KAROLAYNE FERREIRA COSTA DOS SANTOS</v>
      </c>
      <c r="C215" s="5"/>
      <c r="D215" s="5"/>
      <c r="E215" s="5" t="str">
        <f aca="false">IFERROR(__xludf.dummyfunction("""COMPUTED_VALUE"""),"GO")</f>
        <v>GO</v>
      </c>
      <c r="F215" s="4" t="str">
        <f aca="false">IFERROR(__xludf.dummyfunction("""COMPUTED_VALUE"""),"GOIÂNIA")</f>
        <v>GOIÂNIA</v>
      </c>
      <c r="G215" s="4" t="str">
        <f aca="false">IFERROR(__xludf.dummyfunction("""COMPUTED_VALUE"""),"DIREITO")</f>
        <v>DIREITO</v>
      </c>
      <c r="H215" s="4" t="str">
        <f aca="false">IFERROR(__xludf.dummyfunction("""COMPUTED_VALUE"""),"DESCLASSIFICADO")</f>
        <v>DESCLASSIFICADO</v>
      </c>
    </row>
    <row r="216" customFormat="false" ht="13.8" hidden="false" customHeight="false" outlineLevel="0" collapsed="false">
      <c r="A216" s="4" t="n">
        <f aca="false">IFERROR(__xludf.dummyfunction("""COMPUTED_VALUE"""),215)</f>
        <v>215</v>
      </c>
      <c r="B216" s="5" t="str">
        <f aca="false">IFERROR(__xludf.dummyfunction("""COMPUTED_VALUE"""),"IGOR DE OLIVEIRA SOUSA SILVA ")</f>
        <v>IGOR DE OLIVEIRA SOUSA SILVA</v>
      </c>
      <c r="C216" s="5"/>
      <c r="D216" s="5"/>
      <c r="E216" s="5" t="str">
        <f aca="false">IFERROR(__xludf.dummyfunction("""COMPUTED_VALUE"""),"GO")</f>
        <v>GO</v>
      </c>
      <c r="F216" s="4" t="str">
        <f aca="false">IFERROR(__xludf.dummyfunction("""COMPUTED_VALUE"""),"APARECIDA DE GOIÂNIA")</f>
        <v>APARECIDA DE GOIÂNIA</v>
      </c>
      <c r="G216" s="4" t="str">
        <f aca="false">IFERROR(__xludf.dummyfunction("""COMPUTED_VALUE"""),"DIREITO")</f>
        <v>DIREITO</v>
      </c>
      <c r="H216" s="4" t="str">
        <f aca="false">IFERROR(__xludf.dummyfunction("""COMPUTED_VALUE"""),"CONTRATADO")</f>
        <v>CONTRATADO</v>
      </c>
    </row>
    <row r="217" customFormat="false" ht="13.8" hidden="false" customHeight="false" outlineLevel="0" collapsed="false">
      <c r="A217" s="4" t="n">
        <f aca="false">IFERROR(__xludf.dummyfunction("""COMPUTED_VALUE"""),216)</f>
        <v>216</v>
      </c>
      <c r="B217" s="5" t="str">
        <f aca="false">IFERROR(__xludf.dummyfunction("""COMPUTED_VALUE"""),"GABRIELA RODRIGUES DE FREITAS")</f>
        <v>GABRIELA RODRIGUES DE FREITAS</v>
      </c>
      <c r="C217" s="5"/>
      <c r="D217" s="5"/>
      <c r="E217" s="5" t="str">
        <f aca="false">IFERROR(__xludf.dummyfunction("""COMPUTED_VALUE"""),"GO")</f>
        <v>GO</v>
      </c>
      <c r="F217" s="4" t="str">
        <f aca="false">IFERROR(__xludf.dummyfunction("""COMPUTED_VALUE"""),"APARECIDA DE GOIÂNIA")</f>
        <v>APARECIDA DE GOIÂNIA</v>
      </c>
      <c r="G217" s="4" t="str">
        <f aca="false">IFERROR(__xludf.dummyfunction("""COMPUTED_VALUE"""),"DIREITO")</f>
        <v>DIREITO</v>
      </c>
      <c r="H217" s="4" t="str">
        <f aca="false">IFERROR(__xludf.dummyfunction("""COMPUTED_VALUE"""),"DESCLASSIFICADO")</f>
        <v>DESCLASSIFICADO</v>
      </c>
    </row>
    <row r="218" customFormat="false" ht="13.8" hidden="false" customHeight="false" outlineLevel="0" collapsed="false">
      <c r="A218" s="4" t="n">
        <f aca="false">IFERROR(__xludf.dummyfunction("""COMPUTED_VALUE"""),217)</f>
        <v>217</v>
      </c>
      <c r="B218" s="5" t="str">
        <f aca="false">IFERROR(__xludf.dummyfunction("""COMPUTED_VALUE"""),"JANAYNA MONTEL DE OLIVEIRA")</f>
        <v>JANAYNA MONTEL DE OLIVEIRA</v>
      </c>
      <c r="C218" s="5" t="str">
        <f aca="false">IFERROR(__xludf.dummyfunction("""COMPUTED_VALUE"""),"NEGRO")</f>
        <v>NEGRO</v>
      </c>
      <c r="D218" s="5"/>
      <c r="E218" s="5" t="str">
        <f aca="false">IFERROR(__xludf.dummyfunction("""COMPUTED_VALUE"""),"GO")</f>
        <v>GO</v>
      </c>
      <c r="F218" s="4" t="str">
        <f aca="false">IFERROR(__xludf.dummyfunction("""COMPUTED_VALUE"""),"ABADIA DE GOIÁS")</f>
        <v>ABADIA DE GOIÁS</v>
      </c>
      <c r="G218" s="4" t="str">
        <f aca="false">IFERROR(__xludf.dummyfunction("""COMPUTED_VALUE"""),"DIREITO")</f>
        <v>DIREITO</v>
      </c>
      <c r="H218" s="4" t="str">
        <f aca="false">IFERROR(__xludf.dummyfunction("""COMPUTED_VALUE"""),"DESCLASSIFICADO")</f>
        <v>DESCLASSIFICADO</v>
      </c>
    </row>
    <row r="219" customFormat="false" ht="13.8" hidden="false" customHeight="false" outlineLevel="0" collapsed="false">
      <c r="A219" s="4" t="n">
        <f aca="false">IFERROR(__xludf.dummyfunction("""COMPUTED_VALUE"""),218)</f>
        <v>218</v>
      </c>
      <c r="B219" s="5" t="str">
        <f aca="false">IFERROR(__xludf.dummyfunction("""COMPUTED_VALUE"""),"PAULO HENRIQUE FERREIRA DOS SANTOS")</f>
        <v>PAULO HENRIQUE FERREIRA DOS SANTOS</v>
      </c>
      <c r="C219" s="5"/>
      <c r="D219" s="5"/>
      <c r="E219" s="5" t="str">
        <f aca="false">IFERROR(__xludf.dummyfunction("""COMPUTED_VALUE"""),"GO")</f>
        <v>GO</v>
      </c>
      <c r="F219" s="4" t="str">
        <f aca="false">IFERROR(__xludf.dummyfunction("""COMPUTED_VALUE"""),"BONFINÓPOLIS")</f>
        <v>BONFINÓPOLIS</v>
      </c>
      <c r="G219" s="4" t="str">
        <f aca="false">IFERROR(__xludf.dummyfunction("""COMPUTED_VALUE"""),"DIREITO")</f>
        <v>DIREITO</v>
      </c>
      <c r="H219" s="4" t="str">
        <f aca="false">IFERROR(__xludf.dummyfunction("""COMPUTED_VALUE"""),"DESCLASSIFICADO")</f>
        <v>DESCLASSIFICADO</v>
      </c>
    </row>
    <row r="220" customFormat="false" ht="13.8" hidden="false" customHeight="false" outlineLevel="0" collapsed="false">
      <c r="A220" s="4" t="n">
        <f aca="false">IFERROR(__xludf.dummyfunction("""COMPUTED_VALUE"""),219)</f>
        <v>219</v>
      </c>
      <c r="B220" s="5" t="str">
        <f aca="false">IFERROR(__xludf.dummyfunction("""COMPUTED_VALUE"""),"LAYANE APARECIDA DE MORAIS")</f>
        <v>LAYANE APARECIDA DE MORAIS</v>
      </c>
      <c r="C220" s="5"/>
      <c r="D220" s="5"/>
      <c r="E220" s="5" t="str">
        <f aca="false">IFERROR(__xludf.dummyfunction("""COMPUTED_VALUE"""),"GO")</f>
        <v>GO</v>
      </c>
      <c r="F220" s="4" t="str">
        <f aca="false">IFERROR(__xludf.dummyfunction("""COMPUTED_VALUE"""),"TRINDADE")</f>
        <v>TRINDADE</v>
      </c>
      <c r="G220" s="4" t="str">
        <f aca="false">IFERROR(__xludf.dummyfunction("""COMPUTED_VALUE"""),"DIREITO")</f>
        <v>DIREITO</v>
      </c>
      <c r="H220" s="4" t="str">
        <f aca="false">IFERROR(__xludf.dummyfunction("""COMPUTED_VALUE"""),"DESCLASSIFICADO")</f>
        <v>DESCLASSIFICADO</v>
      </c>
    </row>
    <row r="221" customFormat="false" ht="13.8" hidden="false" customHeight="false" outlineLevel="0" collapsed="false">
      <c r="A221" s="4" t="n">
        <f aca="false">IFERROR(__xludf.dummyfunction("""COMPUTED_VALUE"""),220)</f>
        <v>220</v>
      </c>
      <c r="B221" s="5" t="str">
        <f aca="false">IFERROR(__xludf.dummyfunction("""COMPUTED_VALUE"""),"GILSON ABRAÃO FARIA DA COSTA")</f>
        <v>GILSON ABRAÃO FARIA DA COSTA</v>
      </c>
      <c r="C221" s="5"/>
      <c r="D221" s="5"/>
      <c r="E221" s="5" t="str">
        <f aca="false">IFERROR(__xludf.dummyfunction("""COMPUTED_VALUE"""),"GO")</f>
        <v>GO</v>
      </c>
      <c r="F221" s="4" t="str">
        <f aca="false">IFERROR(__xludf.dummyfunction("""COMPUTED_VALUE"""),"GOIÂNIA")</f>
        <v>GOIÂNIA</v>
      </c>
      <c r="G221" s="4" t="str">
        <f aca="false">IFERROR(__xludf.dummyfunction("""COMPUTED_VALUE"""),"DIREITO")</f>
        <v>DIREITO</v>
      </c>
      <c r="H221" s="4" t="str">
        <f aca="false">IFERROR(__xludf.dummyfunction("""COMPUTED_VALUE"""),"DESCLASSIFICADO")</f>
        <v>DESCLASSIFICADO</v>
      </c>
    </row>
    <row r="222" customFormat="false" ht="13.8" hidden="false" customHeight="false" outlineLevel="0" collapsed="false">
      <c r="A222" s="4" t="n">
        <f aca="false">IFERROR(__xludf.dummyfunction("""COMPUTED_VALUE"""),221)</f>
        <v>221</v>
      </c>
      <c r="B222" s="5" t="str">
        <f aca="false">IFERROR(__xludf.dummyfunction("""COMPUTED_VALUE"""),"MARIA KAROLINA GONÇALVES DE CARVALHO ")</f>
        <v>MARIA KAROLINA GONÇALVES DE CARVALHO</v>
      </c>
      <c r="C222" s="5"/>
      <c r="D222" s="5"/>
      <c r="E222" s="5" t="str">
        <f aca="false">IFERROR(__xludf.dummyfunction("""COMPUTED_VALUE"""),"GO")</f>
        <v>GO</v>
      </c>
      <c r="F222" s="4" t="str">
        <f aca="false">IFERROR(__xludf.dummyfunction("""COMPUTED_VALUE"""),"GOIÂNIA")</f>
        <v>GOIÂNIA</v>
      </c>
      <c r="G222" s="4" t="str">
        <f aca="false">IFERROR(__xludf.dummyfunction("""COMPUTED_VALUE"""),"DIREITO")</f>
        <v>DIREITO</v>
      </c>
      <c r="H222" s="4" t="str">
        <f aca="false">IFERROR(__xludf.dummyfunction("""COMPUTED_VALUE"""),"CONTRATADO")</f>
        <v>CONTRATADO</v>
      </c>
    </row>
    <row r="223" customFormat="false" ht="13.8" hidden="false" customHeight="false" outlineLevel="0" collapsed="false">
      <c r="A223" s="4" t="n">
        <f aca="false">IFERROR(__xludf.dummyfunction("""COMPUTED_VALUE"""),222)</f>
        <v>222</v>
      </c>
      <c r="B223" s="5" t="str">
        <f aca="false">IFERROR(__xludf.dummyfunction("""COMPUTED_VALUE"""),"KEMILY VITÓRIA SOUZA SANTOS")</f>
        <v>KEMILY VITÓRIA SOUZA SANTOS</v>
      </c>
      <c r="C223" s="5"/>
      <c r="D223" s="5"/>
      <c r="E223" s="5" t="str">
        <f aca="false">IFERROR(__xludf.dummyfunction("""COMPUTED_VALUE"""),"GO")</f>
        <v>GO</v>
      </c>
      <c r="F223" s="4" t="str">
        <f aca="false">IFERROR(__xludf.dummyfunction("""COMPUTED_VALUE"""),"GOIÂNIA")</f>
        <v>GOIÂNIA</v>
      </c>
      <c r="G223" s="4" t="str">
        <f aca="false">IFERROR(__xludf.dummyfunction("""COMPUTED_VALUE"""),"DIREITO")</f>
        <v>DIREITO</v>
      </c>
      <c r="H223" s="4" t="str">
        <f aca="false">IFERROR(__xludf.dummyfunction("""COMPUTED_VALUE"""),"CONTRATADO")</f>
        <v>CONTRATADO</v>
      </c>
    </row>
    <row r="224" customFormat="false" ht="13.8" hidden="false" customHeight="false" outlineLevel="0" collapsed="false">
      <c r="A224" s="4" t="n">
        <f aca="false">IFERROR(__xludf.dummyfunction("""COMPUTED_VALUE"""),223)</f>
        <v>223</v>
      </c>
      <c r="B224" s="5" t="str">
        <f aca="false">IFERROR(__xludf.dummyfunction("""COMPUTED_VALUE"""),"HELOÍSA FRANCISCA ALENCAR SERRÃO ")</f>
        <v>HELOÍSA FRANCISCA ALENCAR SERRÃO</v>
      </c>
      <c r="C224" s="5"/>
      <c r="D224" s="5"/>
      <c r="E224" s="5" t="str">
        <f aca="false">IFERROR(__xludf.dummyfunction("""COMPUTED_VALUE"""),"GO")</f>
        <v>GO</v>
      </c>
      <c r="F224" s="4" t="str">
        <f aca="false">IFERROR(__xludf.dummyfunction("""COMPUTED_VALUE"""),"GOIÂNIA")</f>
        <v>GOIÂNIA</v>
      </c>
      <c r="G224" s="4" t="str">
        <f aca="false">IFERROR(__xludf.dummyfunction("""COMPUTED_VALUE"""),"DIREITO")</f>
        <v>DIREITO</v>
      </c>
      <c r="H224" s="4" t="str">
        <f aca="false">IFERROR(__xludf.dummyfunction("""COMPUTED_VALUE"""),"DESCLASSIFICADO")</f>
        <v>DESCLASSIFICADO</v>
      </c>
    </row>
    <row r="225" customFormat="false" ht="13.8" hidden="false" customHeight="false" outlineLevel="0" collapsed="false">
      <c r="A225" s="4" t="n">
        <f aca="false">IFERROR(__xludf.dummyfunction("""COMPUTED_VALUE"""),224)</f>
        <v>224</v>
      </c>
      <c r="B225" s="5" t="str">
        <f aca="false">IFERROR(__xludf.dummyfunction("""COMPUTED_VALUE"""),"HADASSA SILVA BEZERRA ")</f>
        <v>HADASSA SILVA BEZERRA</v>
      </c>
      <c r="C225" s="5"/>
      <c r="D225" s="5"/>
      <c r="E225" s="5" t="str">
        <f aca="false">IFERROR(__xludf.dummyfunction("""COMPUTED_VALUE"""),"GO")</f>
        <v>GO</v>
      </c>
      <c r="F225" s="4" t="str">
        <f aca="false">IFERROR(__xludf.dummyfunction("""COMPUTED_VALUE"""),"GOIÂNIA")</f>
        <v>GOIÂNIA</v>
      </c>
      <c r="G225" s="4" t="str">
        <f aca="false">IFERROR(__xludf.dummyfunction("""COMPUTED_VALUE"""),"DIREITO")</f>
        <v>DIREITO</v>
      </c>
      <c r="H225" s="4" t="str">
        <f aca="false">IFERROR(__xludf.dummyfunction("""COMPUTED_VALUE"""),"DESCLASSIFICADO")</f>
        <v>DESCLASSIFICADO</v>
      </c>
    </row>
    <row r="226" customFormat="false" ht="13.8" hidden="false" customHeight="false" outlineLevel="0" collapsed="false">
      <c r="A226" s="4" t="n">
        <f aca="false">IFERROR(__xludf.dummyfunction("""COMPUTED_VALUE"""),225)</f>
        <v>225</v>
      </c>
      <c r="B226" s="5" t="str">
        <f aca="false">IFERROR(__xludf.dummyfunction("""COMPUTED_VALUE"""),"MATHEUS MEDEIROS SEVILHA")</f>
        <v>MATHEUS MEDEIROS SEVILHA</v>
      </c>
      <c r="C226" s="5"/>
      <c r="D226" s="5"/>
      <c r="E226" s="5" t="str">
        <f aca="false">IFERROR(__xludf.dummyfunction("""COMPUTED_VALUE"""),"GO")</f>
        <v>GO</v>
      </c>
      <c r="F226" s="4" t="str">
        <f aca="false">IFERROR(__xludf.dummyfunction("""COMPUTED_VALUE"""),"GOIÂNIA")</f>
        <v>GOIÂNIA</v>
      </c>
      <c r="G226" s="4" t="str">
        <f aca="false">IFERROR(__xludf.dummyfunction("""COMPUTED_VALUE"""),"DIREITO")</f>
        <v>DIREITO</v>
      </c>
      <c r="H226" s="4" t="str">
        <f aca="false">IFERROR(__xludf.dummyfunction("""COMPUTED_VALUE"""),"CONTRATADO")</f>
        <v>CONTRATADO</v>
      </c>
    </row>
    <row r="227" customFormat="false" ht="13.8" hidden="false" customHeight="false" outlineLevel="0" collapsed="false">
      <c r="A227" s="4" t="n">
        <f aca="false">IFERROR(__xludf.dummyfunction("""COMPUTED_VALUE"""),226)</f>
        <v>226</v>
      </c>
      <c r="B227" s="5" t="str">
        <f aca="false">IFERROR(__xludf.dummyfunction("""COMPUTED_VALUE"""),"BRUNA MOREIRA CAMPOS")</f>
        <v>BRUNA MOREIRA CAMPOS</v>
      </c>
      <c r="C227" s="5"/>
      <c r="D227" s="5"/>
      <c r="E227" s="5" t="str">
        <f aca="false">IFERROR(__xludf.dummyfunction("""COMPUTED_VALUE"""),"GO")</f>
        <v>GO</v>
      </c>
      <c r="F227" s="4" t="str">
        <f aca="false">IFERROR(__xludf.dummyfunction("""COMPUTED_VALUE"""),"GOIÂNIA")</f>
        <v>GOIÂNIA</v>
      </c>
      <c r="G227" s="4" t="str">
        <f aca="false">IFERROR(__xludf.dummyfunction("""COMPUTED_VALUE"""),"DIREITO")</f>
        <v>DIREITO</v>
      </c>
      <c r="H227" s="4" t="str">
        <f aca="false">IFERROR(__xludf.dummyfunction("""COMPUTED_VALUE"""),"DESCLASSIFICADO")</f>
        <v>DESCLASSIFICADO</v>
      </c>
    </row>
    <row r="228" customFormat="false" ht="13.8" hidden="false" customHeight="false" outlineLevel="0" collapsed="false">
      <c r="A228" s="4" t="n">
        <f aca="false">IFERROR(__xludf.dummyfunction("""COMPUTED_VALUE"""),227)</f>
        <v>227</v>
      </c>
      <c r="B228" s="5" t="str">
        <f aca="false">IFERROR(__xludf.dummyfunction("""COMPUTED_VALUE"""),"JÚLIA MEDEIROS PEREZ BORGES ")</f>
        <v>JÚLIA MEDEIROS PEREZ BORGES</v>
      </c>
      <c r="C228" s="5"/>
      <c r="D228" s="5"/>
      <c r="E228" s="5" t="str">
        <f aca="false">IFERROR(__xludf.dummyfunction("""COMPUTED_VALUE"""),"GO")</f>
        <v>GO</v>
      </c>
      <c r="F228" s="4" t="str">
        <f aca="false">IFERROR(__xludf.dummyfunction("""COMPUTED_VALUE"""),"GOIÂNIA")</f>
        <v>GOIÂNIA</v>
      </c>
      <c r="G228" s="4" t="str">
        <f aca="false">IFERROR(__xludf.dummyfunction("""COMPUTED_VALUE"""),"DIREITO")</f>
        <v>DIREITO</v>
      </c>
      <c r="H228" s="4" t="str">
        <f aca="false">IFERROR(__xludf.dummyfunction("""COMPUTED_VALUE"""),"CONTRATADO")</f>
        <v>CONTRATADO</v>
      </c>
    </row>
    <row r="229" customFormat="false" ht="13.8" hidden="false" customHeight="false" outlineLevel="0" collapsed="false">
      <c r="A229" s="4" t="n">
        <f aca="false">IFERROR(__xludf.dummyfunction("""COMPUTED_VALUE"""),228)</f>
        <v>228</v>
      </c>
      <c r="B229" s="5" t="str">
        <f aca="false">IFERROR(__xludf.dummyfunction("""COMPUTED_VALUE"""),"GREICIELLE DA SILVA CORDEIRO")</f>
        <v>GREICIELLE DA SILVA CORDEIRO</v>
      </c>
      <c r="C229" s="5"/>
      <c r="D229" s="5"/>
      <c r="E229" s="5" t="str">
        <f aca="false">IFERROR(__xludf.dummyfunction("""COMPUTED_VALUE"""),"GO")</f>
        <v>GO</v>
      </c>
      <c r="F229" s="4" t="str">
        <f aca="false">IFERROR(__xludf.dummyfunction("""COMPUTED_VALUE"""),"FORMOSA")</f>
        <v>FORMOSA</v>
      </c>
      <c r="G229" s="4" t="str">
        <f aca="false">IFERROR(__xludf.dummyfunction("""COMPUTED_VALUE"""),"DIREITO")</f>
        <v>DIREITO</v>
      </c>
      <c r="H229" s="4" t="str">
        <f aca="false">IFERROR(__xludf.dummyfunction("""COMPUTED_VALUE"""),"DESCLASSIFICADO")</f>
        <v>DESCLASSIFICADO</v>
      </c>
    </row>
    <row r="230" customFormat="false" ht="13.8" hidden="false" customHeight="false" outlineLevel="0" collapsed="false">
      <c r="A230" s="4" t="n">
        <f aca="false">IFERROR(__xludf.dummyfunction("""COMPUTED_VALUE"""),229)</f>
        <v>229</v>
      </c>
      <c r="B230" s="5" t="str">
        <f aca="false">IFERROR(__xludf.dummyfunction("""COMPUTED_VALUE"""),"ISABELLE CRISTHINE PEDROSO DE OLIVEIRA")</f>
        <v>ISABELLE CRISTHINE PEDROSO DE OLIVEIRA</v>
      </c>
      <c r="C230" s="5"/>
      <c r="D230" s="5"/>
      <c r="E230" s="5" t="str">
        <f aca="false">IFERROR(__xludf.dummyfunction("""COMPUTED_VALUE"""),"GO")</f>
        <v>GO</v>
      </c>
      <c r="F230" s="4" t="str">
        <f aca="false">IFERROR(__xludf.dummyfunction("""COMPUTED_VALUE"""),"APARECIDA DE GOIÂNIA")</f>
        <v>APARECIDA DE GOIÂNIA</v>
      </c>
      <c r="G230" s="4" t="str">
        <f aca="false">IFERROR(__xludf.dummyfunction("""COMPUTED_VALUE"""),"DIREITO")</f>
        <v>DIREITO</v>
      </c>
      <c r="H230" s="4" t="str">
        <f aca="false">IFERROR(__xludf.dummyfunction("""COMPUTED_VALUE"""),"CONTRATADO")</f>
        <v>CONTRATADO</v>
      </c>
    </row>
    <row r="231" customFormat="false" ht="13.8" hidden="false" customHeight="false" outlineLevel="0" collapsed="false">
      <c r="A231" s="4" t="n">
        <f aca="false">IFERROR(__xludf.dummyfunction("""COMPUTED_VALUE"""),230)</f>
        <v>230</v>
      </c>
      <c r="B231" s="5" t="str">
        <f aca="false">IFERROR(__xludf.dummyfunction("""COMPUTED_VALUE"""),"AMANDA MARIA FERREIRA DE SOUSA ")</f>
        <v>AMANDA MARIA FERREIRA DE SOUSA</v>
      </c>
      <c r="C231" s="5"/>
      <c r="D231" s="5"/>
      <c r="E231" s="5" t="str">
        <f aca="false">IFERROR(__xludf.dummyfunction("""COMPUTED_VALUE"""),"DF")</f>
        <v>DF</v>
      </c>
      <c r="F231" s="4" t="str">
        <f aca="false">IFERROR(__xludf.dummyfunction("""COMPUTED_VALUE"""),"BRASÍLIA")</f>
        <v>BRASÍLIA</v>
      </c>
      <c r="G231" s="4" t="str">
        <f aca="false">IFERROR(__xludf.dummyfunction("""COMPUTED_VALUE"""),"DIREITO")</f>
        <v>DIREITO</v>
      </c>
      <c r="H231" s="4" t="str">
        <f aca="false">IFERROR(__xludf.dummyfunction("""COMPUTED_VALUE"""),"DESCLASSIFICADO")</f>
        <v>DESCLASSIFICADO</v>
      </c>
    </row>
    <row r="232" customFormat="false" ht="13.8" hidden="false" customHeight="false" outlineLevel="0" collapsed="false">
      <c r="A232" s="4" t="n">
        <f aca="false">IFERROR(__xludf.dummyfunction("""COMPUTED_VALUE"""),231)</f>
        <v>231</v>
      </c>
      <c r="B232" s="5" t="str">
        <f aca="false">IFERROR(__xludf.dummyfunction("""COMPUTED_VALUE"""),"JOSÉ RANDER MOURA MEIRELES ")</f>
        <v>JOSÉ RANDER MOURA MEIRELES</v>
      </c>
      <c r="C232" s="5"/>
      <c r="D232" s="5"/>
      <c r="E232" s="5" t="str">
        <f aca="false">IFERROR(__xludf.dummyfunction("""COMPUTED_VALUE"""),"GO")</f>
        <v>GO</v>
      </c>
      <c r="F232" s="4" t="str">
        <f aca="false">IFERROR(__xludf.dummyfunction("""COMPUTED_VALUE"""),"APARECIDA DE GOIÂNIA")</f>
        <v>APARECIDA DE GOIÂNIA</v>
      </c>
      <c r="G232" s="4" t="str">
        <f aca="false">IFERROR(__xludf.dummyfunction("""COMPUTED_VALUE"""),"DIREITO")</f>
        <v>DIREITO</v>
      </c>
      <c r="H232" s="4" t="str">
        <f aca="false">IFERROR(__xludf.dummyfunction("""COMPUTED_VALUE"""),"CONTRATADO")</f>
        <v>CONTRATADO</v>
      </c>
    </row>
    <row r="233" customFormat="false" ht="13.8" hidden="false" customHeight="false" outlineLevel="0" collapsed="false">
      <c r="A233" s="4" t="n">
        <f aca="false">IFERROR(__xludf.dummyfunction("""COMPUTED_VALUE"""),232)</f>
        <v>232</v>
      </c>
      <c r="B233" s="5" t="str">
        <f aca="false">IFERROR(__xludf.dummyfunction("""COMPUTED_VALUE"""),"KAROLINE PINHEIRO SIQUEIRA ")</f>
        <v>KAROLINE PINHEIRO SIQUEIRA</v>
      </c>
      <c r="C233" s="5"/>
      <c r="D233" s="5"/>
      <c r="E233" s="5" t="str">
        <f aca="false">IFERROR(__xludf.dummyfunction("""COMPUTED_VALUE"""),"GO")</f>
        <v>GO</v>
      </c>
      <c r="F233" s="4" t="str">
        <f aca="false">IFERROR(__xludf.dummyfunction("""COMPUTED_VALUE"""),"IPORÁ")</f>
        <v>IPORÁ</v>
      </c>
      <c r="G233" s="4" t="str">
        <f aca="false">IFERROR(__xludf.dummyfunction("""COMPUTED_VALUE"""),"DIREITO")</f>
        <v>DIREITO</v>
      </c>
      <c r="H233" s="4" t="str">
        <f aca="false">IFERROR(__xludf.dummyfunction("""COMPUTED_VALUE"""),"DESCLASSIFICADO")</f>
        <v>DESCLASSIFICADO</v>
      </c>
    </row>
    <row r="234" customFormat="false" ht="13.8" hidden="false" customHeight="false" outlineLevel="0" collapsed="false">
      <c r="A234" s="4" t="n">
        <f aca="false">IFERROR(__xludf.dummyfunction("""COMPUTED_VALUE"""),233)</f>
        <v>233</v>
      </c>
      <c r="B234" s="5" t="str">
        <f aca="false">IFERROR(__xludf.dummyfunction("""COMPUTED_VALUE"""),"AARON BORÉM DUARTE MARTINS")</f>
        <v>AARON BORÉM DUARTE MARTINS</v>
      </c>
      <c r="C234" s="5"/>
      <c r="D234" s="5"/>
      <c r="E234" s="5" t="str">
        <f aca="false">IFERROR(__xludf.dummyfunction("""COMPUTED_VALUE"""),"GO")</f>
        <v>GO</v>
      </c>
      <c r="F234" s="4" t="str">
        <f aca="false">IFERROR(__xludf.dummyfunction("""COMPUTED_VALUE"""),"APARECIDA DE GOIÂNIA")</f>
        <v>APARECIDA DE GOIÂNIA</v>
      </c>
      <c r="G234" s="4" t="str">
        <f aca="false">IFERROR(__xludf.dummyfunction("""COMPUTED_VALUE"""),"DIREITO")</f>
        <v>DIREITO</v>
      </c>
      <c r="H234" s="4" t="str">
        <f aca="false">IFERROR(__xludf.dummyfunction("""COMPUTED_VALUE"""),"CONTRATADO")</f>
        <v>CONTRATADO</v>
      </c>
    </row>
    <row r="235" customFormat="false" ht="13.8" hidden="false" customHeight="false" outlineLevel="0" collapsed="false">
      <c r="A235" s="4" t="n">
        <f aca="false">IFERROR(__xludf.dummyfunction("""COMPUTED_VALUE"""),234)</f>
        <v>234</v>
      </c>
      <c r="B235" s="5" t="str">
        <f aca="false">IFERROR(__xludf.dummyfunction("""COMPUTED_VALUE"""),"UDALINO LUCAS VILELA MONTEIRO")</f>
        <v>UDALINO LUCAS VILELA MONTEIRO</v>
      </c>
      <c r="C235" s="5"/>
      <c r="D235" s="5"/>
      <c r="E235" s="5" t="str">
        <f aca="false">IFERROR(__xludf.dummyfunction("""COMPUTED_VALUE"""),"GO")</f>
        <v>GO</v>
      </c>
      <c r="F235" s="4" t="str">
        <f aca="false">IFERROR(__xludf.dummyfunction("""COMPUTED_VALUE"""),"MINEIROS")</f>
        <v>MINEIROS</v>
      </c>
      <c r="G235" s="4" t="str">
        <f aca="false">IFERROR(__xludf.dummyfunction("""COMPUTED_VALUE"""),"DIREITO")</f>
        <v>DIREITO</v>
      </c>
      <c r="H235" s="4" t="str">
        <f aca="false">IFERROR(__xludf.dummyfunction("""COMPUTED_VALUE"""),"DESCLASSIFICADO")</f>
        <v>DESCLASSIFICADO</v>
      </c>
    </row>
    <row r="236" customFormat="false" ht="13.8" hidden="false" customHeight="false" outlineLevel="0" collapsed="false">
      <c r="A236" s="4" t="n">
        <f aca="false">IFERROR(__xludf.dummyfunction("""COMPUTED_VALUE"""),235)</f>
        <v>235</v>
      </c>
      <c r="B236" s="5" t="str">
        <f aca="false">IFERROR(__xludf.dummyfunction("""COMPUTED_VALUE"""),"JOICY DOS SANTOS MOREIRA")</f>
        <v>JOICY DOS SANTOS MOREIRA</v>
      </c>
      <c r="C236" s="5"/>
      <c r="D236" s="5"/>
      <c r="E236" s="5" t="str">
        <f aca="false">IFERROR(__xludf.dummyfunction("""COMPUTED_VALUE"""),"GO")</f>
        <v>GO</v>
      </c>
      <c r="F236" s="4" t="str">
        <f aca="false">IFERROR(__xludf.dummyfunction("""COMPUTED_VALUE"""),"GOIANIRA")</f>
        <v>GOIANIRA</v>
      </c>
      <c r="G236" s="4" t="str">
        <f aca="false">IFERROR(__xludf.dummyfunction("""COMPUTED_VALUE"""),"DIREITO")</f>
        <v>DIREITO</v>
      </c>
      <c r="H236" s="4" t="str">
        <f aca="false">IFERROR(__xludf.dummyfunction("""COMPUTED_VALUE"""),"DESCLASSIFICADO")</f>
        <v>DESCLASSIFICADO</v>
      </c>
    </row>
    <row r="237" customFormat="false" ht="13.8" hidden="false" customHeight="false" outlineLevel="0" collapsed="false">
      <c r="A237" s="4" t="n">
        <f aca="false">IFERROR(__xludf.dummyfunction("""COMPUTED_VALUE"""),236)</f>
        <v>236</v>
      </c>
      <c r="B237" s="5" t="str">
        <f aca="false">IFERROR(__xludf.dummyfunction("""COMPUTED_VALUE"""),"KALITA MURIELY FERREIRA DE MORAIS")</f>
        <v>KALITA MURIELY FERREIRA DE MORAIS</v>
      </c>
      <c r="C237" s="5"/>
      <c r="D237" s="5"/>
      <c r="E237" s="5" t="str">
        <f aca="false">IFERROR(__xludf.dummyfunction("""COMPUTED_VALUE"""),"GO")</f>
        <v>GO</v>
      </c>
      <c r="F237" s="4" t="str">
        <f aca="false">IFERROR(__xludf.dummyfunction("""COMPUTED_VALUE"""),"APARECIDA DE GOIÂNIA")</f>
        <v>APARECIDA DE GOIÂNIA</v>
      </c>
      <c r="G237" s="4" t="str">
        <f aca="false">IFERROR(__xludf.dummyfunction("""COMPUTED_VALUE"""),"DIREITO")</f>
        <v>DIREITO</v>
      </c>
      <c r="H237" s="4" t="str">
        <f aca="false">IFERROR(__xludf.dummyfunction("""COMPUTED_VALUE"""),"DESCLASSIFICADO")</f>
        <v>DESCLASSIFICADO</v>
      </c>
    </row>
    <row r="238" customFormat="false" ht="13.8" hidden="false" customHeight="false" outlineLevel="0" collapsed="false">
      <c r="A238" s="4" t="n">
        <f aca="false">IFERROR(__xludf.dummyfunction("""COMPUTED_VALUE"""),237)</f>
        <v>237</v>
      </c>
      <c r="B238" s="5" t="str">
        <f aca="false">IFERROR(__xludf.dummyfunction("""COMPUTED_VALUE"""),"YASMIN FUJIOKA")</f>
        <v>YASMIN FUJIOKA</v>
      </c>
      <c r="C238" s="5"/>
      <c r="D238" s="5"/>
      <c r="E238" s="5" t="str">
        <f aca="false">IFERROR(__xludf.dummyfunction("""COMPUTED_VALUE"""),"GO")</f>
        <v>GO</v>
      </c>
      <c r="F238" s="4" t="str">
        <f aca="false">IFERROR(__xludf.dummyfunction("""COMPUTED_VALUE"""),"GOIÂNIA")</f>
        <v>GOIÂNIA</v>
      </c>
      <c r="G238" s="4" t="str">
        <f aca="false">IFERROR(__xludf.dummyfunction("""COMPUTED_VALUE"""),"DIREITO")</f>
        <v>DIREITO</v>
      </c>
      <c r="H238" s="4" t="str">
        <f aca="false">IFERROR(__xludf.dummyfunction("""COMPUTED_VALUE"""),"CONTRATADO")</f>
        <v>CONTRATADO</v>
      </c>
    </row>
    <row r="239" customFormat="false" ht="13.8" hidden="false" customHeight="false" outlineLevel="0" collapsed="false">
      <c r="A239" s="4" t="n">
        <f aca="false">IFERROR(__xludf.dummyfunction("""COMPUTED_VALUE"""),238)</f>
        <v>238</v>
      </c>
      <c r="B239" s="5" t="str">
        <f aca="false">IFERROR(__xludf.dummyfunction("""COMPUTED_VALUE"""),"JULLYA VIEIRA DE OLIVEIRA")</f>
        <v>JULLYA VIEIRA DE OLIVEIRA</v>
      </c>
      <c r="C239" s="5"/>
      <c r="D239" s="5"/>
      <c r="E239" s="5" t="str">
        <f aca="false">IFERROR(__xludf.dummyfunction("""COMPUTED_VALUE"""),"GO")</f>
        <v>GO</v>
      </c>
      <c r="F239" s="4" t="str">
        <f aca="false">IFERROR(__xludf.dummyfunction("""COMPUTED_VALUE"""),"APARECIDA DE GOIÂNIA")</f>
        <v>APARECIDA DE GOIÂNIA</v>
      </c>
      <c r="G239" s="4" t="str">
        <f aca="false">IFERROR(__xludf.dummyfunction("""COMPUTED_VALUE"""),"DIREITO")</f>
        <v>DIREITO</v>
      </c>
      <c r="H239" s="4" t="str">
        <f aca="false">IFERROR(__xludf.dummyfunction("""COMPUTED_VALUE"""),"CONTRATADO")</f>
        <v>CONTRATADO</v>
      </c>
    </row>
    <row r="240" customFormat="false" ht="13.8" hidden="false" customHeight="false" outlineLevel="0" collapsed="false">
      <c r="A240" s="4" t="n">
        <f aca="false">IFERROR(__xludf.dummyfunction("""COMPUTED_VALUE"""),239)</f>
        <v>239</v>
      </c>
      <c r="B240" s="5" t="str">
        <f aca="false">IFERROR(__xludf.dummyfunction("""COMPUTED_VALUE"""),"JOÃO PAULO BORGES ARRAES")</f>
        <v>JOÃO PAULO BORGES ARRAES</v>
      </c>
      <c r="C240" s="5"/>
      <c r="D240" s="5"/>
      <c r="E240" s="5" t="str">
        <f aca="false">IFERROR(__xludf.dummyfunction("""COMPUTED_VALUE"""),"GO")</f>
        <v>GO</v>
      </c>
      <c r="F240" s="4" t="str">
        <f aca="false">IFERROR(__xludf.dummyfunction("""COMPUTED_VALUE"""),"APARECIDA DE GOIÂNIA")</f>
        <v>APARECIDA DE GOIÂNIA</v>
      </c>
      <c r="G240" s="4" t="str">
        <f aca="false">IFERROR(__xludf.dummyfunction("""COMPUTED_VALUE"""),"DIREITO")</f>
        <v>DIREITO</v>
      </c>
      <c r="H240" s="4" t="str">
        <f aca="false">IFERROR(__xludf.dummyfunction("""COMPUTED_VALUE"""),"DESCLASSIFICADO")</f>
        <v>DESCLASSIFICADO</v>
      </c>
    </row>
    <row r="241" customFormat="false" ht="13.8" hidden="false" customHeight="false" outlineLevel="0" collapsed="false">
      <c r="A241" s="4" t="n">
        <f aca="false">IFERROR(__xludf.dummyfunction("""COMPUTED_VALUE"""),240)</f>
        <v>240</v>
      </c>
      <c r="B241" s="5" t="str">
        <f aca="false">IFERROR(__xludf.dummyfunction("""COMPUTED_VALUE"""),"DANIELA ALVES DOS SANTOS ")</f>
        <v>DANIELA ALVES DOS SANTOS</v>
      </c>
      <c r="C241" s="5"/>
      <c r="D241" s="5"/>
      <c r="E241" s="5" t="str">
        <f aca="false">IFERROR(__xludf.dummyfunction("""COMPUTED_VALUE"""),"GO")</f>
        <v>GO</v>
      </c>
      <c r="F241" s="4" t="str">
        <f aca="false">IFERROR(__xludf.dummyfunction("""COMPUTED_VALUE"""),"GOIÂNIA")</f>
        <v>GOIÂNIA</v>
      </c>
      <c r="G241" s="4" t="str">
        <f aca="false">IFERROR(__xludf.dummyfunction("""COMPUTED_VALUE"""),"DIREITO")</f>
        <v>DIREITO</v>
      </c>
      <c r="H241" s="4" t="str">
        <f aca="false">IFERROR(__xludf.dummyfunction("""COMPUTED_VALUE"""),"DESCLASSIFICADO")</f>
        <v>DESCLASSIFICADO</v>
      </c>
    </row>
    <row r="242" customFormat="false" ht="13.8" hidden="false" customHeight="false" outlineLevel="0" collapsed="false">
      <c r="A242" s="4" t="n">
        <f aca="false">IFERROR(__xludf.dummyfunction("""COMPUTED_VALUE"""),241)</f>
        <v>241</v>
      </c>
      <c r="B242" s="5" t="str">
        <f aca="false">IFERROR(__xludf.dummyfunction("""COMPUTED_VALUE"""),"DYOICE LENNYER FARIA OLIVEIRA ")</f>
        <v>DYOICE LENNYER FARIA OLIVEIRA</v>
      </c>
      <c r="C242" s="5"/>
      <c r="D242" s="5"/>
      <c r="E242" s="5" t="str">
        <f aca="false">IFERROR(__xludf.dummyfunction("""COMPUTED_VALUE"""),"GO")</f>
        <v>GO</v>
      </c>
      <c r="F242" s="4" t="str">
        <f aca="false">IFERROR(__xludf.dummyfunction("""COMPUTED_VALUE"""),"RIO VERDE")</f>
        <v>RIO VERDE</v>
      </c>
      <c r="G242" s="4" t="str">
        <f aca="false">IFERROR(__xludf.dummyfunction("""COMPUTED_VALUE"""),"DIREITO")</f>
        <v>DIREITO</v>
      </c>
      <c r="H242" s="4" t="str">
        <f aca="false">IFERROR(__xludf.dummyfunction("""COMPUTED_VALUE"""),"DESCLASSIFICADO")</f>
        <v>DESCLASSIFICADO</v>
      </c>
    </row>
    <row r="243" customFormat="false" ht="13.8" hidden="false" customHeight="false" outlineLevel="0" collapsed="false">
      <c r="A243" s="4" t="n">
        <f aca="false">IFERROR(__xludf.dummyfunction("""COMPUTED_VALUE"""),242)</f>
        <v>242</v>
      </c>
      <c r="B243" s="5" t="str">
        <f aca="false">IFERROR(__xludf.dummyfunction("""COMPUTED_VALUE"""),"LAYANE EVEN MENDONÇA CORRÊA ")</f>
        <v>LAYANE EVEN MENDONÇA CORRÊA</v>
      </c>
      <c r="C243" s="5"/>
      <c r="D243" s="5"/>
      <c r="E243" s="5" t="str">
        <f aca="false">IFERROR(__xludf.dummyfunction("""COMPUTED_VALUE"""),"GO")</f>
        <v>GO</v>
      </c>
      <c r="F243" s="4" t="str">
        <f aca="false">IFERROR(__xludf.dummyfunction("""COMPUTED_VALUE"""),"TRINDADE")</f>
        <v>TRINDADE</v>
      </c>
      <c r="G243" s="4" t="str">
        <f aca="false">IFERROR(__xludf.dummyfunction("""COMPUTED_VALUE"""),"DIREITO")</f>
        <v>DIREITO</v>
      </c>
      <c r="H243" s="4" t="str">
        <f aca="false">IFERROR(__xludf.dummyfunction("""COMPUTED_VALUE"""),"CONTRATADO")</f>
        <v>CONTRATADO</v>
      </c>
    </row>
    <row r="244" customFormat="false" ht="13.8" hidden="false" customHeight="false" outlineLevel="0" collapsed="false">
      <c r="A244" s="4" t="n">
        <f aca="false">IFERROR(__xludf.dummyfunction("""COMPUTED_VALUE"""),243)</f>
        <v>243</v>
      </c>
      <c r="B244" s="5" t="str">
        <f aca="false">IFERROR(__xludf.dummyfunction("""COMPUTED_VALUE"""),"IZADORA AZEVEDOS GOMES BARBOSA")</f>
        <v>IZADORA AZEVEDOS GOMES BARBOSA</v>
      </c>
      <c r="C244" s="5"/>
      <c r="D244" s="5"/>
      <c r="E244" s="5" t="str">
        <f aca="false">IFERROR(__xludf.dummyfunction("""COMPUTED_VALUE"""),"GO")</f>
        <v>GO</v>
      </c>
      <c r="F244" s="4" t="str">
        <f aca="false">IFERROR(__xludf.dummyfunction("""COMPUTED_VALUE"""),"GOIÂNIA")</f>
        <v>GOIÂNIA</v>
      </c>
      <c r="G244" s="4" t="str">
        <f aca="false">IFERROR(__xludf.dummyfunction("""COMPUTED_VALUE"""),"DIREITO")</f>
        <v>DIREITO</v>
      </c>
      <c r="H244" s="4" t="str">
        <f aca="false">IFERROR(__xludf.dummyfunction("""COMPUTED_VALUE"""),"CONTRATADO")</f>
        <v>CONTRATADO</v>
      </c>
    </row>
    <row r="245" customFormat="false" ht="13.8" hidden="false" customHeight="false" outlineLevel="0" collapsed="false">
      <c r="A245" s="4" t="n">
        <f aca="false">IFERROR(__xludf.dummyfunction("""COMPUTED_VALUE"""),244)</f>
        <v>244</v>
      </c>
      <c r="B245" s="5" t="str">
        <f aca="false">IFERROR(__xludf.dummyfunction("""COMPUTED_VALUE"""),"GEOVANA VITÓRIA REIS ALVES ")</f>
        <v>GEOVANA VITÓRIA REIS ALVES</v>
      </c>
      <c r="C245" s="5"/>
      <c r="D245" s="5"/>
      <c r="E245" s="5" t="str">
        <f aca="false">IFERROR(__xludf.dummyfunction("""COMPUTED_VALUE"""),"GO")</f>
        <v>GO</v>
      </c>
      <c r="F245" s="4" t="str">
        <f aca="false">IFERROR(__xludf.dummyfunction("""COMPUTED_VALUE"""),"APARECIDA DE GOIÂNIA")</f>
        <v>APARECIDA DE GOIÂNIA</v>
      </c>
      <c r="G245" s="4" t="str">
        <f aca="false">IFERROR(__xludf.dummyfunction("""COMPUTED_VALUE"""),"DIREITO")</f>
        <v>DIREITO</v>
      </c>
      <c r="H245" s="4" t="str">
        <f aca="false">IFERROR(__xludf.dummyfunction("""COMPUTED_VALUE"""),"CONTRATADO")</f>
        <v>CONTRATADO</v>
      </c>
    </row>
    <row r="246" customFormat="false" ht="13.8" hidden="false" customHeight="false" outlineLevel="0" collapsed="false">
      <c r="A246" s="4" t="n">
        <f aca="false">IFERROR(__xludf.dummyfunction("""COMPUTED_VALUE"""),245)</f>
        <v>245</v>
      </c>
      <c r="B246" s="5" t="str">
        <f aca="false">IFERROR(__xludf.dummyfunction("""COMPUTED_VALUE"""),"JUAN RICARDO RIBEIRO PORTILHO DÂMASO")</f>
        <v>JUAN RICARDO RIBEIRO PORTILHO DÂMASO</v>
      </c>
      <c r="C246" s="5"/>
      <c r="D246" s="5"/>
      <c r="E246" s="5" t="str">
        <f aca="false">IFERROR(__xludf.dummyfunction("""COMPUTED_VALUE"""),"GO")</f>
        <v>GO</v>
      </c>
      <c r="F246" s="4" t="str">
        <f aca="false">IFERROR(__xludf.dummyfunction("""COMPUTED_VALUE"""),"APARECIDA DE GOIÂNIA")</f>
        <v>APARECIDA DE GOIÂNIA</v>
      </c>
      <c r="G246" s="4" t="str">
        <f aca="false">IFERROR(__xludf.dummyfunction("""COMPUTED_VALUE"""),"DIREITO")</f>
        <v>DIREITO</v>
      </c>
      <c r="H246" s="4" t="str">
        <f aca="false">IFERROR(__xludf.dummyfunction("""COMPUTED_VALUE"""),"DESCLASSIFICADO")</f>
        <v>DESCLASSIFICADO</v>
      </c>
    </row>
    <row r="247" customFormat="false" ht="13.8" hidden="false" customHeight="false" outlineLevel="0" collapsed="false">
      <c r="A247" s="4" t="n">
        <f aca="false">IFERROR(__xludf.dummyfunction("""COMPUTED_VALUE"""),246)</f>
        <v>246</v>
      </c>
      <c r="B247" s="5" t="str">
        <f aca="false">IFERROR(__xludf.dummyfunction("""COMPUTED_VALUE"""),"RAFAELA BEATRIZ QUEIROZ DA SILVA")</f>
        <v>RAFAELA BEATRIZ QUEIROZ DA SILVA</v>
      </c>
      <c r="C247" s="5"/>
      <c r="D247" s="5"/>
      <c r="E247" s="5" t="str">
        <f aca="false">IFERROR(__xludf.dummyfunction("""COMPUTED_VALUE"""),"GO")</f>
        <v>GO</v>
      </c>
      <c r="F247" s="4" t="str">
        <f aca="false">IFERROR(__xludf.dummyfunction("""COMPUTED_VALUE"""),"APARECIDA DE GOIÂNIA")</f>
        <v>APARECIDA DE GOIÂNIA</v>
      </c>
      <c r="G247" s="4" t="str">
        <f aca="false">IFERROR(__xludf.dummyfunction("""COMPUTED_VALUE"""),"DIREITO")</f>
        <v>DIREITO</v>
      </c>
      <c r="H247" s="4" t="str">
        <f aca="false">IFERROR(__xludf.dummyfunction("""COMPUTED_VALUE"""),"DESCLASSIFICADO")</f>
        <v>DESCLASSIFICADO</v>
      </c>
    </row>
    <row r="248" customFormat="false" ht="13.8" hidden="false" customHeight="false" outlineLevel="0" collapsed="false">
      <c r="A248" s="4" t="n">
        <f aca="false">IFERROR(__xludf.dummyfunction("""COMPUTED_VALUE"""),247)</f>
        <v>247</v>
      </c>
      <c r="B248" s="5" t="str">
        <f aca="false">IFERROR(__xludf.dummyfunction("""COMPUTED_VALUE"""),"YAN CHIACCHIO CANDIDO")</f>
        <v>YAN CHIACCHIO CANDIDO</v>
      </c>
      <c r="C248" s="5"/>
      <c r="D248" s="5"/>
      <c r="E248" s="5" t="str">
        <f aca="false">IFERROR(__xludf.dummyfunction("""COMPUTED_VALUE"""),"GO")</f>
        <v>GO</v>
      </c>
      <c r="F248" s="4" t="str">
        <f aca="false">IFERROR(__xludf.dummyfunction("""COMPUTED_VALUE"""),"GOIÂNIA")</f>
        <v>GOIÂNIA</v>
      </c>
      <c r="G248" s="4" t="str">
        <f aca="false">IFERROR(__xludf.dummyfunction("""COMPUTED_VALUE"""),"DIREITO")</f>
        <v>DIREITO</v>
      </c>
      <c r="H248" s="4" t="str">
        <f aca="false">IFERROR(__xludf.dummyfunction("""COMPUTED_VALUE"""),"CONTRATADO")</f>
        <v>CONTRATADO</v>
      </c>
    </row>
    <row r="249" customFormat="false" ht="13.8" hidden="false" customHeight="false" outlineLevel="0" collapsed="false">
      <c r="A249" s="4" t="n">
        <f aca="false">IFERROR(__xludf.dummyfunction("""COMPUTED_VALUE"""),248)</f>
        <v>248</v>
      </c>
      <c r="B249" s="5" t="str">
        <f aca="false">IFERROR(__xludf.dummyfunction("""COMPUTED_VALUE"""),"SAMIRYS MENDONÇA SILVA")</f>
        <v>SAMIRYS MENDONÇA SILVA</v>
      </c>
      <c r="C249" s="5"/>
      <c r="D249" s="5"/>
      <c r="E249" s="5" t="str">
        <f aca="false">IFERROR(__xludf.dummyfunction("""COMPUTED_VALUE"""),"GO")</f>
        <v>GO</v>
      </c>
      <c r="F249" s="4" t="str">
        <f aca="false">IFERROR(__xludf.dummyfunction("""COMPUTED_VALUE"""),"SENADOR CANEDO")</f>
        <v>SENADOR CANEDO</v>
      </c>
      <c r="G249" s="4" t="str">
        <f aca="false">IFERROR(__xludf.dummyfunction("""COMPUTED_VALUE"""),"DIREITO")</f>
        <v>DIREITO</v>
      </c>
      <c r="H249" s="4" t="str">
        <f aca="false">IFERROR(__xludf.dummyfunction("""COMPUTED_VALUE"""),"DESCLASSIFICADO")</f>
        <v>DESCLASSIFICADO</v>
      </c>
    </row>
    <row r="250" customFormat="false" ht="13.8" hidden="false" customHeight="false" outlineLevel="0" collapsed="false">
      <c r="A250" s="4" t="n">
        <f aca="false">IFERROR(__xludf.dummyfunction("""COMPUTED_VALUE"""),249)</f>
        <v>249</v>
      </c>
      <c r="B250" s="5" t="str">
        <f aca="false">IFERROR(__xludf.dummyfunction("""COMPUTED_VALUE"""),"NARYELLE APARECIDA MARTINS FERNANDES DE FREITAS")</f>
        <v>NARYELLE APARECIDA MARTINS FERNANDES DE FREITAS</v>
      </c>
      <c r="C250" s="5"/>
      <c r="D250" s="5"/>
      <c r="E250" s="5" t="str">
        <f aca="false">IFERROR(__xludf.dummyfunction("""COMPUTED_VALUE"""),"GO")</f>
        <v>GO</v>
      </c>
      <c r="F250" s="4" t="str">
        <f aca="false">IFERROR(__xludf.dummyfunction("""COMPUTED_VALUE"""),"CATALÃO")</f>
        <v>CATALÃO</v>
      </c>
      <c r="G250" s="4" t="str">
        <f aca="false">IFERROR(__xludf.dummyfunction("""COMPUTED_VALUE"""),"DIREITO")</f>
        <v>DIREITO</v>
      </c>
      <c r="H250" s="4" t="str">
        <f aca="false">IFERROR(__xludf.dummyfunction("""COMPUTED_VALUE"""),"DESCLASSIFICADO")</f>
        <v>DESCLASSIFICADO</v>
      </c>
    </row>
    <row r="251" customFormat="false" ht="13.8" hidden="false" customHeight="false" outlineLevel="0" collapsed="false">
      <c r="A251" s="4" t="n">
        <f aca="false">IFERROR(__xludf.dummyfunction("""COMPUTED_VALUE"""),250)</f>
        <v>250</v>
      </c>
      <c r="B251" s="5" t="str">
        <f aca="false">IFERROR(__xludf.dummyfunction("""COMPUTED_VALUE"""),"OSCAR SANTOS NETO")</f>
        <v>OSCAR SANTOS NETO</v>
      </c>
      <c r="C251" s="5"/>
      <c r="D251" s="5"/>
      <c r="E251" s="5" t="str">
        <f aca="false">IFERROR(__xludf.dummyfunction("""COMPUTED_VALUE"""),"GO")</f>
        <v>GO</v>
      </c>
      <c r="F251" s="4" t="str">
        <f aca="false">IFERROR(__xludf.dummyfunction("""COMPUTED_VALUE"""),"GOIÂNIA")</f>
        <v>GOIÂNIA</v>
      </c>
      <c r="G251" s="4" t="str">
        <f aca="false">IFERROR(__xludf.dummyfunction("""COMPUTED_VALUE"""),"DIREITO")</f>
        <v>DIREITO</v>
      </c>
      <c r="H251" s="4" t="str">
        <f aca="false">IFERROR(__xludf.dummyfunction("""COMPUTED_VALUE"""),"CONTRATADO")</f>
        <v>CONTRATADO</v>
      </c>
    </row>
    <row r="252" customFormat="false" ht="13.8" hidden="false" customHeight="false" outlineLevel="0" collapsed="false">
      <c r="A252" s="4" t="n">
        <f aca="false">IFERROR(__xludf.dummyfunction("""COMPUTED_VALUE"""),251)</f>
        <v>251</v>
      </c>
      <c r="B252" s="5" t="str">
        <f aca="false">IFERROR(__xludf.dummyfunction("""COMPUTED_VALUE"""),"ANA GABRIELLE SOUZA COSTA")</f>
        <v>ANA GABRIELLE SOUZA COSTA</v>
      </c>
      <c r="C252" s="5"/>
      <c r="D252" s="5"/>
      <c r="E252" s="5" t="str">
        <f aca="false">IFERROR(__xludf.dummyfunction("""COMPUTED_VALUE"""),"GO")</f>
        <v>GO</v>
      </c>
      <c r="F252" s="4" t="str">
        <f aca="false">IFERROR(__xludf.dummyfunction("""COMPUTED_VALUE"""),"GOIÂNIA")</f>
        <v>GOIÂNIA</v>
      </c>
      <c r="G252" s="4" t="str">
        <f aca="false">IFERROR(__xludf.dummyfunction("""COMPUTED_VALUE"""),"DIREITO")</f>
        <v>DIREITO</v>
      </c>
      <c r="H252" s="4" t="str">
        <f aca="false">IFERROR(__xludf.dummyfunction("""COMPUTED_VALUE"""),"DESCLASSIFICADO")</f>
        <v>DESCLASSIFICADO</v>
      </c>
    </row>
    <row r="253" customFormat="false" ht="13.8" hidden="false" customHeight="false" outlineLevel="0" collapsed="false">
      <c r="A253" s="4" t="n">
        <f aca="false">IFERROR(__xludf.dummyfunction("""COMPUTED_VALUE"""),252)</f>
        <v>252</v>
      </c>
      <c r="B253" s="5" t="str">
        <f aca="false">IFERROR(__xludf.dummyfunction("""COMPUTED_VALUE"""),"ISABELLA CRISTINA TAVARES QUERINO")</f>
        <v>ISABELLA CRISTINA TAVARES QUERINO</v>
      </c>
      <c r="C253" s="5"/>
      <c r="D253" s="5"/>
      <c r="E253" s="5" t="str">
        <f aca="false">IFERROR(__xludf.dummyfunction("""COMPUTED_VALUE"""),"GO")</f>
        <v>GO</v>
      </c>
      <c r="F253" s="4" t="str">
        <f aca="false">IFERROR(__xludf.dummyfunction("""COMPUTED_VALUE"""),"GOIÂNIA")</f>
        <v>GOIÂNIA</v>
      </c>
      <c r="G253" s="4" t="str">
        <f aca="false">IFERROR(__xludf.dummyfunction("""COMPUTED_VALUE"""),"DIREITO")</f>
        <v>DIREITO</v>
      </c>
      <c r="H253" s="4" t="str">
        <f aca="false">IFERROR(__xludf.dummyfunction("""COMPUTED_VALUE"""),"DESCLASSIFICADO")</f>
        <v>DESCLASSIFICADO</v>
      </c>
    </row>
    <row r="254" customFormat="false" ht="13.8" hidden="false" customHeight="false" outlineLevel="0" collapsed="false">
      <c r="A254" s="4" t="n">
        <f aca="false">IFERROR(__xludf.dummyfunction("""COMPUTED_VALUE"""),253)</f>
        <v>253</v>
      </c>
      <c r="B254" s="5" t="str">
        <f aca="false">IFERROR(__xludf.dummyfunction("""COMPUTED_VALUE"""),"ARTHUR GABRIEL MENDES DE SOUZA")</f>
        <v>ARTHUR GABRIEL MENDES DE SOUZA</v>
      </c>
      <c r="C254" s="5"/>
      <c r="D254" s="5"/>
      <c r="E254" s="5" t="str">
        <f aca="false">IFERROR(__xludf.dummyfunction("""COMPUTED_VALUE"""),"GO")</f>
        <v>GO</v>
      </c>
      <c r="F254" s="4" t="str">
        <f aca="false">IFERROR(__xludf.dummyfunction("""COMPUTED_VALUE"""),"GOIÂNIA")</f>
        <v>GOIÂNIA</v>
      </c>
      <c r="G254" s="4" t="str">
        <f aca="false">IFERROR(__xludf.dummyfunction("""COMPUTED_VALUE"""),"DIREITO")</f>
        <v>DIREITO</v>
      </c>
      <c r="H254" s="4" t="str">
        <f aca="false">IFERROR(__xludf.dummyfunction("""COMPUTED_VALUE"""),"DESCLASSIFICADO")</f>
        <v>DESCLASSIFICADO</v>
      </c>
    </row>
    <row r="255" customFormat="false" ht="13.8" hidden="false" customHeight="false" outlineLevel="0" collapsed="false">
      <c r="A255" s="4" t="n">
        <f aca="false">IFERROR(__xludf.dummyfunction("""COMPUTED_VALUE"""),254)</f>
        <v>254</v>
      </c>
      <c r="B255" s="5" t="str">
        <f aca="false">IFERROR(__xludf.dummyfunction("""COMPUTED_VALUE"""),"RAFAELLA SEMIEMA DE CASTRO ")</f>
        <v>RAFAELLA SEMIEMA DE CASTRO</v>
      </c>
      <c r="C255" s="5"/>
      <c r="D255" s="5"/>
      <c r="E255" s="5" t="str">
        <f aca="false">IFERROR(__xludf.dummyfunction("""COMPUTED_VALUE"""),"GO")</f>
        <v>GO</v>
      </c>
      <c r="F255" s="4" t="str">
        <f aca="false">IFERROR(__xludf.dummyfunction("""COMPUTED_VALUE"""),"GOIÂNIA")</f>
        <v>GOIÂNIA</v>
      </c>
      <c r="G255" s="4" t="str">
        <f aca="false">IFERROR(__xludf.dummyfunction("""COMPUTED_VALUE"""),"DIREITO")</f>
        <v>DIREITO</v>
      </c>
      <c r="H255" s="4" t="str">
        <f aca="false">IFERROR(__xludf.dummyfunction("""COMPUTED_VALUE"""),"DESCLASSIFICADO")</f>
        <v>DESCLASSIFICADO</v>
      </c>
    </row>
    <row r="256" customFormat="false" ht="13.8" hidden="false" customHeight="false" outlineLevel="0" collapsed="false">
      <c r="A256" s="4" t="n">
        <f aca="false">IFERROR(__xludf.dummyfunction("""COMPUTED_VALUE"""),255)</f>
        <v>255</v>
      </c>
      <c r="B256" s="5" t="str">
        <f aca="false">IFERROR(__xludf.dummyfunction("""COMPUTED_VALUE"""),"IANNE RODRIGUES PEREIRA")</f>
        <v>IANNE RODRIGUES PEREIRA</v>
      </c>
      <c r="C256" s="5"/>
      <c r="D256" s="5"/>
      <c r="E256" s="5" t="str">
        <f aca="false">IFERROR(__xludf.dummyfunction("""COMPUTED_VALUE"""),"GO")</f>
        <v>GO</v>
      </c>
      <c r="F256" s="4" t="str">
        <f aca="false">IFERROR(__xludf.dummyfunction("""COMPUTED_VALUE"""),"APARECIDA DE GOIÂNIA")</f>
        <v>APARECIDA DE GOIÂNIA</v>
      </c>
      <c r="G256" s="4" t="str">
        <f aca="false">IFERROR(__xludf.dummyfunction("""COMPUTED_VALUE"""),"DIREITO")</f>
        <v>DIREITO</v>
      </c>
      <c r="H256" s="4" t="str">
        <f aca="false">IFERROR(__xludf.dummyfunction("""COMPUTED_VALUE"""),"DESCLASSIFICADO")</f>
        <v>DESCLASSIFICADO</v>
      </c>
    </row>
    <row r="257" customFormat="false" ht="13.8" hidden="false" customHeight="false" outlineLevel="0" collapsed="false">
      <c r="A257" s="4" t="n">
        <f aca="false">IFERROR(__xludf.dummyfunction("""COMPUTED_VALUE"""),256)</f>
        <v>256</v>
      </c>
      <c r="B257" s="5" t="str">
        <f aca="false">IFERROR(__xludf.dummyfunction("""COMPUTED_VALUE"""),"NATÁLIA BALDUINO DE FARIA ")</f>
        <v>NATÁLIA BALDUINO DE FARIA</v>
      </c>
      <c r="C257" s="5"/>
      <c r="D257" s="5"/>
      <c r="E257" s="5" t="str">
        <f aca="false">IFERROR(__xludf.dummyfunction("""COMPUTED_VALUE"""),"GO")</f>
        <v>GO</v>
      </c>
      <c r="F257" s="4" t="str">
        <f aca="false">IFERROR(__xludf.dummyfunction("""COMPUTED_VALUE"""),"APARECIDA DE GOIÂNIA")</f>
        <v>APARECIDA DE GOIÂNIA</v>
      </c>
      <c r="G257" s="4" t="str">
        <f aca="false">IFERROR(__xludf.dummyfunction("""COMPUTED_VALUE"""),"DIREITO")</f>
        <v>DIREITO</v>
      </c>
      <c r="H257" s="4" t="str">
        <f aca="false">IFERROR(__xludf.dummyfunction("""COMPUTED_VALUE"""),"DESCLASSIFICADO")</f>
        <v>DESCLASSIFICADO</v>
      </c>
    </row>
    <row r="258" customFormat="false" ht="13.8" hidden="false" customHeight="false" outlineLevel="0" collapsed="false">
      <c r="A258" s="4" t="n">
        <f aca="false">IFERROR(__xludf.dummyfunction("""COMPUTED_VALUE"""),257)</f>
        <v>257</v>
      </c>
      <c r="B258" s="5" t="str">
        <f aca="false">IFERROR(__xludf.dummyfunction("""COMPUTED_VALUE"""),"LARYSSA VITÓRIA DE OLIVEIRA MESSIAS")</f>
        <v>LARYSSA VITÓRIA DE OLIVEIRA MESSIAS</v>
      </c>
      <c r="C258" s="5"/>
      <c r="D258" s="5"/>
      <c r="E258" s="5" t="str">
        <f aca="false">IFERROR(__xludf.dummyfunction("""COMPUTED_VALUE"""),"GO")</f>
        <v>GO</v>
      </c>
      <c r="F258" s="4" t="str">
        <f aca="false">IFERROR(__xludf.dummyfunction("""COMPUTED_VALUE"""),"APARECIDA DE GOIÂNIA")</f>
        <v>APARECIDA DE GOIÂNIA</v>
      </c>
      <c r="G258" s="4" t="str">
        <f aca="false">IFERROR(__xludf.dummyfunction("""COMPUTED_VALUE"""),"DIREITO")</f>
        <v>DIREITO</v>
      </c>
      <c r="H258" s="4" t="str">
        <f aca="false">IFERROR(__xludf.dummyfunction("""COMPUTED_VALUE"""),"CONTRATADO")</f>
        <v>CONTRATADO</v>
      </c>
    </row>
    <row r="259" customFormat="false" ht="13.8" hidden="false" customHeight="false" outlineLevel="0" collapsed="false">
      <c r="A259" s="4" t="n">
        <f aca="false">IFERROR(__xludf.dummyfunction("""COMPUTED_VALUE"""),258)</f>
        <v>258</v>
      </c>
      <c r="B259" s="5" t="str">
        <f aca="false">IFERROR(__xludf.dummyfunction("""COMPUTED_VALUE"""),"HAILA MOURA BARBOSA ")</f>
        <v>HAILA MOURA BARBOSA</v>
      </c>
      <c r="C259" s="5"/>
      <c r="D259" s="5"/>
      <c r="E259" s="5" t="str">
        <f aca="false">IFERROR(__xludf.dummyfunction("""COMPUTED_VALUE"""),"GO")</f>
        <v>GO</v>
      </c>
      <c r="F259" s="4" t="str">
        <f aca="false">IFERROR(__xludf.dummyfunction("""COMPUTED_VALUE"""),"APARECIDA DE GOIÂNIA")</f>
        <v>APARECIDA DE GOIÂNIA</v>
      </c>
      <c r="G259" s="4" t="str">
        <f aca="false">IFERROR(__xludf.dummyfunction("""COMPUTED_VALUE"""),"DIREITO")</f>
        <v>DIREITO</v>
      </c>
      <c r="H259" s="4" t="str">
        <f aca="false">IFERROR(__xludf.dummyfunction("""COMPUTED_VALUE"""),"DESCLASSIFICADO")</f>
        <v>DESCLASSIFICADO</v>
      </c>
    </row>
    <row r="260" customFormat="false" ht="13.8" hidden="false" customHeight="false" outlineLevel="0" collapsed="false">
      <c r="A260" s="4" t="n">
        <f aca="false">IFERROR(__xludf.dummyfunction("""COMPUTED_VALUE"""),259)</f>
        <v>259</v>
      </c>
      <c r="B260" s="5" t="str">
        <f aca="false">IFERROR(__xludf.dummyfunction("""COMPUTED_VALUE"""),"EMANUELE MARYANA SOUSA NERY ")</f>
        <v>EMANUELE MARYANA SOUSA NERY</v>
      </c>
      <c r="C260" s="5"/>
      <c r="D260" s="5"/>
      <c r="E260" s="5" t="str">
        <f aca="false">IFERROR(__xludf.dummyfunction("""COMPUTED_VALUE"""),"GO")</f>
        <v>GO</v>
      </c>
      <c r="F260" s="4" t="str">
        <f aca="false">IFERROR(__xludf.dummyfunction("""COMPUTED_VALUE"""),"SANTO ANTÔNIO DO DESCOBERTO")</f>
        <v>SANTO ANTÔNIO DO DESCOBERTO</v>
      </c>
      <c r="G260" s="4" t="str">
        <f aca="false">IFERROR(__xludf.dummyfunction("""COMPUTED_VALUE"""),"DIREITO")</f>
        <v>DIREITO</v>
      </c>
      <c r="H260" s="4" t="str">
        <f aca="false">IFERROR(__xludf.dummyfunction("""COMPUTED_VALUE"""),"DESCLASSIFICADO")</f>
        <v>DESCLASSIFICADO</v>
      </c>
    </row>
    <row r="261" customFormat="false" ht="13.8" hidden="false" customHeight="false" outlineLevel="0" collapsed="false">
      <c r="A261" s="4" t="n">
        <f aca="false">IFERROR(__xludf.dummyfunction("""COMPUTED_VALUE"""),260)</f>
        <v>260</v>
      </c>
      <c r="B261" s="5" t="str">
        <f aca="false">IFERROR(__xludf.dummyfunction("""COMPUTED_VALUE"""),"MARCELO AUGUSTO MARINHO SIQUIERO")</f>
        <v>MARCELO AUGUSTO MARINHO SIQUIERO</v>
      </c>
      <c r="C261" s="5"/>
      <c r="D261" s="5"/>
      <c r="E261" s="5" t="str">
        <f aca="false">IFERROR(__xludf.dummyfunction("""COMPUTED_VALUE"""),"GO")</f>
        <v>GO</v>
      </c>
      <c r="F261" s="4" t="str">
        <f aca="false">IFERROR(__xludf.dummyfunction("""COMPUTED_VALUE"""),"GOIÂNIA")</f>
        <v>GOIÂNIA</v>
      </c>
      <c r="G261" s="4" t="str">
        <f aca="false">IFERROR(__xludf.dummyfunction("""COMPUTED_VALUE"""),"DIREITO")</f>
        <v>DIREITO</v>
      </c>
      <c r="H261" s="4" t="str">
        <f aca="false">IFERROR(__xludf.dummyfunction("""COMPUTED_VALUE"""),"DESCLASSIFICADO")</f>
        <v>DESCLASSIFICADO</v>
      </c>
    </row>
    <row r="262" customFormat="false" ht="13.8" hidden="false" customHeight="false" outlineLevel="0" collapsed="false">
      <c r="A262" s="4" t="n">
        <f aca="false">IFERROR(__xludf.dummyfunction("""COMPUTED_VALUE"""),261)</f>
        <v>261</v>
      </c>
      <c r="B262" s="5" t="str">
        <f aca="false">IFERROR(__xludf.dummyfunction("""COMPUTED_VALUE"""),"INGRYD RODRIGUES DE SOUZA ")</f>
        <v>INGRYD RODRIGUES DE SOUZA</v>
      </c>
      <c r="C262" s="5"/>
      <c r="D262" s="5"/>
      <c r="E262" s="5" t="str">
        <f aca="false">IFERROR(__xludf.dummyfunction("""COMPUTED_VALUE"""),"GO")</f>
        <v>GO</v>
      </c>
      <c r="F262" s="4" t="str">
        <f aca="false">IFERROR(__xludf.dummyfunction("""COMPUTED_VALUE"""),"GOIÂNIA")</f>
        <v>GOIÂNIA</v>
      </c>
      <c r="G262" s="4" t="str">
        <f aca="false">IFERROR(__xludf.dummyfunction("""COMPUTED_VALUE"""),"DIREITO")</f>
        <v>DIREITO</v>
      </c>
      <c r="H262" s="4" t="str">
        <f aca="false">IFERROR(__xludf.dummyfunction("""COMPUTED_VALUE"""),"CONTRATADO")</f>
        <v>CONTRATADO</v>
      </c>
    </row>
    <row r="263" customFormat="false" ht="13.8" hidden="false" customHeight="false" outlineLevel="0" collapsed="false">
      <c r="A263" s="4" t="n">
        <f aca="false">IFERROR(__xludf.dummyfunction("""COMPUTED_VALUE"""),262)</f>
        <v>262</v>
      </c>
      <c r="B263" s="5" t="str">
        <f aca="false">IFERROR(__xludf.dummyfunction("""COMPUTED_VALUE"""),"MAYSA HELENA DE OLIVEIRA CAMPOS")</f>
        <v>MAYSA HELENA DE OLIVEIRA CAMPOS</v>
      </c>
      <c r="C263" s="5"/>
      <c r="D263" s="5"/>
      <c r="E263" s="5" t="str">
        <f aca="false">IFERROR(__xludf.dummyfunction("""COMPUTED_VALUE"""),"GO")</f>
        <v>GO</v>
      </c>
      <c r="F263" s="4" t="str">
        <f aca="false">IFERROR(__xludf.dummyfunction("""COMPUTED_VALUE"""),"APARECIDA DE GOIÂNIA")</f>
        <v>APARECIDA DE GOIÂNIA</v>
      </c>
      <c r="G263" s="4" t="str">
        <f aca="false">IFERROR(__xludf.dummyfunction("""COMPUTED_VALUE"""),"DIREITO")</f>
        <v>DIREITO</v>
      </c>
      <c r="H263" s="4" t="str">
        <f aca="false">IFERROR(__xludf.dummyfunction("""COMPUTED_VALUE"""),"DESCLASSIFICADO")</f>
        <v>DESCLASSIFICADO</v>
      </c>
    </row>
    <row r="264" customFormat="false" ht="13.8" hidden="false" customHeight="false" outlineLevel="0" collapsed="false">
      <c r="A264" s="4" t="n">
        <f aca="false">IFERROR(__xludf.dummyfunction("""COMPUTED_VALUE"""),263)</f>
        <v>263</v>
      </c>
      <c r="B264" s="5" t="str">
        <f aca="false">IFERROR(__xludf.dummyfunction("""COMPUTED_VALUE"""),"MARIANA BARRETO DE AVELLAR")</f>
        <v>MARIANA BARRETO DE AVELLAR</v>
      </c>
      <c r="C264" s="5"/>
      <c r="D264" s="5"/>
      <c r="E264" s="5" t="str">
        <f aca="false">IFERROR(__xludf.dummyfunction("""COMPUTED_VALUE"""),"GO")</f>
        <v>GO</v>
      </c>
      <c r="F264" s="4" t="str">
        <f aca="false">IFERROR(__xludf.dummyfunction("""COMPUTED_VALUE"""),"GOIÂNIA")</f>
        <v>GOIÂNIA</v>
      </c>
      <c r="G264" s="4" t="str">
        <f aca="false">IFERROR(__xludf.dummyfunction("""COMPUTED_VALUE"""),"DIREITO")</f>
        <v>DIREITO</v>
      </c>
      <c r="H264" s="4" t="str">
        <f aca="false">IFERROR(__xludf.dummyfunction("""COMPUTED_VALUE"""),"CONTRATADO")</f>
        <v>CONTRATADO</v>
      </c>
    </row>
    <row r="265" customFormat="false" ht="13.8" hidden="false" customHeight="false" outlineLevel="0" collapsed="false">
      <c r="A265" s="4" t="n">
        <f aca="false">IFERROR(__xludf.dummyfunction("""COMPUTED_VALUE"""),264)</f>
        <v>264</v>
      </c>
      <c r="B265" s="5" t="str">
        <f aca="false">IFERROR(__xludf.dummyfunction("""COMPUTED_VALUE"""),"ANA BEATRIZ MARQUES ALVES")</f>
        <v>ANA BEATRIZ MARQUES ALVES</v>
      </c>
      <c r="C265" s="5"/>
      <c r="D265" s="5"/>
      <c r="E265" s="5" t="str">
        <f aca="false">IFERROR(__xludf.dummyfunction("""COMPUTED_VALUE"""),"GO")</f>
        <v>GO</v>
      </c>
      <c r="F265" s="4" t="str">
        <f aca="false">IFERROR(__xludf.dummyfunction("""COMPUTED_VALUE"""),"CACHOEIRA ALTA")</f>
        <v>CACHOEIRA ALTA</v>
      </c>
      <c r="G265" s="4" t="str">
        <f aca="false">IFERROR(__xludf.dummyfunction("""COMPUTED_VALUE"""),"DIREITO")</f>
        <v>DIREITO</v>
      </c>
      <c r="H265" s="4" t="str">
        <f aca="false">IFERROR(__xludf.dummyfunction("""COMPUTED_VALUE"""),"DESCLASSIFICADO")</f>
        <v>DESCLASSIFICADO</v>
      </c>
    </row>
    <row r="266" customFormat="false" ht="13.8" hidden="false" customHeight="false" outlineLevel="0" collapsed="false">
      <c r="A266" s="4" t="n">
        <f aca="false">IFERROR(__xludf.dummyfunction("""COMPUTED_VALUE"""),265)</f>
        <v>265</v>
      </c>
      <c r="B266" s="5" t="str">
        <f aca="false">IFERROR(__xludf.dummyfunction("""COMPUTED_VALUE"""),"KARLA ANDRADE RODRIGUES ")</f>
        <v>KARLA ANDRADE RODRIGUES</v>
      </c>
      <c r="C266" s="5"/>
      <c r="D266" s="5"/>
      <c r="E266" s="5" t="str">
        <f aca="false">IFERROR(__xludf.dummyfunction("""COMPUTED_VALUE"""),"GO")</f>
        <v>GO</v>
      </c>
      <c r="F266" s="4" t="str">
        <f aca="false">IFERROR(__xludf.dummyfunction("""COMPUTED_VALUE"""),"GOIÂNIA")</f>
        <v>GOIÂNIA</v>
      </c>
      <c r="G266" s="4" t="str">
        <f aca="false">IFERROR(__xludf.dummyfunction("""COMPUTED_VALUE"""),"DIREITO")</f>
        <v>DIREITO</v>
      </c>
      <c r="H266" s="4" t="str">
        <f aca="false">IFERROR(__xludf.dummyfunction("""COMPUTED_VALUE"""),"CONTRATADO")</f>
        <v>CONTRATADO</v>
      </c>
    </row>
    <row r="267" customFormat="false" ht="13.8" hidden="false" customHeight="false" outlineLevel="0" collapsed="false">
      <c r="A267" s="4" t="n">
        <f aca="false">IFERROR(__xludf.dummyfunction("""COMPUTED_VALUE"""),266)</f>
        <v>266</v>
      </c>
      <c r="B267" s="5" t="str">
        <f aca="false">IFERROR(__xludf.dummyfunction("""COMPUTED_VALUE"""),"PEDRO ALLYSON CASTRO BARROSO ")</f>
        <v>PEDRO ALLYSON CASTRO BARROSO</v>
      </c>
      <c r="C267" s="5"/>
      <c r="D267" s="5"/>
      <c r="E267" s="5" t="str">
        <f aca="false">IFERROR(__xludf.dummyfunction("""COMPUTED_VALUE"""),"GO")</f>
        <v>GO</v>
      </c>
      <c r="F267" s="4" t="str">
        <f aca="false">IFERROR(__xludf.dummyfunction("""COMPUTED_VALUE"""),"APARECIDA DE GOIÂNIA")</f>
        <v>APARECIDA DE GOIÂNIA</v>
      </c>
      <c r="G267" s="4" t="str">
        <f aca="false">IFERROR(__xludf.dummyfunction("""COMPUTED_VALUE"""),"DIREITO")</f>
        <v>DIREITO</v>
      </c>
      <c r="H267" s="4" t="str">
        <f aca="false">IFERROR(__xludf.dummyfunction("""COMPUTED_VALUE"""),"DESCLASSIFICADO")</f>
        <v>DESCLASSIFICADO</v>
      </c>
    </row>
    <row r="268" customFormat="false" ht="13.8" hidden="false" customHeight="false" outlineLevel="0" collapsed="false">
      <c r="A268" s="4" t="n">
        <f aca="false">IFERROR(__xludf.dummyfunction("""COMPUTED_VALUE"""),267)</f>
        <v>267</v>
      </c>
      <c r="B268" s="5" t="str">
        <f aca="false">IFERROR(__xludf.dummyfunction("""COMPUTED_VALUE"""),"GREICY KELLY BARBOSA FERREIRA")</f>
        <v>GREICY KELLY BARBOSA FERREIRA</v>
      </c>
      <c r="C268" s="5"/>
      <c r="D268" s="5"/>
      <c r="E268" s="5" t="str">
        <f aca="false">IFERROR(__xludf.dummyfunction("""COMPUTED_VALUE"""),"GO")</f>
        <v>GO</v>
      </c>
      <c r="F268" s="4" t="str">
        <f aca="false">IFERROR(__xludf.dummyfunction("""COMPUTED_VALUE"""),"GOIÂNIA")</f>
        <v>GOIÂNIA</v>
      </c>
      <c r="G268" s="4" t="str">
        <f aca="false">IFERROR(__xludf.dummyfunction("""COMPUTED_VALUE"""),"DIREITO")</f>
        <v>DIREITO</v>
      </c>
      <c r="H268" s="4" t="str">
        <f aca="false">IFERROR(__xludf.dummyfunction("""COMPUTED_VALUE"""),"CONTRATADO")</f>
        <v>CONTRATADO</v>
      </c>
    </row>
    <row r="269" customFormat="false" ht="13.8" hidden="false" customHeight="false" outlineLevel="0" collapsed="false">
      <c r="A269" s="4" t="n">
        <f aca="false">IFERROR(__xludf.dummyfunction("""COMPUTED_VALUE"""),268)</f>
        <v>268</v>
      </c>
      <c r="B269" s="5" t="str">
        <f aca="false">IFERROR(__xludf.dummyfunction("""COMPUTED_VALUE"""),"EMILLY A G LOMAZZI")</f>
        <v>EMILLY A G LOMAZZI</v>
      </c>
      <c r="C269" s="5"/>
      <c r="D269" s="5"/>
      <c r="E269" s="5" t="str">
        <f aca="false">IFERROR(__xludf.dummyfunction("""COMPUTED_VALUE"""),"GO")</f>
        <v>GO</v>
      </c>
      <c r="F269" s="4" t="str">
        <f aca="false">IFERROR(__xludf.dummyfunction("""COMPUTED_VALUE"""),"GOIÂNIA")</f>
        <v>GOIÂNIA</v>
      </c>
      <c r="G269" s="4" t="str">
        <f aca="false">IFERROR(__xludf.dummyfunction("""COMPUTED_VALUE"""),"DIREITO")</f>
        <v>DIREITO</v>
      </c>
      <c r="H269" s="4" t="str">
        <f aca="false">IFERROR(__xludf.dummyfunction("""COMPUTED_VALUE"""),"CONTRATADO")</f>
        <v>CONTRATADO</v>
      </c>
    </row>
    <row r="270" customFormat="false" ht="13.8" hidden="false" customHeight="false" outlineLevel="0" collapsed="false">
      <c r="A270" s="4" t="n">
        <f aca="false">IFERROR(__xludf.dummyfunction("""COMPUTED_VALUE"""),269)</f>
        <v>269</v>
      </c>
      <c r="B270" s="5" t="str">
        <f aca="false">IFERROR(__xludf.dummyfunction("""COMPUTED_VALUE"""),"ARIANNY BRITO FERREIRA")</f>
        <v>ARIANNY BRITO FERREIRA</v>
      </c>
      <c r="C270" s="5"/>
      <c r="D270" s="5"/>
      <c r="E270" s="5" t="str">
        <f aca="false">IFERROR(__xludf.dummyfunction("""COMPUTED_VALUE"""),"GO")</f>
        <v>GO</v>
      </c>
      <c r="F270" s="4" t="str">
        <f aca="false">IFERROR(__xludf.dummyfunction("""COMPUTED_VALUE"""),"GOIÂNIA")</f>
        <v>GOIÂNIA</v>
      </c>
      <c r="G270" s="4" t="str">
        <f aca="false">IFERROR(__xludf.dummyfunction("""COMPUTED_VALUE"""),"DIREITO")</f>
        <v>DIREITO</v>
      </c>
      <c r="H270" s="4" t="str">
        <f aca="false">IFERROR(__xludf.dummyfunction("""COMPUTED_VALUE"""),"DESCLASSIFICADO")</f>
        <v>DESCLASSIFICADO</v>
      </c>
    </row>
    <row r="271" customFormat="false" ht="13.8" hidden="false" customHeight="false" outlineLevel="0" collapsed="false">
      <c r="A271" s="4" t="n">
        <f aca="false">IFERROR(__xludf.dummyfunction("""COMPUTED_VALUE"""),270)</f>
        <v>270</v>
      </c>
      <c r="B271" s="5" t="str">
        <f aca="false">IFERROR(__xludf.dummyfunction("""COMPUTED_VALUE"""),"MARI VITORIA MATOS DA COSTA")</f>
        <v>MARI VITORIA MATOS DA COSTA</v>
      </c>
      <c r="C271" s="5" t="str">
        <f aca="false">IFERROR(__xludf.dummyfunction("""COMPUTED_VALUE"""),"NEGRO")</f>
        <v>NEGRO</v>
      </c>
      <c r="D271" s="5"/>
      <c r="E271" s="5" t="str">
        <f aca="false">IFERROR(__xludf.dummyfunction("""COMPUTED_VALUE"""),"GO")</f>
        <v>GO</v>
      </c>
      <c r="F271" s="4" t="str">
        <f aca="false">IFERROR(__xludf.dummyfunction("""COMPUTED_VALUE"""),"GOIÂNIA")</f>
        <v>GOIÂNIA</v>
      </c>
      <c r="G271" s="4" t="str">
        <f aca="false">IFERROR(__xludf.dummyfunction("""COMPUTED_VALUE"""),"DIREITO")</f>
        <v>DIREITO</v>
      </c>
      <c r="H271" s="4" t="str">
        <f aca="false">IFERROR(__xludf.dummyfunction("""COMPUTED_VALUE"""),"CONTRATADO")</f>
        <v>CONTRATADO</v>
      </c>
    </row>
    <row r="272" customFormat="false" ht="13.8" hidden="false" customHeight="false" outlineLevel="0" collapsed="false">
      <c r="A272" s="4" t="n">
        <f aca="false">IFERROR(__xludf.dummyfunction("""COMPUTED_VALUE"""),271)</f>
        <v>271</v>
      </c>
      <c r="B272" s="5" t="str">
        <f aca="false">IFERROR(__xludf.dummyfunction("""COMPUTED_VALUE"""),"ANA BEATRIZ DE OLIVEIRA SILVA")</f>
        <v>ANA BEATRIZ DE OLIVEIRA SILVA</v>
      </c>
      <c r="C272" s="5"/>
      <c r="D272" s="5"/>
      <c r="E272" s="5" t="str">
        <f aca="false">IFERROR(__xludf.dummyfunction("""COMPUTED_VALUE"""),"GO")</f>
        <v>GO</v>
      </c>
      <c r="F272" s="4" t="str">
        <f aca="false">IFERROR(__xludf.dummyfunction("""COMPUTED_VALUE"""),"APARECIDA DE GOIÂNIA")</f>
        <v>APARECIDA DE GOIÂNIA</v>
      </c>
      <c r="G272" s="4" t="str">
        <f aca="false">IFERROR(__xludf.dummyfunction("""COMPUTED_VALUE"""),"DIREITO")</f>
        <v>DIREITO</v>
      </c>
      <c r="H272" s="4" t="str">
        <f aca="false">IFERROR(__xludf.dummyfunction("""COMPUTED_VALUE"""),"CONTRATADO")</f>
        <v>CONTRATADO</v>
      </c>
    </row>
    <row r="273" customFormat="false" ht="13.8" hidden="false" customHeight="false" outlineLevel="0" collapsed="false">
      <c r="A273" s="4" t="n">
        <f aca="false">IFERROR(__xludf.dummyfunction("""COMPUTED_VALUE"""),272)</f>
        <v>272</v>
      </c>
      <c r="B273" s="5" t="str">
        <f aca="false">IFERROR(__xludf.dummyfunction("""COMPUTED_VALUE"""),"BÁRBARA HONÓRIO SILVA ")</f>
        <v>BÁRBARA HONÓRIO SILVA</v>
      </c>
      <c r="C273" s="5"/>
      <c r="D273" s="5"/>
      <c r="E273" s="5" t="str">
        <f aca="false">IFERROR(__xludf.dummyfunction("""COMPUTED_VALUE"""),"GO")</f>
        <v>GO</v>
      </c>
      <c r="F273" s="4" t="str">
        <f aca="false">IFERROR(__xludf.dummyfunction("""COMPUTED_VALUE"""),"TRINDADE")</f>
        <v>TRINDADE</v>
      </c>
      <c r="G273" s="4" t="str">
        <f aca="false">IFERROR(__xludf.dummyfunction("""COMPUTED_VALUE"""),"DIREITO")</f>
        <v>DIREITO</v>
      </c>
      <c r="H273" s="4" t="str">
        <f aca="false">IFERROR(__xludf.dummyfunction("""COMPUTED_VALUE"""),"DESCLASSIFICADO")</f>
        <v>DESCLASSIFICADO</v>
      </c>
    </row>
    <row r="274" customFormat="false" ht="13.8" hidden="false" customHeight="false" outlineLevel="0" collapsed="false">
      <c r="A274" s="4" t="n">
        <f aca="false">IFERROR(__xludf.dummyfunction("""COMPUTED_VALUE"""),273)</f>
        <v>273</v>
      </c>
      <c r="B274" s="5" t="str">
        <f aca="false">IFERROR(__xludf.dummyfunction("""COMPUTED_VALUE"""),"GRAZIELLE BARROS PEREIRA")</f>
        <v>GRAZIELLE BARROS PEREIRA</v>
      </c>
      <c r="C274" s="5"/>
      <c r="D274" s="5"/>
      <c r="E274" s="5" t="str">
        <f aca="false">IFERROR(__xludf.dummyfunction("""COMPUTED_VALUE"""),"GO")</f>
        <v>GO</v>
      </c>
      <c r="F274" s="4" t="str">
        <f aca="false">IFERROR(__xludf.dummyfunction("""COMPUTED_VALUE"""),"APARECIDA DE GOIÂNIA")</f>
        <v>APARECIDA DE GOIÂNIA</v>
      </c>
      <c r="G274" s="4" t="str">
        <f aca="false">IFERROR(__xludf.dummyfunction("""COMPUTED_VALUE"""),"DIREITO")</f>
        <v>DIREITO</v>
      </c>
      <c r="H274" s="4" t="str">
        <f aca="false">IFERROR(__xludf.dummyfunction("""COMPUTED_VALUE"""),"CONTRATADO")</f>
        <v>CONTRATADO</v>
      </c>
    </row>
    <row r="275" customFormat="false" ht="13.8" hidden="false" customHeight="false" outlineLevel="0" collapsed="false">
      <c r="A275" s="4" t="n">
        <f aca="false">IFERROR(__xludf.dummyfunction("""COMPUTED_VALUE"""),274)</f>
        <v>274</v>
      </c>
      <c r="B275" s="5" t="str">
        <f aca="false">IFERROR(__xludf.dummyfunction("""COMPUTED_VALUE"""),"JOÃO VICTOR SOARES BASTOS")</f>
        <v>JOÃO VICTOR SOARES BASTOS</v>
      </c>
      <c r="C275" s="5" t="str">
        <f aca="false">IFERROR(__xludf.dummyfunction("""COMPUTED_VALUE"""),"NEGRO")</f>
        <v>NEGRO</v>
      </c>
      <c r="D275" s="5"/>
      <c r="E275" s="5" t="str">
        <f aca="false">IFERROR(__xludf.dummyfunction("""COMPUTED_VALUE"""),"GO")</f>
        <v>GO</v>
      </c>
      <c r="F275" s="4" t="str">
        <f aca="false">IFERROR(__xludf.dummyfunction("""COMPUTED_VALUE"""),"APARECIDA DE GOIÂNIA")</f>
        <v>APARECIDA DE GOIÂNIA</v>
      </c>
      <c r="G275" s="4" t="str">
        <f aca="false">IFERROR(__xludf.dummyfunction("""COMPUTED_VALUE"""),"DIREITO")</f>
        <v>DIREITO</v>
      </c>
      <c r="H275" s="4" t="str">
        <f aca="false">IFERROR(__xludf.dummyfunction("""COMPUTED_VALUE"""),"DESCLASSIFICADO")</f>
        <v>DESCLASSIFICADO</v>
      </c>
    </row>
    <row r="276" customFormat="false" ht="13.8" hidden="false" customHeight="false" outlineLevel="0" collapsed="false">
      <c r="A276" s="4" t="n">
        <f aca="false">IFERROR(__xludf.dummyfunction("""COMPUTED_VALUE"""),275)</f>
        <v>275</v>
      </c>
      <c r="B276" s="5" t="str">
        <f aca="false">IFERROR(__xludf.dummyfunction("""COMPUTED_VALUE"""),"SARAH PEREIRA CESAR DE SOUZA CRUZ")</f>
        <v>SARAH PEREIRA CESAR DE SOUZA CRUZ</v>
      </c>
      <c r="C276" s="5"/>
      <c r="D276" s="5"/>
      <c r="E276" s="5" t="str">
        <f aca="false">IFERROR(__xludf.dummyfunction("""COMPUTED_VALUE"""),"GO")</f>
        <v>GO</v>
      </c>
      <c r="F276" s="4" t="str">
        <f aca="false">IFERROR(__xludf.dummyfunction("""COMPUTED_VALUE"""),"BONFINÓPOLIS")</f>
        <v>BONFINÓPOLIS</v>
      </c>
      <c r="G276" s="4" t="str">
        <f aca="false">IFERROR(__xludf.dummyfunction("""COMPUTED_VALUE"""),"DIREITO")</f>
        <v>DIREITO</v>
      </c>
      <c r="H276" s="4" t="str">
        <f aca="false">IFERROR(__xludf.dummyfunction("""COMPUTED_VALUE"""),"CONTRATADO")</f>
        <v>CONTRATADO</v>
      </c>
    </row>
    <row r="277" customFormat="false" ht="13.8" hidden="false" customHeight="false" outlineLevel="0" collapsed="false">
      <c r="A277" s="4" t="n">
        <f aca="false">IFERROR(__xludf.dummyfunction("""COMPUTED_VALUE"""),276)</f>
        <v>276</v>
      </c>
      <c r="B277" s="5" t="str">
        <f aca="false">IFERROR(__xludf.dummyfunction("""COMPUTED_VALUE"""),"AMANDA MARTINS DE CARVALHO")</f>
        <v>AMANDA MARTINS DE CARVALHO</v>
      </c>
      <c r="C277" s="5"/>
      <c r="D277" s="5"/>
      <c r="E277" s="5" t="str">
        <f aca="false">IFERROR(__xludf.dummyfunction("""COMPUTED_VALUE"""),"GO")</f>
        <v>GO</v>
      </c>
      <c r="F277" s="4" t="str">
        <f aca="false">IFERROR(__xludf.dummyfunction("""COMPUTED_VALUE"""),"GOIÂNIA")</f>
        <v>GOIÂNIA</v>
      </c>
      <c r="G277" s="4" t="str">
        <f aca="false">IFERROR(__xludf.dummyfunction("""COMPUTED_VALUE"""),"DIREITO")</f>
        <v>DIREITO</v>
      </c>
      <c r="H277" s="4" t="str">
        <f aca="false">IFERROR(__xludf.dummyfunction("""COMPUTED_VALUE"""),"CONTRATADO")</f>
        <v>CONTRATADO</v>
      </c>
    </row>
    <row r="278" customFormat="false" ht="13.8" hidden="false" customHeight="false" outlineLevel="0" collapsed="false">
      <c r="A278" s="4" t="n">
        <f aca="false">IFERROR(__xludf.dummyfunction("""COMPUTED_VALUE"""),277)</f>
        <v>277</v>
      </c>
      <c r="B278" s="5" t="str">
        <f aca="false">IFERROR(__xludf.dummyfunction("""COMPUTED_VALUE"""),"ISAC FELIPE ANTUNES ANDRADE")</f>
        <v>ISAC FELIPE ANTUNES ANDRADE</v>
      </c>
      <c r="C278" s="5"/>
      <c r="D278" s="5"/>
      <c r="E278" s="5" t="str">
        <f aca="false">IFERROR(__xludf.dummyfunction("""COMPUTED_VALUE"""),"GO")</f>
        <v>GO</v>
      </c>
      <c r="F278" s="4" t="str">
        <f aca="false">IFERROR(__xludf.dummyfunction("""COMPUTED_VALUE"""),"APARECIDA DE GOIÂNIA")</f>
        <v>APARECIDA DE GOIÂNIA</v>
      </c>
      <c r="G278" s="4" t="str">
        <f aca="false">IFERROR(__xludf.dummyfunction("""COMPUTED_VALUE"""),"DIREITO")</f>
        <v>DIREITO</v>
      </c>
      <c r="H278" s="4" t="str">
        <f aca="false">IFERROR(__xludf.dummyfunction("""COMPUTED_VALUE"""),"DESCLASSIFICADO")</f>
        <v>DESCLASSIFICADO</v>
      </c>
    </row>
    <row r="279" customFormat="false" ht="13.8" hidden="false" customHeight="false" outlineLevel="0" collapsed="false">
      <c r="A279" s="4" t="n">
        <f aca="false">IFERROR(__xludf.dummyfunction("""COMPUTED_VALUE"""),278)</f>
        <v>278</v>
      </c>
      <c r="B279" s="5" t="str">
        <f aca="false">IFERROR(__xludf.dummyfunction("""COMPUTED_VALUE"""),"KEROLLY DE OLIVEIRA PEREIRA CHAVES")</f>
        <v>KEROLLY DE OLIVEIRA PEREIRA CHAVES</v>
      </c>
      <c r="C279" s="5"/>
      <c r="D279" s="5"/>
      <c r="E279" s="5" t="str">
        <f aca="false">IFERROR(__xludf.dummyfunction("""COMPUTED_VALUE"""),"GO")</f>
        <v>GO</v>
      </c>
      <c r="F279" s="4" t="str">
        <f aca="false">IFERROR(__xludf.dummyfunction("""COMPUTED_VALUE"""),"GOIÂNIA")</f>
        <v>GOIÂNIA</v>
      </c>
      <c r="G279" s="4" t="str">
        <f aca="false">IFERROR(__xludf.dummyfunction("""COMPUTED_VALUE"""),"DIREITO")</f>
        <v>DIREITO</v>
      </c>
      <c r="H279" s="4" t="str">
        <f aca="false">IFERROR(__xludf.dummyfunction("""COMPUTED_VALUE"""),"CONTRATADO")</f>
        <v>CONTRATADO</v>
      </c>
    </row>
    <row r="280" customFormat="false" ht="13.8" hidden="false" customHeight="false" outlineLevel="0" collapsed="false">
      <c r="A280" s="4" t="n">
        <f aca="false">IFERROR(__xludf.dummyfunction("""COMPUTED_VALUE"""),279)</f>
        <v>279</v>
      </c>
      <c r="B280" s="5" t="str">
        <f aca="false">IFERROR(__xludf.dummyfunction("""COMPUTED_VALUE"""),"LUCAS VIEIRA SANTOS")</f>
        <v>LUCAS VIEIRA SANTOS</v>
      </c>
      <c r="C280" s="5"/>
      <c r="D280" s="5"/>
      <c r="E280" s="5" t="str">
        <f aca="false">IFERROR(__xludf.dummyfunction("""COMPUTED_VALUE"""),"GO")</f>
        <v>GO</v>
      </c>
      <c r="F280" s="4" t="str">
        <f aca="false">IFERROR(__xludf.dummyfunction("""COMPUTED_VALUE"""),"APARECIDA DE GOIÂNIA")</f>
        <v>APARECIDA DE GOIÂNIA</v>
      </c>
      <c r="G280" s="4" t="str">
        <f aca="false">IFERROR(__xludf.dummyfunction("""COMPUTED_VALUE"""),"DIREITO")</f>
        <v>DIREITO</v>
      </c>
      <c r="H280" s="4" t="str">
        <f aca="false">IFERROR(__xludf.dummyfunction("""COMPUTED_VALUE"""),"CONTRATADO")</f>
        <v>CONTRATADO</v>
      </c>
    </row>
    <row r="281" customFormat="false" ht="13.8" hidden="false" customHeight="false" outlineLevel="0" collapsed="false">
      <c r="A281" s="4" t="n">
        <f aca="false">IFERROR(__xludf.dummyfunction("""COMPUTED_VALUE"""),280)</f>
        <v>280</v>
      </c>
      <c r="B281" s="5" t="str">
        <f aca="false">IFERROR(__xludf.dummyfunction("""COMPUTED_VALUE"""),"THAIS GOMES MULLER")</f>
        <v>THAIS GOMES MULLER</v>
      </c>
      <c r="C281" s="5"/>
      <c r="D281" s="5"/>
      <c r="E281" s="5" t="str">
        <f aca="false">IFERROR(__xludf.dummyfunction("""COMPUTED_VALUE"""),"GO")</f>
        <v>GO</v>
      </c>
      <c r="F281" s="4" t="str">
        <f aca="false">IFERROR(__xludf.dummyfunction("""COMPUTED_VALUE"""),"GOIÂNIA")</f>
        <v>GOIÂNIA</v>
      </c>
      <c r="G281" s="4" t="str">
        <f aca="false">IFERROR(__xludf.dummyfunction("""COMPUTED_VALUE"""),"DIREITO")</f>
        <v>DIREITO</v>
      </c>
      <c r="H281" s="4" t="str">
        <f aca="false">IFERROR(__xludf.dummyfunction("""COMPUTED_VALUE"""),"CONTRATADO")</f>
        <v>CONTRATADO</v>
      </c>
    </row>
    <row r="282" customFormat="false" ht="13.8" hidden="false" customHeight="false" outlineLevel="0" collapsed="false">
      <c r="A282" s="4" t="n">
        <f aca="false">IFERROR(__xludf.dummyfunction("""COMPUTED_VALUE"""),281)</f>
        <v>281</v>
      </c>
      <c r="B282" s="5" t="str">
        <f aca="false">IFERROR(__xludf.dummyfunction("""COMPUTED_VALUE"""),"BRUNA KARINE RODRIGUES DE OLIVEIRA ")</f>
        <v>BRUNA KARINE RODRIGUES DE OLIVEIRA</v>
      </c>
      <c r="C282" s="5"/>
      <c r="D282" s="5"/>
      <c r="E282" s="5" t="str">
        <f aca="false">IFERROR(__xludf.dummyfunction("""COMPUTED_VALUE"""),"GO")</f>
        <v>GO</v>
      </c>
      <c r="F282" s="4" t="str">
        <f aca="false">IFERROR(__xludf.dummyfunction("""COMPUTED_VALUE"""),"FORMOSA")</f>
        <v>FORMOSA</v>
      </c>
      <c r="G282" s="4" t="str">
        <f aca="false">IFERROR(__xludf.dummyfunction("""COMPUTED_VALUE"""),"DIREITO")</f>
        <v>DIREITO</v>
      </c>
      <c r="H282" s="4" t="str">
        <f aca="false">IFERROR(__xludf.dummyfunction("""COMPUTED_VALUE"""),"DESCLASSIFICADO")</f>
        <v>DESCLASSIFICADO</v>
      </c>
    </row>
    <row r="283" customFormat="false" ht="13.8" hidden="false" customHeight="false" outlineLevel="0" collapsed="false">
      <c r="A283" s="4" t="n">
        <f aca="false">IFERROR(__xludf.dummyfunction("""COMPUTED_VALUE"""),282)</f>
        <v>282</v>
      </c>
      <c r="B283" s="5" t="str">
        <f aca="false">IFERROR(__xludf.dummyfunction("""COMPUTED_VALUE"""),"VITORIA GABRIELLE DE MOURA")</f>
        <v>VITORIA GABRIELLE DE MOURA</v>
      </c>
      <c r="C283" s="5"/>
      <c r="D283" s="5"/>
      <c r="E283" s="5" t="str">
        <f aca="false">IFERROR(__xludf.dummyfunction("""COMPUTED_VALUE"""),"GO")</f>
        <v>GO</v>
      </c>
      <c r="F283" s="4" t="str">
        <f aca="false">IFERROR(__xludf.dummyfunction("""COMPUTED_VALUE"""),"GOIÂNIA")</f>
        <v>GOIÂNIA</v>
      </c>
      <c r="G283" s="4" t="str">
        <f aca="false">IFERROR(__xludf.dummyfunction("""COMPUTED_VALUE"""),"DIREITO")</f>
        <v>DIREITO</v>
      </c>
      <c r="H283" s="4" t="str">
        <f aca="false">IFERROR(__xludf.dummyfunction("""COMPUTED_VALUE"""),"CONTRATADO")</f>
        <v>CONTRATADO</v>
      </c>
    </row>
    <row r="284" customFormat="false" ht="13.8" hidden="false" customHeight="false" outlineLevel="0" collapsed="false">
      <c r="A284" s="4" t="n">
        <f aca="false">IFERROR(__xludf.dummyfunction("""COMPUTED_VALUE"""),283)</f>
        <v>283</v>
      </c>
      <c r="B284" s="5" t="str">
        <f aca="false">IFERROR(__xludf.dummyfunction("""COMPUTED_VALUE"""),"VITOR MARIANI TAVARES MACHADO")</f>
        <v>VITOR MARIANI TAVARES MACHADO</v>
      </c>
      <c r="C284" s="5"/>
      <c r="D284" s="5"/>
      <c r="E284" s="5" t="str">
        <f aca="false">IFERROR(__xludf.dummyfunction("""COMPUTED_VALUE"""),"GO")</f>
        <v>GO</v>
      </c>
      <c r="F284" s="4" t="str">
        <f aca="false">IFERROR(__xludf.dummyfunction("""COMPUTED_VALUE"""),"GOIÂNIA")</f>
        <v>GOIÂNIA</v>
      </c>
      <c r="G284" s="4" t="str">
        <f aca="false">IFERROR(__xludf.dummyfunction("""COMPUTED_VALUE"""),"DIREITO")</f>
        <v>DIREITO</v>
      </c>
      <c r="H284" s="4" t="str">
        <f aca="false">IFERROR(__xludf.dummyfunction("""COMPUTED_VALUE"""),"CONTRATADO")</f>
        <v>CONTRATADO</v>
      </c>
    </row>
    <row r="285" customFormat="false" ht="13.8" hidden="false" customHeight="false" outlineLevel="0" collapsed="false">
      <c r="A285" s="4" t="n">
        <f aca="false">IFERROR(__xludf.dummyfunction("""COMPUTED_VALUE"""),284)</f>
        <v>284</v>
      </c>
      <c r="B285" s="5" t="str">
        <f aca="false">IFERROR(__xludf.dummyfunction("""COMPUTED_VALUE"""),"DOUGLAS MACEDO CAMPOS")</f>
        <v>DOUGLAS MACEDO CAMPOS</v>
      </c>
      <c r="C285" s="5"/>
      <c r="D285" s="5"/>
      <c r="E285" s="5" t="str">
        <f aca="false">IFERROR(__xludf.dummyfunction("""COMPUTED_VALUE"""),"GO")</f>
        <v>GO</v>
      </c>
      <c r="F285" s="4" t="str">
        <f aca="false">IFERROR(__xludf.dummyfunction("""COMPUTED_VALUE"""),"GOIÂNIA")</f>
        <v>GOIÂNIA</v>
      </c>
      <c r="G285" s="4" t="str">
        <f aca="false">IFERROR(__xludf.dummyfunction("""COMPUTED_VALUE"""),"DIREITO")</f>
        <v>DIREITO</v>
      </c>
      <c r="H285" s="4" t="str">
        <f aca="false">IFERROR(__xludf.dummyfunction("""COMPUTED_VALUE"""),"DESCLASSIFICADO")</f>
        <v>DESCLASSIFICADO</v>
      </c>
    </row>
    <row r="286" customFormat="false" ht="13.8" hidden="false" customHeight="false" outlineLevel="0" collapsed="false">
      <c r="A286" s="4" t="n">
        <f aca="false">IFERROR(__xludf.dummyfunction("""COMPUTED_VALUE"""),285)</f>
        <v>285</v>
      </c>
      <c r="B286" s="5" t="str">
        <f aca="false">IFERROR(__xludf.dummyfunction("""COMPUTED_VALUE"""),"HEMELLY KELISHERLLY SOUSA MENDES ")</f>
        <v>HEMELLY KELISHERLLY SOUSA MENDES</v>
      </c>
      <c r="C286" s="5"/>
      <c r="D286" s="5"/>
      <c r="E286" s="5" t="str">
        <f aca="false">IFERROR(__xludf.dummyfunction("""COMPUTED_VALUE"""),"GO")</f>
        <v>GO</v>
      </c>
      <c r="F286" s="4" t="str">
        <f aca="false">IFERROR(__xludf.dummyfunction("""COMPUTED_VALUE"""),"GOIÂNIA")</f>
        <v>GOIÂNIA</v>
      </c>
      <c r="G286" s="4" t="str">
        <f aca="false">IFERROR(__xludf.dummyfunction("""COMPUTED_VALUE"""),"DIREITO")</f>
        <v>DIREITO</v>
      </c>
      <c r="H286" s="4" t="str">
        <f aca="false">IFERROR(__xludf.dummyfunction("""COMPUTED_VALUE"""),"DESCLASSIFICADO")</f>
        <v>DESCLASSIFICADO</v>
      </c>
    </row>
    <row r="287" customFormat="false" ht="13.8" hidden="false" customHeight="false" outlineLevel="0" collapsed="false">
      <c r="A287" s="4" t="n">
        <f aca="false">IFERROR(__xludf.dummyfunction("""COMPUTED_VALUE"""),286)</f>
        <v>286</v>
      </c>
      <c r="B287" s="5" t="str">
        <f aca="false">IFERROR(__xludf.dummyfunction("""COMPUTED_VALUE"""),"ANA JULIA SOARES LOPES ")</f>
        <v>ANA JULIA SOARES LOPES</v>
      </c>
      <c r="C287" s="5"/>
      <c r="D287" s="5"/>
      <c r="E287" s="5" t="str">
        <f aca="false">IFERROR(__xludf.dummyfunction("""COMPUTED_VALUE"""),"GO")</f>
        <v>GO</v>
      </c>
      <c r="F287" s="4" t="str">
        <f aca="false">IFERROR(__xludf.dummyfunction("""COMPUTED_VALUE"""),"GOIÂNIA")</f>
        <v>GOIÂNIA</v>
      </c>
      <c r="G287" s="4" t="str">
        <f aca="false">IFERROR(__xludf.dummyfunction("""COMPUTED_VALUE"""),"DIREITO")</f>
        <v>DIREITO</v>
      </c>
      <c r="H287" s="4" t="str">
        <f aca="false">IFERROR(__xludf.dummyfunction("""COMPUTED_VALUE"""),"CONTRATADO")</f>
        <v>CONTRATADO</v>
      </c>
    </row>
    <row r="288" customFormat="false" ht="13.8" hidden="false" customHeight="false" outlineLevel="0" collapsed="false">
      <c r="A288" s="4" t="n">
        <f aca="false">IFERROR(__xludf.dummyfunction("""COMPUTED_VALUE"""),287)</f>
        <v>287</v>
      </c>
      <c r="B288" s="5" t="str">
        <f aca="false">IFERROR(__xludf.dummyfunction("""COMPUTED_VALUE"""),"MATHEUS PHELLIPE VELASCO TAVARES")</f>
        <v>MATHEUS PHELLIPE VELASCO TAVARES</v>
      </c>
      <c r="C288" s="5"/>
      <c r="D288" s="5"/>
      <c r="E288" s="5" t="str">
        <f aca="false">IFERROR(__xludf.dummyfunction("""COMPUTED_VALUE"""),"GO")</f>
        <v>GO</v>
      </c>
      <c r="F288" s="4" t="str">
        <f aca="false">IFERROR(__xludf.dummyfunction("""COMPUTED_VALUE"""),"GOIÂNIA")</f>
        <v>GOIÂNIA</v>
      </c>
      <c r="G288" s="4" t="str">
        <f aca="false">IFERROR(__xludf.dummyfunction("""COMPUTED_VALUE"""),"DIREITO")</f>
        <v>DIREITO</v>
      </c>
      <c r="H288" s="4" t="str">
        <f aca="false">IFERROR(__xludf.dummyfunction("""COMPUTED_VALUE"""),"DESCLASSIFICADO")</f>
        <v>DESCLASSIFICADO</v>
      </c>
    </row>
    <row r="289" customFormat="false" ht="13.8" hidden="false" customHeight="false" outlineLevel="0" collapsed="false">
      <c r="A289" s="4" t="n">
        <f aca="false">IFERROR(__xludf.dummyfunction("""COMPUTED_VALUE"""),288)</f>
        <v>288</v>
      </c>
      <c r="B289" s="5" t="str">
        <f aca="false">IFERROR(__xludf.dummyfunction("""COMPUTED_VALUE"""),"MARCY KELLY INÁCIO SANTOS ")</f>
        <v>MARCY KELLY INÁCIO SANTOS</v>
      </c>
      <c r="C289" s="5"/>
      <c r="D289" s="5"/>
      <c r="E289" s="5" t="str">
        <f aca="false">IFERROR(__xludf.dummyfunction("""COMPUTED_VALUE"""),"GO")</f>
        <v>GO</v>
      </c>
      <c r="F289" s="4" t="str">
        <f aca="false">IFERROR(__xludf.dummyfunction("""COMPUTED_VALUE"""),"GOIÂNIA")</f>
        <v>GOIÂNIA</v>
      </c>
      <c r="G289" s="4" t="str">
        <f aca="false">IFERROR(__xludf.dummyfunction("""COMPUTED_VALUE"""),"DIREITO")</f>
        <v>DIREITO</v>
      </c>
      <c r="H289" s="4" t="str">
        <f aca="false">IFERROR(__xludf.dummyfunction("""COMPUTED_VALUE"""),"CONTRATADO")</f>
        <v>CONTRATADO</v>
      </c>
    </row>
    <row r="290" customFormat="false" ht="13.8" hidden="false" customHeight="false" outlineLevel="0" collapsed="false">
      <c r="A290" s="4" t="n">
        <f aca="false">IFERROR(__xludf.dummyfunction("""COMPUTED_VALUE"""),289)</f>
        <v>289</v>
      </c>
      <c r="B290" s="5" t="str">
        <f aca="false">IFERROR(__xludf.dummyfunction("""COMPUTED_VALUE"""),"MARIA ALEJANDRA ESCALONA JIMENEZ")</f>
        <v>MARIA ALEJANDRA ESCALONA JIMENEZ</v>
      </c>
      <c r="C290" s="5"/>
      <c r="D290" s="5"/>
      <c r="E290" s="5" t="str">
        <f aca="false">IFERROR(__xludf.dummyfunction("""COMPUTED_VALUE"""),"GO")</f>
        <v>GO</v>
      </c>
      <c r="F290" s="4" t="str">
        <f aca="false">IFERROR(__xludf.dummyfunction("""COMPUTED_VALUE"""),"APARECIDA DE GOIÂNIA")</f>
        <v>APARECIDA DE GOIÂNIA</v>
      </c>
      <c r="G290" s="4" t="str">
        <f aca="false">IFERROR(__xludf.dummyfunction("""COMPUTED_VALUE"""),"DIREITO")</f>
        <v>DIREITO</v>
      </c>
      <c r="H290" s="4" t="str">
        <f aca="false">IFERROR(__xludf.dummyfunction("""COMPUTED_VALUE"""),"CONTRATADO")</f>
        <v>CONTRATADO</v>
      </c>
    </row>
    <row r="291" customFormat="false" ht="13.8" hidden="false" customHeight="false" outlineLevel="0" collapsed="false">
      <c r="A291" s="4" t="n">
        <f aca="false">IFERROR(__xludf.dummyfunction("""COMPUTED_VALUE"""),290)</f>
        <v>290</v>
      </c>
      <c r="B291" s="5" t="str">
        <f aca="false">IFERROR(__xludf.dummyfunction("""COMPUTED_VALUE"""),"FABIANE MENDES GOMES DE JESUS")</f>
        <v>FABIANE MENDES GOMES DE JESUS</v>
      </c>
      <c r="C291" s="5"/>
      <c r="D291" s="5"/>
      <c r="E291" s="5" t="str">
        <f aca="false">IFERROR(__xludf.dummyfunction("""COMPUTED_VALUE"""),"GO")</f>
        <v>GO</v>
      </c>
      <c r="F291" s="4" t="str">
        <f aca="false">IFERROR(__xludf.dummyfunction("""COMPUTED_VALUE"""),"GOIÂNIA")</f>
        <v>GOIÂNIA</v>
      </c>
      <c r="G291" s="4" t="str">
        <f aca="false">IFERROR(__xludf.dummyfunction("""COMPUTED_VALUE"""),"DIREITO")</f>
        <v>DIREITO</v>
      </c>
      <c r="H291" s="4" t="str">
        <f aca="false">IFERROR(__xludf.dummyfunction("""COMPUTED_VALUE"""),"CONTRATADO")</f>
        <v>CONTRATADO</v>
      </c>
    </row>
    <row r="292" customFormat="false" ht="13.8" hidden="false" customHeight="false" outlineLevel="0" collapsed="false">
      <c r="A292" s="4" t="n">
        <f aca="false">IFERROR(__xludf.dummyfunction("""COMPUTED_VALUE"""),291)</f>
        <v>291</v>
      </c>
      <c r="B292" s="5" t="str">
        <f aca="false">IFERROR(__xludf.dummyfunction("""COMPUTED_VALUE"""),"LUCAS OLIVEIRA LIMA")</f>
        <v>LUCAS OLIVEIRA LIMA</v>
      </c>
      <c r="C292" s="5"/>
      <c r="D292" s="5"/>
      <c r="E292" s="5" t="str">
        <f aca="false">IFERROR(__xludf.dummyfunction("""COMPUTED_VALUE"""),"GO")</f>
        <v>GO</v>
      </c>
      <c r="F292" s="4" t="str">
        <f aca="false">IFERROR(__xludf.dummyfunction("""COMPUTED_VALUE"""),"FORMOSA")</f>
        <v>FORMOSA</v>
      </c>
      <c r="G292" s="4" t="str">
        <f aca="false">IFERROR(__xludf.dummyfunction("""COMPUTED_VALUE"""),"DIREITO")</f>
        <v>DIREITO</v>
      </c>
      <c r="H292" s="4" t="str">
        <f aca="false">IFERROR(__xludf.dummyfunction("""COMPUTED_VALUE"""),"DESCLASSIFICADO")</f>
        <v>DESCLASSIFICADO</v>
      </c>
    </row>
    <row r="293" customFormat="false" ht="13.8" hidden="false" customHeight="false" outlineLevel="0" collapsed="false">
      <c r="A293" s="4" t="n">
        <f aca="false">IFERROR(__xludf.dummyfunction("""COMPUTED_VALUE"""),292)</f>
        <v>292</v>
      </c>
      <c r="B293" s="5" t="str">
        <f aca="false">IFERROR(__xludf.dummyfunction("""COMPUTED_VALUE"""),"ANA LUIZA REIS MARTINS DA COSTA")</f>
        <v>ANA LUIZA REIS MARTINS DA COSTA</v>
      </c>
      <c r="C293" s="5"/>
      <c r="D293" s="5"/>
      <c r="E293" s="5" t="str">
        <f aca="false">IFERROR(__xludf.dummyfunction("""COMPUTED_VALUE"""),"GO")</f>
        <v>GO</v>
      </c>
      <c r="F293" s="4" t="str">
        <f aca="false">IFERROR(__xludf.dummyfunction("""COMPUTED_VALUE"""),"GOIÂNIA")</f>
        <v>GOIÂNIA</v>
      </c>
      <c r="G293" s="4" t="str">
        <f aca="false">IFERROR(__xludf.dummyfunction("""COMPUTED_VALUE"""),"DIREITO")</f>
        <v>DIREITO</v>
      </c>
      <c r="H293" s="4" t="str">
        <f aca="false">IFERROR(__xludf.dummyfunction("""COMPUTED_VALUE"""),"CONTRATADO")</f>
        <v>CONTRATADO</v>
      </c>
    </row>
    <row r="294" customFormat="false" ht="13.8" hidden="false" customHeight="false" outlineLevel="0" collapsed="false">
      <c r="A294" s="4" t="n">
        <f aca="false">IFERROR(__xludf.dummyfunction("""COMPUTED_VALUE"""),293)</f>
        <v>293</v>
      </c>
      <c r="B294" s="5" t="str">
        <f aca="false">IFERROR(__xludf.dummyfunction("""COMPUTED_VALUE"""),"BRENNER CELESTINO FERREIRA")</f>
        <v>BRENNER CELESTINO FERREIRA</v>
      </c>
      <c r="C294" s="5"/>
      <c r="D294" s="5"/>
      <c r="E294" s="5" t="str">
        <f aca="false">IFERROR(__xludf.dummyfunction("""COMPUTED_VALUE"""),"GO")</f>
        <v>GO</v>
      </c>
      <c r="F294" s="4" t="str">
        <f aca="false">IFERROR(__xludf.dummyfunction("""COMPUTED_VALUE"""),"APARECIDA DE GOIÂNIA")</f>
        <v>APARECIDA DE GOIÂNIA</v>
      </c>
      <c r="G294" s="4" t="str">
        <f aca="false">IFERROR(__xludf.dummyfunction("""COMPUTED_VALUE"""),"DIREITO")</f>
        <v>DIREITO</v>
      </c>
      <c r="H294" s="4" t="str">
        <f aca="false">IFERROR(__xludf.dummyfunction("""COMPUTED_VALUE"""),"CONTRATADO")</f>
        <v>CONTRATADO</v>
      </c>
    </row>
    <row r="295" customFormat="false" ht="13.8" hidden="false" customHeight="false" outlineLevel="0" collapsed="false">
      <c r="A295" s="4" t="n">
        <f aca="false">IFERROR(__xludf.dummyfunction("""COMPUTED_VALUE"""),294)</f>
        <v>294</v>
      </c>
      <c r="B295" s="5" t="str">
        <f aca="false">IFERROR(__xludf.dummyfunction("""COMPUTED_VALUE"""),"NATAN NOGUEIRA XAVIER FILHO")</f>
        <v>NATAN NOGUEIRA XAVIER FILHO</v>
      </c>
      <c r="C295" s="5"/>
      <c r="D295" s="5"/>
      <c r="E295" s="5" t="str">
        <f aca="false">IFERROR(__xludf.dummyfunction("""COMPUTED_VALUE"""),"GO")</f>
        <v>GO</v>
      </c>
      <c r="F295" s="4" t="str">
        <f aca="false">IFERROR(__xludf.dummyfunction("""COMPUTED_VALUE"""),"APARECIDA DE GOIÂNIA")</f>
        <v>APARECIDA DE GOIÂNIA</v>
      </c>
      <c r="G295" s="4" t="str">
        <f aca="false">IFERROR(__xludf.dummyfunction("""COMPUTED_VALUE"""),"DIREITO")</f>
        <v>DIREITO</v>
      </c>
      <c r="H295" s="4" t="str">
        <f aca="false">IFERROR(__xludf.dummyfunction("""COMPUTED_VALUE"""),"CONTRATADO")</f>
        <v>CONTRATADO</v>
      </c>
    </row>
    <row r="296" customFormat="false" ht="13.8" hidden="false" customHeight="false" outlineLevel="0" collapsed="false">
      <c r="A296" s="4" t="n">
        <f aca="false">IFERROR(__xludf.dummyfunction("""COMPUTED_VALUE"""),295)</f>
        <v>295</v>
      </c>
      <c r="B296" s="5" t="str">
        <f aca="false">IFERROR(__xludf.dummyfunction("""COMPUTED_VALUE"""),"GEOVANA DOS SANTOS FASSA")</f>
        <v>GEOVANA DOS SANTOS FASSA</v>
      </c>
      <c r="C296" s="5"/>
      <c r="D296" s="5"/>
      <c r="E296" s="5" t="str">
        <f aca="false">IFERROR(__xludf.dummyfunction("""COMPUTED_VALUE"""),"GO")</f>
        <v>GO</v>
      </c>
      <c r="F296" s="4" t="str">
        <f aca="false">IFERROR(__xludf.dummyfunction("""COMPUTED_VALUE"""),"GOIÂNIA")</f>
        <v>GOIÂNIA</v>
      </c>
      <c r="G296" s="4" t="str">
        <f aca="false">IFERROR(__xludf.dummyfunction("""COMPUTED_VALUE"""),"DIREITO")</f>
        <v>DIREITO</v>
      </c>
      <c r="H296" s="4" t="str">
        <f aca="false">IFERROR(__xludf.dummyfunction("""COMPUTED_VALUE"""),"CONTRATADO")</f>
        <v>CONTRATADO</v>
      </c>
    </row>
    <row r="297" customFormat="false" ht="13.8" hidden="false" customHeight="false" outlineLevel="0" collapsed="false">
      <c r="A297" s="4" t="n">
        <f aca="false">IFERROR(__xludf.dummyfunction("""COMPUTED_VALUE"""),296)</f>
        <v>296</v>
      </c>
      <c r="B297" s="5" t="str">
        <f aca="false">IFERROR(__xludf.dummyfunction("""COMPUTED_VALUE"""),"ANA LUÍSA DE MORAES CARVALHO GARCIA ")</f>
        <v>ANA LUÍSA DE MORAES CARVALHO GARCIA</v>
      </c>
      <c r="C297" s="5"/>
      <c r="D297" s="5"/>
      <c r="E297" s="5" t="str">
        <f aca="false">IFERROR(__xludf.dummyfunction("""COMPUTED_VALUE"""),"GO")</f>
        <v>GO</v>
      </c>
      <c r="F297" s="4" t="str">
        <f aca="false">IFERROR(__xludf.dummyfunction("""COMPUTED_VALUE"""),"GOIÂNIA")</f>
        <v>GOIÂNIA</v>
      </c>
      <c r="G297" s="4" t="str">
        <f aca="false">IFERROR(__xludf.dummyfunction("""COMPUTED_VALUE"""),"DIREITO")</f>
        <v>DIREITO</v>
      </c>
      <c r="H297" s="4" t="str">
        <f aca="false">IFERROR(__xludf.dummyfunction("""COMPUTED_VALUE"""),"DESCLASSIFICADO")</f>
        <v>DESCLASSIFICADO</v>
      </c>
    </row>
    <row r="298" customFormat="false" ht="13.8" hidden="false" customHeight="false" outlineLevel="0" collapsed="false">
      <c r="A298" s="4" t="n">
        <f aca="false">IFERROR(__xludf.dummyfunction("""COMPUTED_VALUE"""),297)</f>
        <v>297</v>
      </c>
      <c r="B298" s="5" t="str">
        <f aca="false">IFERROR(__xludf.dummyfunction("""COMPUTED_VALUE"""),"NICOLE RODRIGUES DOS SANTOS")</f>
        <v>NICOLE RODRIGUES DOS SANTOS</v>
      </c>
      <c r="C298" s="5"/>
      <c r="D298" s="5"/>
      <c r="E298" s="5" t="str">
        <f aca="false">IFERROR(__xludf.dummyfunction("""COMPUTED_VALUE"""),"GO")</f>
        <v>GO</v>
      </c>
      <c r="F298" s="4" t="str">
        <f aca="false">IFERROR(__xludf.dummyfunction("""COMPUTED_VALUE"""),"GOIÂNIA")</f>
        <v>GOIÂNIA</v>
      </c>
      <c r="G298" s="4" t="str">
        <f aca="false">IFERROR(__xludf.dummyfunction("""COMPUTED_VALUE"""),"DIREITO")</f>
        <v>DIREITO</v>
      </c>
      <c r="H298" s="4" t="str">
        <f aca="false">IFERROR(__xludf.dummyfunction("""COMPUTED_VALUE"""),"DESCLASSIFICADO")</f>
        <v>DESCLASSIFICADO</v>
      </c>
    </row>
    <row r="299" customFormat="false" ht="13.8" hidden="false" customHeight="false" outlineLevel="0" collapsed="false">
      <c r="A299" s="4" t="n">
        <f aca="false">IFERROR(__xludf.dummyfunction("""COMPUTED_VALUE"""),298)</f>
        <v>298</v>
      </c>
      <c r="B299" s="5" t="str">
        <f aca="false">IFERROR(__xludf.dummyfunction("""COMPUTED_VALUE"""),"ELISA PARREIRA DE CASTRO ALVES")</f>
        <v>ELISA PARREIRA DE CASTRO ALVES</v>
      </c>
      <c r="C299" s="5"/>
      <c r="D299" s="5"/>
      <c r="E299" s="5" t="str">
        <f aca="false">IFERROR(__xludf.dummyfunction("""COMPUTED_VALUE"""),"GO")</f>
        <v>GO</v>
      </c>
      <c r="F299" s="4" t="str">
        <f aca="false">IFERROR(__xludf.dummyfunction("""COMPUTED_VALUE"""),"GOIÂNIA")</f>
        <v>GOIÂNIA</v>
      </c>
      <c r="G299" s="4" t="str">
        <f aca="false">IFERROR(__xludf.dummyfunction("""COMPUTED_VALUE"""),"DIREITO")</f>
        <v>DIREITO</v>
      </c>
      <c r="H299" s="4" t="str">
        <f aca="false">IFERROR(__xludf.dummyfunction("""COMPUTED_VALUE"""),"DESCLASSIFICADO")</f>
        <v>DESCLASSIFICADO</v>
      </c>
    </row>
    <row r="300" customFormat="false" ht="13.8" hidden="false" customHeight="false" outlineLevel="0" collapsed="false">
      <c r="A300" s="4" t="n">
        <f aca="false">IFERROR(__xludf.dummyfunction("""COMPUTED_VALUE"""),299)</f>
        <v>299</v>
      </c>
      <c r="B300" s="5" t="str">
        <f aca="false">IFERROR(__xludf.dummyfunction("""COMPUTED_VALUE"""),"GUILHERME HENRIQUES SILVA FREIRE DE ASSIS")</f>
        <v>GUILHERME HENRIQUES SILVA FREIRE DE ASSIS</v>
      </c>
      <c r="C300" s="5"/>
      <c r="D300" s="5"/>
      <c r="E300" s="5" t="str">
        <f aca="false">IFERROR(__xludf.dummyfunction("""COMPUTED_VALUE"""),"GO")</f>
        <v>GO</v>
      </c>
      <c r="F300" s="4" t="str">
        <f aca="false">IFERROR(__xludf.dummyfunction("""COMPUTED_VALUE"""),"GOIÂNIA")</f>
        <v>GOIÂNIA</v>
      </c>
      <c r="G300" s="4" t="str">
        <f aca="false">IFERROR(__xludf.dummyfunction("""COMPUTED_VALUE"""),"DIREITO")</f>
        <v>DIREITO</v>
      </c>
      <c r="H300" s="4" t="str">
        <f aca="false">IFERROR(__xludf.dummyfunction("""COMPUTED_VALUE"""),"CONTRATADO")</f>
        <v>CONTRATADO</v>
      </c>
    </row>
    <row r="301" customFormat="false" ht="13.8" hidden="false" customHeight="false" outlineLevel="0" collapsed="false">
      <c r="A301" s="4" t="n">
        <f aca="false">IFERROR(__xludf.dummyfunction("""COMPUTED_VALUE"""),300)</f>
        <v>300</v>
      </c>
      <c r="B301" s="5" t="str">
        <f aca="false">IFERROR(__xludf.dummyfunction("""COMPUTED_VALUE"""),"ROBERTA CORTES DOS SANTOS ")</f>
        <v>ROBERTA CORTES DOS SANTOS</v>
      </c>
      <c r="C301" s="5"/>
      <c r="D301" s="5"/>
      <c r="E301" s="5" t="str">
        <f aca="false">IFERROR(__xludf.dummyfunction("""COMPUTED_VALUE"""),"GO")</f>
        <v>GO</v>
      </c>
      <c r="F301" s="4" t="str">
        <f aca="false">IFERROR(__xludf.dummyfunction("""COMPUTED_VALUE"""),"GOIÂNIA")</f>
        <v>GOIÂNIA</v>
      </c>
      <c r="G301" s="4" t="str">
        <f aca="false">IFERROR(__xludf.dummyfunction("""COMPUTED_VALUE"""),"DIREITO")</f>
        <v>DIREITO</v>
      </c>
      <c r="H301" s="4" t="str">
        <f aca="false">IFERROR(__xludf.dummyfunction("""COMPUTED_VALUE"""),"CONTRATADO")</f>
        <v>CONTRATADO</v>
      </c>
    </row>
    <row r="302" customFormat="false" ht="13.8" hidden="false" customHeight="false" outlineLevel="0" collapsed="false">
      <c r="A302" s="4" t="n">
        <f aca="false">IFERROR(__xludf.dummyfunction("""COMPUTED_VALUE"""),301)</f>
        <v>301</v>
      </c>
      <c r="B302" s="5" t="str">
        <f aca="false">IFERROR(__xludf.dummyfunction("""COMPUTED_VALUE"""),"TAYSSA ISADORA SILVA BUENO")</f>
        <v>TAYSSA ISADORA SILVA BUENO</v>
      </c>
      <c r="C302" s="5"/>
      <c r="D302" s="5"/>
      <c r="E302" s="5" t="str">
        <f aca="false">IFERROR(__xludf.dummyfunction("""COMPUTED_VALUE"""),"GO")</f>
        <v>GO</v>
      </c>
      <c r="F302" s="4" t="str">
        <f aca="false">IFERROR(__xludf.dummyfunction("""COMPUTED_VALUE"""),"GOIÂNIA")</f>
        <v>GOIÂNIA</v>
      </c>
      <c r="G302" s="4" t="str">
        <f aca="false">IFERROR(__xludf.dummyfunction("""COMPUTED_VALUE"""),"DIREITO")</f>
        <v>DIREITO</v>
      </c>
      <c r="H302" s="4" t="str">
        <f aca="false">IFERROR(__xludf.dummyfunction("""COMPUTED_VALUE"""),"CONTRATADO")</f>
        <v>CONTRATADO</v>
      </c>
    </row>
    <row r="303" customFormat="false" ht="13.8" hidden="false" customHeight="false" outlineLevel="0" collapsed="false">
      <c r="A303" s="4" t="n">
        <f aca="false">IFERROR(__xludf.dummyfunction("""COMPUTED_VALUE"""),302)</f>
        <v>302</v>
      </c>
      <c r="B303" s="5" t="str">
        <f aca="false">IFERROR(__xludf.dummyfunction("""COMPUTED_VALUE"""),"LUKAS ALVES DE SOUZA")</f>
        <v>LUKAS ALVES DE SOUZA</v>
      </c>
      <c r="C303" s="5"/>
      <c r="D303" s="5"/>
      <c r="E303" s="5" t="str">
        <f aca="false">IFERROR(__xludf.dummyfunction("""COMPUTED_VALUE"""),"GO")</f>
        <v>GO</v>
      </c>
      <c r="F303" s="4" t="str">
        <f aca="false">IFERROR(__xludf.dummyfunction("""COMPUTED_VALUE"""),"GOIÂNIA")</f>
        <v>GOIÂNIA</v>
      </c>
      <c r="G303" s="4" t="str">
        <f aca="false">IFERROR(__xludf.dummyfunction("""COMPUTED_VALUE"""),"DIREITO")</f>
        <v>DIREITO</v>
      </c>
      <c r="H303" s="4" t="str">
        <f aca="false">IFERROR(__xludf.dummyfunction("""COMPUTED_VALUE"""),"CONTRATADO")</f>
        <v>CONTRATADO</v>
      </c>
    </row>
    <row r="304" customFormat="false" ht="13.8" hidden="false" customHeight="false" outlineLevel="0" collapsed="false">
      <c r="A304" s="4" t="n">
        <f aca="false">IFERROR(__xludf.dummyfunction("""COMPUTED_VALUE"""),303)</f>
        <v>303</v>
      </c>
      <c r="B304" s="5" t="str">
        <f aca="false">IFERROR(__xludf.dummyfunction("""COMPUTED_VALUE"""),"DÉBORA BEATRIZ LOPES DA SILVA")</f>
        <v>DÉBORA BEATRIZ LOPES DA SILVA</v>
      </c>
      <c r="C304" s="5"/>
      <c r="D304" s="5"/>
      <c r="E304" s="5" t="str">
        <f aca="false">IFERROR(__xludf.dummyfunction("""COMPUTED_VALUE"""),"MT")</f>
        <v>MT</v>
      </c>
      <c r="F304" s="4" t="str">
        <f aca="false">IFERROR(__xludf.dummyfunction("""COMPUTED_VALUE"""),"JUSCIMEIRA")</f>
        <v>JUSCIMEIRA</v>
      </c>
      <c r="G304" s="4" t="str">
        <f aca="false">IFERROR(__xludf.dummyfunction("""COMPUTED_VALUE"""),"DIREITO")</f>
        <v>DIREITO</v>
      </c>
      <c r="H304" s="4" t="str">
        <f aca="false">IFERROR(__xludf.dummyfunction("""COMPUTED_VALUE"""),"DESCLASSIFICADO")</f>
        <v>DESCLASSIFICADO</v>
      </c>
    </row>
    <row r="305" customFormat="false" ht="13.8" hidden="false" customHeight="false" outlineLevel="0" collapsed="false">
      <c r="A305" s="4" t="n">
        <f aca="false">IFERROR(__xludf.dummyfunction("""COMPUTED_VALUE"""),304)</f>
        <v>304</v>
      </c>
      <c r="B305" s="5" t="str">
        <f aca="false">IFERROR(__xludf.dummyfunction("""COMPUTED_VALUE"""),"GUILHERME FERNANDES SERRANO")</f>
        <v>GUILHERME FERNANDES SERRANO</v>
      </c>
      <c r="C305" s="5"/>
      <c r="D305" s="5"/>
      <c r="E305" s="5" t="str">
        <f aca="false">IFERROR(__xludf.dummyfunction("""COMPUTED_VALUE"""),"GO")</f>
        <v>GO</v>
      </c>
      <c r="F305" s="4" t="str">
        <f aca="false">IFERROR(__xludf.dummyfunction("""COMPUTED_VALUE"""),"GOIÂNIA")</f>
        <v>GOIÂNIA</v>
      </c>
      <c r="G305" s="4" t="str">
        <f aca="false">IFERROR(__xludf.dummyfunction("""COMPUTED_VALUE"""),"DIREITO")</f>
        <v>DIREITO</v>
      </c>
      <c r="H305" s="4" t="str">
        <f aca="false">IFERROR(__xludf.dummyfunction("""COMPUTED_VALUE"""),"CONTRATADO")</f>
        <v>CONTRATADO</v>
      </c>
    </row>
    <row r="306" customFormat="false" ht="13.8" hidden="false" customHeight="false" outlineLevel="0" collapsed="false">
      <c r="A306" s="4" t="n">
        <f aca="false">IFERROR(__xludf.dummyfunction("""COMPUTED_VALUE"""),305)</f>
        <v>305</v>
      </c>
      <c r="B306" s="5" t="str">
        <f aca="false">IFERROR(__xludf.dummyfunction("""COMPUTED_VALUE"""),"ANA LUIZA MERENCIO SOARES ")</f>
        <v>ANA LUIZA MERENCIO SOARES</v>
      </c>
      <c r="C306" s="5"/>
      <c r="D306" s="5"/>
      <c r="E306" s="5" t="str">
        <f aca="false">IFERROR(__xludf.dummyfunction("""COMPUTED_VALUE"""),"GO")</f>
        <v>GO</v>
      </c>
      <c r="F306" s="4" t="str">
        <f aca="false">IFERROR(__xludf.dummyfunction("""COMPUTED_VALUE"""),"GOIÂNIA")</f>
        <v>GOIÂNIA</v>
      </c>
      <c r="G306" s="4" t="str">
        <f aca="false">IFERROR(__xludf.dummyfunction("""COMPUTED_VALUE"""),"DIREITO")</f>
        <v>DIREITO</v>
      </c>
      <c r="H306" s="4" t="str">
        <f aca="false">IFERROR(__xludf.dummyfunction("""COMPUTED_VALUE"""),"DESCLASSIFICADO")</f>
        <v>DESCLASSIFICADO</v>
      </c>
    </row>
    <row r="307" customFormat="false" ht="13.8" hidden="false" customHeight="false" outlineLevel="0" collapsed="false">
      <c r="A307" s="4" t="n">
        <f aca="false">IFERROR(__xludf.dummyfunction("""COMPUTED_VALUE"""),306)</f>
        <v>306</v>
      </c>
      <c r="B307" s="5" t="str">
        <f aca="false">IFERROR(__xludf.dummyfunction("""COMPUTED_VALUE"""),"AMANDA GABRIELA DE OLIVEIRA PAIVA ")</f>
        <v>AMANDA GABRIELA DE OLIVEIRA PAIVA</v>
      </c>
      <c r="C307" s="5"/>
      <c r="D307" s="5"/>
      <c r="E307" s="5" t="str">
        <f aca="false">IFERROR(__xludf.dummyfunction("""COMPUTED_VALUE"""),"GO")</f>
        <v>GO</v>
      </c>
      <c r="F307" s="4" t="str">
        <f aca="false">IFERROR(__xludf.dummyfunction("""COMPUTED_VALUE"""),"GOIÂNIA")</f>
        <v>GOIÂNIA</v>
      </c>
      <c r="G307" s="4" t="str">
        <f aca="false">IFERROR(__xludf.dummyfunction("""COMPUTED_VALUE"""),"DIREITO")</f>
        <v>DIREITO</v>
      </c>
      <c r="H307" s="4" t="str">
        <f aca="false">IFERROR(__xludf.dummyfunction("""COMPUTED_VALUE"""),"DESCLASSIFICADO")</f>
        <v>DESCLASSIFICADO</v>
      </c>
    </row>
    <row r="308" customFormat="false" ht="13.8" hidden="false" customHeight="false" outlineLevel="0" collapsed="false">
      <c r="A308" s="4" t="n">
        <f aca="false">IFERROR(__xludf.dummyfunction("""COMPUTED_VALUE"""),307)</f>
        <v>307</v>
      </c>
      <c r="B308" s="5" t="str">
        <f aca="false">IFERROR(__xludf.dummyfunction("""COMPUTED_VALUE"""),"ISABELLI VASCONCELOS  SANTOS ")</f>
        <v>ISABELLI VASCONCELOS  SANTOS</v>
      </c>
      <c r="C308" s="5"/>
      <c r="D308" s="5"/>
      <c r="E308" s="5" t="str">
        <f aca="false">IFERROR(__xludf.dummyfunction("""COMPUTED_VALUE"""),"GO")</f>
        <v>GO</v>
      </c>
      <c r="F308" s="4" t="str">
        <f aca="false">IFERROR(__xludf.dummyfunction("""COMPUTED_VALUE"""),"APARECIDA DE GOIÂNIA")</f>
        <v>APARECIDA DE GOIÂNIA</v>
      </c>
      <c r="G308" s="4" t="str">
        <f aca="false">IFERROR(__xludf.dummyfunction("""COMPUTED_VALUE"""),"DIREITO")</f>
        <v>DIREITO</v>
      </c>
      <c r="H308" s="4" t="str">
        <f aca="false">IFERROR(__xludf.dummyfunction("""COMPUTED_VALUE"""),"CONTRATADO")</f>
        <v>CONTRATADO</v>
      </c>
    </row>
    <row r="309" customFormat="false" ht="13.8" hidden="false" customHeight="false" outlineLevel="0" collapsed="false">
      <c r="A309" s="4" t="n">
        <f aca="false">IFERROR(__xludf.dummyfunction("""COMPUTED_VALUE"""),308)</f>
        <v>308</v>
      </c>
      <c r="B309" s="5" t="str">
        <f aca="false">IFERROR(__xludf.dummyfunction("""COMPUTED_VALUE"""),"LUCAS RYAN MORAIS PINHO")</f>
        <v>LUCAS RYAN MORAIS PINHO</v>
      </c>
      <c r="C309" s="5"/>
      <c r="D309" s="5"/>
      <c r="E309" s="5" t="str">
        <f aca="false">IFERROR(__xludf.dummyfunction("""COMPUTED_VALUE"""),"GO")</f>
        <v>GO</v>
      </c>
      <c r="F309" s="4" t="str">
        <f aca="false">IFERROR(__xludf.dummyfunction("""COMPUTED_VALUE"""),"GOIÂNIA")</f>
        <v>GOIÂNIA</v>
      </c>
      <c r="G309" s="4" t="str">
        <f aca="false">IFERROR(__xludf.dummyfunction("""COMPUTED_VALUE"""),"DIREITO")</f>
        <v>DIREITO</v>
      </c>
      <c r="H309" s="4" t="str">
        <f aca="false">IFERROR(__xludf.dummyfunction("""COMPUTED_VALUE"""),"CONTRATADO")</f>
        <v>CONTRATADO</v>
      </c>
    </row>
    <row r="310" customFormat="false" ht="13.8" hidden="false" customHeight="false" outlineLevel="0" collapsed="false">
      <c r="A310" s="4" t="n">
        <f aca="false">IFERROR(__xludf.dummyfunction("""COMPUTED_VALUE"""),309)</f>
        <v>309</v>
      </c>
      <c r="B310" s="5" t="str">
        <f aca="false">IFERROR(__xludf.dummyfunction("""COMPUTED_VALUE"""),"VICTOR GABRIEL DA SILVA")</f>
        <v>VICTOR GABRIEL DA SILVA</v>
      </c>
      <c r="C310" s="5"/>
      <c r="D310" s="5"/>
      <c r="E310" s="5" t="str">
        <f aca="false">IFERROR(__xludf.dummyfunction("""COMPUTED_VALUE"""),"GO")</f>
        <v>GO</v>
      </c>
      <c r="F310" s="4" t="str">
        <f aca="false">IFERROR(__xludf.dummyfunction("""COMPUTED_VALUE"""),"GOIÂNIA")</f>
        <v>GOIÂNIA</v>
      </c>
      <c r="G310" s="4" t="str">
        <f aca="false">IFERROR(__xludf.dummyfunction("""COMPUTED_VALUE"""),"DIREITO")</f>
        <v>DIREITO</v>
      </c>
      <c r="H310" s="4" t="str">
        <f aca="false">IFERROR(__xludf.dummyfunction("""COMPUTED_VALUE"""),"CONTRATADO")</f>
        <v>CONTRATADO</v>
      </c>
    </row>
    <row r="311" customFormat="false" ht="13.8" hidden="false" customHeight="false" outlineLevel="0" collapsed="false">
      <c r="A311" s="4" t="n">
        <f aca="false">IFERROR(__xludf.dummyfunction("""COMPUTED_VALUE"""),310)</f>
        <v>310</v>
      </c>
      <c r="B311" s="5" t="str">
        <f aca="false">IFERROR(__xludf.dummyfunction("""COMPUTED_VALUE"""),"HENRIQUE BARBOSA TEIXEIRA SANTANA")</f>
        <v>HENRIQUE BARBOSA TEIXEIRA SANTANA</v>
      </c>
      <c r="C311" s="5"/>
      <c r="D311" s="5"/>
      <c r="E311" s="5" t="str">
        <f aca="false">IFERROR(__xludf.dummyfunction("""COMPUTED_VALUE"""),"GO")</f>
        <v>GO</v>
      </c>
      <c r="F311" s="4" t="str">
        <f aca="false">IFERROR(__xludf.dummyfunction("""COMPUTED_VALUE"""),"APARECIDA DE GOIÂNIA")</f>
        <v>APARECIDA DE GOIÂNIA</v>
      </c>
      <c r="G311" s="4" t="str">
        <f aca="false">IFERROR(__xludf.dummyfunction("""COMPUTED_VALUE"""),"DIREITO")</f>
        <v>DIREITO</v>
      </c>
      <c r="H311" s="4" t="str">
        <f aca="false">IFERROR(__xludf.dummyfunction("""COMPUTED_VALUE"""),"CONTRATADO")</f>
        <v>CONTRATADO</v>
      </c>
    </row>
    <row r="312" customFormat="false" ht="13.8" hidden="false" customHeight="false" outlineLevel="0" collapsed="false">
      <c r="A312" s="4" t="n">
        <f aca="false">IFERROR(__xludf.dummyfunction("""COMPUTED_VALUE"""),311)</f>
        <v>311</v>
      </c>
      <c r="B312" s="5" t="str">
        <f aca="false">IFERROR(__xludf.dummyfunction("""COMPUTED_VALUE"""),"SAMUEL SANDES SILVA")</f>
        <v>SAMUEL SANDES SILVA</v>
      </c>
      <c r="C312" s="5"/>
      <c r="D312" s="5"/>
      <c r="E312" s="5" t="str">
        <f aca="false">IFERROR(__xludf.dummyfunction("""COMPUTED_VALUE"""),"GO")</f>
        <v>GO</v>
      </c>
      <c r="F312" s="4" t="str">
        <f aca="false">IFERROR(__xludf.dummyfunction("""COMPUTED_VALUE"""),"APARECIDA DE GOIÂNIA")</f>
        <v>APARECIDA DE GOIÂNIA</v>
      </c>
      <c r="G312" s="4" t="str">
        <f aca="false">IFERROR(__xludf.dummyfunction("""COMPUTED_VALUE"""),"DIREITO")</f>
        <v>DIREITO</v>
      </c>
      <c r="H312" s="4" t="str">
        <f aca="false">IFERROR(__xludf.dummyfunction("""COMPUTED_VALUE"""),"DESCLASSIFICADO")</f>
        <v>DESCLASSIFICADO</v>
      </c>
    </row>
    <row r="313" customFormat="false" ht="13.8" hidden="false" customHeight="false" outlineLevel="0" collapsed="false">
      <c r="A313" s="4" t="n">
        <f aca="false">IFERROR(__xludf.dummyfunction("""COMPUTED_VALUE"""),312)</f>
        <v>312</v>
      </c>
      <c r="B313" s="5" t="str">
        <f aca="false">IFERROR(__xludf.dummyfunction("""COMPUTED_VALUE"""),"JHENNIFER AMORIM DE OLIVEIRA BARBOSA ")</f>
        <v>JHENNIFER AMORIM DE OLIVEIRA BARBOSA</v>
      </c>
      <c r="C313" s="5"/>
      <c r="D313" s="5"/>
      <c r="E313" s="5" t="str">
        <f aca="false">IFERROR(__xludf.dummyfunction("""COMPUTED_VALUE"""),"GO")</f>
        <v>GO</v>
      </c>
      <c r="F313" s="4" t="str">
        <f aca="false">IFERROR(__xludf.dummyfunction("""COMPUTED_VALUE"""),"GOIÂNIA")</f>
        <v>GOIÂNIA</v>
      </c>
      <c r="G313" s="4" t="str">
        <f aca="false">IFERROR(__xludf.dummyfunction("""COMPUTED_VALUE"""),"DIREITO")</f>
        <v>DIREITO</v>
      </c>
      <c r="H313" s="4" t="str">
        <f aca="false">IFERROR(__xludf.dummyfunction("""COMPUTED_VALUE"""),"DESCLASSIFICADO")</f>
        <v>DESCLASSIFICADO</v>
      </c>
    </row>
    <row r="314" customFormat="false" ht="13.8" hidden="false" customHeight="false" outlineLevel="0" collapsed="false">
      <c r="A314" s="4" t="n">
        <f aca="false">IFERROR(__xludf.dummyfunction("""COMPUTED_VALUE"""),313)</f>
        <v>313</v>
      </c>
      <c r="B314" s="5" t="str">
        <f aca="false">IFERROR(__xludf.dummyfunction("""COMPUTED_VALUE"""),"MATHEUS CAMPOS DA COSTA")</f>
        <v>MATHEUS CAMPOS DA COSTA</v>
      </c>
      <c r="C314" s="5"/>
      <c r="D314" s="5"/>
      <c r="E314" s="5" t="str">
        <f aca="false">IFERROR(__xludf.dummyfunction("""COMPUTED_VALUE"""),"GO")</f>
        <v>GO</v>
      </c>
      <c r="F314" s="4" t="str">
        <f aca="false">IFERROR(__xludf.dummyfunction("""COMPUTED_VALUE"""),"TRINDADE")</f>
        <v>TRINDADE</v>
      </c>
      <c r="G314" s="4" t="str">
        <f aca="false">IFERROR(__xludf.dummyfunction("""COMPUTED_VALUE"""),"DIREITO")</f>
        <v>DIREITO</v>
      </c>
      <c r="H314" s="4" t="str">
        <f aca="false">IFERROR(__xludf.dummyfunction("""COMPUTED_VALUE"""),"CONTRATADO")</f>
        <v>CONTRATADO</v>
      </c>
    </row>
    <row r="315" customFormat="false" ht="13.8" hidden="false" customHeight="false" outlineLevel="0" collapsed="false">
      <c r="A315" s="4" t="n">
        <f aca="false">IFERROR(__xludf.dummyfunction("""COMPUTED_VALUE"""),314)</f>
        <v>314</v>
      </c>
      <c r="B315" s="5" t="str">
        <f aca="false">IFERROR(__xludf.dummyfunction("""COMPUTED_VALUE"""),"MARIA TALYNY DOS SANTOS COSTA ")</f>
        <v>MARIA TALYNY DOS SANTOS COSTA</v>
      </c>
      <c r="C315" s="5"/>
      <c r="D315" s="5"/>
      <c r="E315" s="5" t="str">
        <f aca="false">IFERROR(__xludf.dummyfunction("""COMPUTED_VALUE"""),"GO")</f>
        <v>GO</v>
      </c>
      <c r="F315" s="4" t="str">
        <f aca="false">IFERROR(__xludf.dummyfunction("""COMPUTED_VALUE"""),"APARECIDA DE GOIÂNIA")</f>
        <v>APARECIDA DE GOIÂNIA</v>
      </c>
      <c r="G315" s="4" t="str">
        <f aca="false">IFERROR(__xludf.dummyfunction("""COMPUTED_VALUE"""),"DIREITO")</f>
        <v>DIREITO</v>
      </c>
      <c r="H315" s="4" t="str">
        <f aca="false">IFERROR(__xludf.dummyfunction("""COMPUTED_VALUE"""),"DESCLASSIFICADO")</f>
        <v>DESCLASSIFICADO</v>
      </c>
    </row>
    <row r="316" customFormat="false" ht="13.8" hidden="false" customHeight="false" outlineLevel="0" collapsed="false">
      <c r="A316" s="4" t="n">
        <f aca="false">IFERROR(__xludf.dummyfunction("""COMPUTED_VALUE"""),315)</f>
        <v>315</v>
      </c>
      <c r="B316" s="5" t="str">
        <f aca="false">IFERROR(__xludf.dummyfunction("""COMPUTED_VALUE"""),"AMANDA MIRELLA ASSIS MOURA")</f>
        <v>AMANDA MIRELLA ASSIS MOURA</v>
      </c>
      <c r="C316" s="5"/>
      <c r="D316" s="5"/>
      <c r="E316" s="5" t="str">
        <f aca="false">IFERROR(__xludf.dummyfunction("""COMPUTED_VALUE"""),"GO")</f>
        <v>GO</v>
      </c>
      <c r="F316" s="4" t="str">
        <f aca="false">IFERROR(__xludf.dummyfunction("""COMPUTED_VALUE"""),"SENADOR CANEDO")</f>
        <v>SENADOR CANEDO</v>
      </c>
      <c r="G316" s="4" t="str">
        <f aca="false">IFERROR(__xludf.dummyfunction("""COMPUTED_VALUE"""),"DIREITO")</f>
        <v>DIREITO</v>
      </c>
      <c r="H316" s="4" t="str">
        <f aca="false">IFERROR(__xludf.dummyfunction("""COMPUTED_VALUE"""),"DESCLASSIFICADO")</f>
        <v>DESCLASSIFICADO</v>
      </c>
    </row>
    <row r="317" customFormat="false" ht="13.8" hidden="false" customHeight="false" outlineLevel="0" collapsed="false">
      <c r="A317" s="4" t="n">
        <f aca="false">IFERROR(__xludf.dummyfunction("""COMPUTED_VALUE"""),316)</f>
        <v>316</v>
      </c>
      <c r="B317" s="5" t="str">
        <f aca="false">IFERROR(__xludf.dummyfunction("""COMPUTED_VALUE"""),"DEIVID PEREIRA BATISTA FARIA")</f>
        <v>DEIVID PEREIRA BATISTA FARIA</v>
      </c>
      <c r="C317" s="5"/>
      <c r="D317" s="5"/>
      <c r="E317" s="5" t="str">
        <f aca="false">IFERROR(__xludf.dummyfunction("""COMPUTED_VALUE"""),"GO")</f>
        <v>GO</v>
      </c>
      <c r="F317" s="4" t="str">
        <f aca="false">IFERROR(__xludf.dummyfunction("""COMPUTED_VALUE"""),"APARECIDA DE GOIÂNIA")</f>
        <v>APARECIDA DE GOIÂNIA</v>
      </c>
      <c r="G317" s="4" t="str">
        <f aca="false">IFERROR(__xludf.dummyfunction("""COMPUTED_VALUE"""),"DIREITO")</f>
        <v>DIREITO</v>
      </c>
      <c r="H317" s="4" t="str">
        <f aca="false">IFERROR(__xludf.dummyfunction("""COMPUTED_VALUE"""),"DESCLASSIFICADO")</f>
        <v>DESCLASSIFICADO</v>
      </c>
    </row>
    <row r="318" customFormat="false" ht="13.8" hidden="false" customHeight="false" outlineLevel="0" collapsed="false">
      <c r="A318" s="4" t="n">
        <f aca="false">IFERROR(__xludf.dummyfunction("""COMPUTED_VALUE"""),317)</f>
        <v>317</v>
      </c>
      <c r="B318" s="5" t="str">
        <f aca="false">IFERROR(__xludf.dummyfunction("""COMPUTED_VALUE"""),"MARCUS AUGUSTUS MARÇAL LIMA")</f>
        <v>MARCUS AUGUSTUS MARÇAL LIMA</v>
      </c>
      <c r="C318" s="5"/>
      <c r="D318" s="5"/>
      <c r="E318" s="5" t="str">
        <f aca="false">IFERROR(__xludf.dummyfunction("""COMPUTED_VALUE"""),"GO")</f>
        <v>GO</v>
      </c>
      <c r="F318" s="4" t="str">
        <f aca="false">IFERROR(__xludf.dummyfunction("""COMPUTED_VALUE"""),"GOIÂNIA")</f>
        <v>GOIÂNIA</v>
      </c>
      <c r="G318" s="4" t="str">
        <f aca="false">IFERROR(__xludf.dummyfunction("""COMPUTED_VALUE"""),"DIREITO")</f>
        <v>DIREITO</v>
      </c>
      <c r="H318" s="4" t="str">
        <f aca="false">IFERROR(__xludf.dummyfunction("""COMPUTED_VALUE"""),"DESCLASSIFICADO")</f>
        <v>DESCLASSIFICADO</v>
      </c>
    </row>
    <row r="319" customFormat="false" ht="13.8" hidden="false" customHeight="false" outlineLevel="0" collapsed="false">
      <c r="A319" s="4" t="n">
        <f aca="false">IFERROR(__xludf.dummyfunction("""COMPUTED_VALUE"""),318)</f>
        <v>318</v>
      </c>
      <c r="B319" s="5" t="str">
        <f aca="false">IFERROR(__xludf.dummyfunction("""COMPUTED_VALUE"""),"LUIZ FELIPE BERNARDES ")</f>
        <v>LUIZ FELIPE BERNARDES</v>
      </c>
      <c r="C319" s="5"/>
      <c r="D319" s="5"/>
      <c r="E319" s="5" t="str">
        <f aca="false">IFERROR(__xludf.dummyfunction("""COMPUTED_VALUE"""),"GO")</f>
        <v>GO</v>
      </c>
      <c r="F319" s="4" t="str">
        <f aca="false">IFERROR(__xludf.dummyfunction("""COMPUTED_VALUE"""),"GOIÂNIA")</f>
        <v>GOIÂNIA</v>
      </c>
      <c r="G319" s="4" t="str">
        <f aca="false">IFERROR(__xludf.dummyfunction("""COMPUTED_VALUE"""),"DIREITO")</f>
        <v>DIREITO</v>
      </c>
      <c r="H319" s="4" t="str">
        <f aca="false">IFERROR(__xludf.dummyfunction("""COMPUTED_VALUE"""),"CONTRATADO")</f>
        <v>CONTRATADO</v>
      </c>
    </row>
    <row r="320" customFormat="false" ht="13.8" hidden="false" customHeight="false" outlineLevel="0" collapsed="false">
      <c r="A320" s="4" t="n">
        <f aca="false">IFERROR(__xludf.dummyfunction("""COMPUTED_VALUE"""),319)</f>
        <v>319</v>
      </c>
      <c r="B320" s="5" t="str">
        <f aca="false">IFERROR(__xludf.dummyfunction("""COMPUTED_VALUE"""),"DAVI LIMA CARDOSO")</f>
        <v>DAVI LIMA CARDOSO</v>
      </c>
      <c r="C320" s="5"/>
      <c r="D320" s="5"/>
      <c r="E320" s="5" t="str">
        <f aca="false">IFERROR(__xludf.dummyfunction("""COMPUTED_VALUE"""),"GO")</f>
        <v>GO</v>
      </c>
      <c r="F320" s="4" t="str">
        <f aca="false">IFERROR(__xludf.dummyfunction("""COMPUTED_VALUE"""),"LUZIÂNIA")</f>
        <v>LUZIÂNIA</v>
      </c>
      <c r="G320" s="4" t="str">
        <f aca="false">IFERROR(__xludf.dummyfunction("""COMPUTED_VALUE"""),"DIREITO")</f>
        <v>DIREITO</v>
      </c>
      <c r="H320" s="4" t="str">
        <f aca="false">IFERROR(__xludf.dummyfunction("""COMPUTED_VALUE"""),"DESCLASSIFICADO")</f>
        <v>DESCLASSIFICADO</v>
      </c>
    </row>
    <row r="321" customFormat="false" ht="13.8" hidden="false" customHeight="false" outlineLevel="0" collapsed="false">
      <c r="A321" s="4" t="n">
        <f aca="false">IFERROR(__xludf.dummyfunction("""COMPUTED_VALUE"""),320)</f>
        <v>320</v>
      </c>
      <c r="B321" s="5" t="str">
        <f aca="false">IFERROR(__xludf.dummyfunction("""COMPUTED_VALUE"""),"SAMARA ALVES DE JESUS")</f>
        <v>SAMARA ALVES DE JESUS</v>
      </c>
      <c r="C321" s="5"/>
      <c r="D321" s="5"/>
      <c r="E321" s="5" t="str">
        <f aca="false">IFERROR(__xludf.dummyfunction("""COMPUTED_VALUE"""),"GO")</f>
        <v>GO</v>
      </c>
      <c r="F321" s="4" t="str">
        <f aca="false">IFERROR(__xludf.dummyfunction("""COMPUTED_VALUE"""),"GOIÂNIA")</f>
        <v>GOIÂNIA</v>
      </c>
      <c r="G321" s="4" t="str">
        <f aca="false">IFERROR(__xludf.dummyfunction("""COMPUTED_VALUE"""),"DIREITO")</f>
        <v>DIREITO</v>
      </c>
      <c r="H321" s="4" t="str">
        <f aca="false">IFERROR(__xludf.dummyfunction("""COMPUTED_VALUE"""),"CONTRATADO")</f>
        <v>CONTRATADO</v>
      </c>
    </row>
    <row r="322" customFormat="false" ht="13.8" hidden="false" customHeight="false" outlineLevel="0" collapsed="false">
      <c r="A322" s="4" t="n">
        <f aca="false">IFERROR(__xludf.dummyfunction("""COMPUTED_VALUE"""),321)</f>
        <v>321</v>
      </c>
      <c r="B322" s="5" t="str">
        <f aca="false">IFERROR(__xludf.dummyfunction("""COMPUTED_VALUE"""),"LUIZ FELIPE TEIXEIRA DE BARROS")</f>
        <v>LUIZ FELIPE TEIXEIRA DE BARROS</v>
      </c>
      <c r="C322" s="5"/>
      <c r="D322" s="5"/>
      <c r="E322" s="5" t="str">
        <f aca="false">IFERROR(__xludf.dummyfunction("""COMPUTED_VALUE"""),"GO")</f>
        <v>GO</v>
      </c>
      <c r="F322" s="4" t="str">
        <f aca="false">IFERROR(__xludf.dummyfunction("""COMPUTED_VALUE"""),"APARECIDA DE GOIÂNIA")</f>
        <v>APARECIDA DE GOIÂNIA</v>
      </c>
      <c r="G322" s="4" t="str">
        <f aca="false">IFERROR(__xludf.dummyfunction("""COMPUTED_VALUE"""),"DIREITO")</f>
        <v>DIREITO</v>
      </c>
      <c r="H322" s="4" t="str">
        <f aca="false">IFERROR(__xludf.dummyfunction("""COMPUTED_VALUE"""),"DESCLASSIFICADO")</f>
        <v>DESCLASSIFICADO</v>
      </c>
    </row>
    <row r="323" customFormat="false" ht="13.8" hidden="false" customHeight="false" outlineLevel="0" collapsed="false">
      <c r="A323" s="4" t="n">
        <f aca="false">IFERROR(__xludf.dummyfunction("""COMPUTED_VALUE"""),322)</f>
        <v>322</v>
      </c>
      <c r="B323" s="5" t="str">
        <f aca="false">IFERROR(__xludf.dummyfunction("""COMPUTED_VALUE"""),"ROSILDA CARDOZO DURÃES ")</f>
        <v>ROSILDA CARDOZO DURÃES</v>
      </c>
      <c r="C323" s="5"/>
      <c r="D323" s="5"/>
      <c r="E323" s="5" t="str">
        <f aca="false">IFERROR(__xludf.dummyfunction("""COMPUTED_VALUE"""),"GO")</f>
        <v>GO</v>
      </c>
      <c r="F323" s="4" t="str">
        <f aca="false">IFERROR(__xludf.dummyfunction("""COMPUTED_VALUE"""),"APARECIDA DE GOIÂNIA")</f>
        <v>APARECIDA DE GOIÂNIA</v>
      </c>
      <c r="G323" s="4" t="str">
        <f aca="false">IFERROR(__xludf.dummyfunction("""COMPUTED_VALUE"""),"DIREITO")</f>
        <v>DIREITO</v>
      </c>
      <c r="H323" s="4" t="str">
        <f aca="false">IFERROR(__xludf.dummyfunction("""COMPUTED_VALUE"""),"DESCLASSIFICADO")</f>
        <v>DESCLASSIFICADO</v>
      </c>
    </row>
    <row r="324" customFormat="false" ht="13.8" hidden="false" customHeight="false" outlineLevel="0" collapsed="false">
      <c r="A324" s="4" t="n">
        <f aca="false">IFERROR(__xludf.dummyfunction("""COMPUTED_VALUE"""),323)</f>
        <v>323</v>
      </c>
      <c r="B324" s="5" t="str">
        <f aca="false">IFERROR(__xludf.dummyfunction("""COMPUTED_VALUE"""),"SABRYNA KARLA COSTA LOPES")</f>
        <v>SABRYNA KARLA COSTA LOPES</v>
      </c>
      <c r="C324" s="5"/>
      <c r="D324" s="5"/>
      <c r="E324" s="5" t="str">
        <f aca="false">IFERROR(__xludf.dummyfunction("""COMPUTED_VALUE"""),"GO")</f>
        <v>GO</v>
      </c>
      <c r="F324" s="4" t="str">
        <f aca="false">IFERROR(__xludf.dummyfunction("""COMPUTED_VALUE"""),"GUAPÓ")</f>
        <v>GUAPÓ</v>
      </c>
      <c r="G324" s="4" t="str">
        <f aca="false">IFERROR(__xludf.dummyfunction("""COMPUTED_VALUE"""),"DIREITO")</f>
        <v>DIREITO</v>
      </c>
      <c r="H324" s="4" t="str">
        <f aca="false">IFERROR(__xludf.dummyfunction("""COMPUTED_VALUE"""),"DESCLASSIFICADO")</f>
        <v>DESCLASSIFICADO</v>
      </c>
    </row>
    <row r="325" customFormat="false" ht="13.8" hidden="false" customHeight="false" outlineLevel="0" collapsed="false">
      <c r="A325" s="4" t="n">
        <f aca="false">IFERROR(__xludf.dummyfunction("""COMPUTED_VALUE"""),324)</f>
        <v>324</v>
      </c>
      <c r="B325" s="5" t="str">
        <f aca="false">IFERROR(__xludf.dummyfunction("""COMPUTED_VALUE"""),"AMANDA SOUZA ARAÚJO ")</f>
        <v>AMANDA SOUZA ARAÚJO</v>
      </c>
      <c r="C325" s="5"/>
      <c r="D325" s="5"/>
      <c r="E325" s="5" t="str">
        <f aca="false">IFERROR(__xludf.dummyfunction("""COMPUTED_VALUE"""),"GO")</f>
        <v>GO</v>
      </c>
      <c r="F325" s="4" t="str">
        <f aca="false">IFERROR(__xludf.dummyfunction("""COMPUTED_VALUE"""),"GOIÂNIA")</f>
        <v>GOIÂNIA</v>
      </c>
      <c r="G325" s="4" t="str">
        <f aca="false">IFERROR(__xludf.dummyfunction("""COMPUTED_VALUE"""),"DIREITO")</f>
        <v>DIREITO</v>
      </c>
      <c r="H325" s="4" t="str">
        <f aca="false">IFERROR(__xludf.dummyfunction("""COMPUTED_VALUE"""),"CONTRATADO")</f>
        <v>CONTRATADO</v>
      </c>
    </row>
    <row r="326" customFormat="false" ht="13.8" hidden="false" customHeight="false" outlineLevel="0" collapsed="false">
      <c r="A326" s="4" t="n">
        <f aca="false">IFERROR(__xludf.dummyfunction("""COMPUTED_VALUE"""),325)</f>
        <v>325</v>
      </c>
      <c r="B326" s="5" t="str">
        <f aca="false">IFERROR(__xludf.dummyfunction("""COMPUTED_VALUE"""),"MARCOS DIEGO DE CASTRO ")</f>
        <v>MARCOS DIEGO DE CASTRO</v>
      </c>
      <c r="C326" s="5"/>
      <c r="D326" s="5"/>
      <c r="E326" s="5" t="str">
        <f aca="false">IFERROR(__xludf.dummyfunction("""COMPUTED_VALUE"""),"GO")</f>
        <v>GO</v>
      </c>
      <c r="F326" s="4" t="str">
        <f aca="false">IFERROR(__xludf.dummyfunction("""COMPUTED_VALUE"""),"URUAÇU")</f>
        <v>URUAÇU</v>
      </c>
      <c r="G326" s="4" t="str">
        <f aca="false">IFERROR(__xludf.dummyfunction("""COMPUTED_VALUE"""),"DIREITO")</f>
        <v>DIREITO</v>
      </c>
      <c r="H326" s="4" t="str">
        <f aca="false">IFERROR(__xludf.dummyfunction("""COMPUTED_VALUE"""),"DESCLASSIFICADO")</f>
        <v>DESCLASSIFICADO</v>
      </c>
    </row>
    <row r="327" customFormat="false" ht="13.8" hidden="false" customHeight="false" outlineLevel="0" collapsed="false">
      <c r="A327" s="4" t="n">
        <f aca="false">IFERROR(__xludf.dummyfunction("""COMPUTED_VALUE"""),326)</f>
        <v>326</v>
      </c>
      <c r="B327" s="5" t="str">
        <f aca="false">IFERROR(__xludf.dummyfunction("""COMPUTED_VALUE"""),"LUCAS EDUARDO DE OLIVEIRA DIAS")</f>
        <v>LUCAS EDUARDO DE OLIVEIRA DIAS</v>
      </c>
      <c r="C327" s="5"/>
      <c r="D327" s="5"/>
      <c r="E327" s="5" t="str">
        <f aca="false">IFERROR(__xludf.dummyfunction("""COMPUTED_VALUE"""),"GO")</f>
        <v>GO</v>
      </c>
      <c r="F327" s="4" t="str">
        <f aca="false">IFERROR(__xludf.dummyfunction("""COMPUTED_VALUE"""),"GOIÂNIA")</f>
        <v>GOIÂNIA</v>
      </c>
      <c r="G327" s="4" t="str">
        <f aca="false">IFERROR(__xludf.dummyfunction("""COMPUTED_VALUE"""),"DIREITO")</f>
        <v>DIREITO</v>
      </c>
      <c r="H327" s="4" t="str">
        <f aca="false">IFERROR(__xludf.dummyfunction("""COMPUTED_VALUE"""),"CONTRATADO")</f>
        <v>CONTRATADO</v>
      </c>
    </row>
    <row r="328" customFormat="false" ht="13.8" hidden="false" customHeight="false" outlineLevel="0" collapsed="false">
      <c r="A328" s="4" t="n">
        <f aca="false">IFERROR(__xludf.dummyfunction("""COMPUTED_VALUE"""),327)</f>
        <v>327</v>
      </c>
      <c r="B328" s="5" t="str">
        <f aca="false">IFERROR(__xludf.dummyfunction("""COMPUTED_VALUE"""),"MARIANA TAVARES MARTINS DE OLIVEIRA ")</f>
        <v>MARIANA TAVARES MARTINS DE OLIVEIRA</v>
      </c>
      <c r="C328" s="5"/>
      <c r="D328" s="5"/>
      <c r="E328" s="5" t="str">
        <f aca="false">IFERROR(__xludf.dummyfunction("""COMPUTED_VALUE"""),"GO")</f>
        <v>GO</v>
      </c>
      <c r="F328" s="4" t="str">
        <f aca="false">IFERROR(__xludf.dummyfunction("""COMPUTED_VALUE"""),"APARECIDA DE GOIÂNIA")</f>
        <v>APARECIDA DE GOIÂNIA</v>
      </c>
      <c r="G328" s="4" t="str">
        <f aca="false">IFERROR(__xludf.dummyfunction("""COMPUTED_VALUE"""),"DIREITO")</f>
        <v>DIREITO</v>
      </c>
      <c r="H328" s="4" t="str">
        <f aca="false">IFERROR(__xludf.dummyfunction("""COMPUTED_VALUE"""),"DESCLASSIFICADO")</f>
        <v>DESCLASSIFICADO</v>
      </c>
    </row>
    <row r="329" customFormat="false" ht="13.8" hidden="false" customHeight="false" outlineLevel="0" collapsed="false">
      <c r="A329" s="4" t="n">
        <f aca="false">IFERROR(__xludf.dummyfunction("""COMPUTED_VALUE"""),328)</f>
        <v>328</v>
      </c>
      <c r="B329" s="5" t="str">
        <f aca="false">IFERROR(__xludf.dummyfunction("""COMPUTED_VALUE"""),"KLAIVER  SILVA COSTA")</f>
        <v>KLAIVER  SILVA COSTA</v>
      </c>
      <c r="C329" s="5"/>
      <c r="D329" s="5"/>
      <c r="E329" s="5" t="str">
        <f aca="false">IFERROR(__xludf.dummyfunction("""COMPUTED_VALUE"""),"GO")</f>
        <v>GO</v>
      </c>
      <c r="F329" s="4" t="str">
        <f aca="false">IFERROR(__xludf.dummyfunction("""COMPUTED_VALUE"""),"MINEIROS")</f>
        <v>MINEIROS</v>
      </c>
      <c r="G329" s="4" t="str">
        <f aca="false">IFERROR(__xludf.dummyfunction("""COMPUTED_VALUE"""),"DIREITO")</f>
        <v>DIREITO</v>
      </c>
      <c r="H329" s="4" t="str">
        <f aca="false">IFERROR(__xludf.dummyfunction("""COMPUTED_VALUE"""),"DESCLASSIFICADO")</f>
        <v>DESCLASSIFICADO</v>
      </c>
    </row>
    <row r="330" customFormat="false" ht="13.8" hidden="false" customHeight="false" outlineLevel="0" collapsed="false">
      <c r="A330" s="4" t="n">
        <f aca="false">IFERROR(__xludf.dummyfunction("""COMPUTED_VALUE"""),329)</f>
        <v>329</v>
      </c>
      <c r="B330" s="5" t="str">
        <f aca="false">IFERROR(__xludf.dummyfunction("""COMPUTED_VALUE"""),"GUSTAVO GOULÃO DUTRA")</f>
        <v>GUSTAVO GOULÃO DUTRA</v>
      </c>
      <c r="C330" s="5"/>
      <c r="D330" s="5"/>
      <c r="E330" s="5" t="str">
        <f aca="false">IFERROR(__xludf.dummyfunction("""COMPUTED_VALUE"""),"GO")</f>
        <v>GO</v>
      </c>
      <c r="F330" s="4" t="str">
        <f aca="false">IFERROR(__xludf.dummyfunction("""COMPUTED_VALUE"""),"PIRENÓPOLIS")</f>
        <v>PIRENÓPOLIS</v>
      </c>
      <c r="G330" s="4" t="str">
        <f aca="false">IFERROR(__xludf.dummyfunction("""COMPUTED_VALUE"""),"DIREITO")</f>
        <v>DIREITO</v>
      </c>
      <c r="H330" s="4" t="str">
        <f aca="false">IFERROR(__xludf.dummyfunction("""COMPUTED_VALUE"""),"DESCLASSIFICADO")</f>
        <v>DESCLASSIFICADO</v>
      </c>
    </row>
    <row r="331" customFormat="false" ht="13.8" hidden="false" customHeight="false" outlineLevel="0" collapsed="false">
      <c r="A331" s="4" t="n">
        <f aca="false">IFERROR(__xludf.dummyfunction("""COMPUTED_VALUE"""),330)</f>
        <v>330</v>
      </c>
      <c r="B331" s="5" t="str">
        <f aca="false">IFERROR(__xludf.dummyfunction("""COMPUTED_VALUE"""),"MARIANA MONTEIRO FREITAS")</f>
        <v>MARIANA MONTEIRO FREITAS</v>
      </c>
      <c r="C331" s="5"/>
      <c r="D331" s="5"/>
      <c r="E331" s="5" t="str">
        <f aca="false">IFERROR(__xludf.dummyfunction("""COMPUTED_VALUE"""),"GO")</f>
        <v>GO</v>
      </c>
      <c r="F331" s="4" t="str">
        <f aca="false">IFERROR(__xludf.dummyfunction("""COMPUTED_VALUE"""),"GOIÂNIA")</f>
        <v>GOIÂNIA</v>
      </c>
      <c r="G331" s="4" t="str">
        <f aca="false">IFERROR(__xludf.dummyfunction("""COMPUTED_VALUE"""),"DIREITO")</f>
        <v>DIREITO</v>
      </c>
      <c r="H331" s="4" t="str">
        <f aca="false">IFERROR(__xludf.dummyfunction("""COMPUTED_VALUE"""),"CONTRATADO")</f>
        <v>CONTRATADO</v>
      </c>
    </row>
    <row r="332" customFormat="false" ht="13.8" hidden="false" customHeight="false" outlineLevel="0" collapsed="false">
      <c r="A332" s="4" t="n">
        <f aca="false">IFERROR(__xludf.dummyfunction("""COMPUTED_VALUE"""),331)</f>
        <v>331</v>
      </c>
      <c r="B332" s="5" t="str">
        <f aca="false">IFERROR(__xludf.dummyfunction("""COMPUTED_VALUE"""),"VICTÓRIA QUEIROZ COELHO SOARES")</f>
        <v>VICTÓRIA QUEIROZ COELHO SOARES</v>
      </c>
      <c r="C332" s="5"/>
      <c r="D332" s="5"/>
      <c r="E332" s="5" t="str">
        <f aca="false">IFERROR(__xludf.dummyfunction("""COMPUTED_VALUE"""),"GO")</f>
        <v>GO</v>
      </c>
      <c r="F332" s="4" t="str">
        <f aca="false">IFERROR(__xludf.dummyfunction("""COMPUTED_VALUE"""),"GOIÂNIA")</f>
        <v>GOIÂNIA</v>
      </c>
      <c r="G332" s="4" t="str">
        <f aca="false">IFERROR(__xludf.dummyfunction("""COMPUTED_VALUE"""),"DIREITO")</f>
        <v>DIREITO</v>
      </c>
      <c r="H332" s="4" t="str">
        <f aca="false">IFERROR(__xludf.dummyfunction("""COMPUTED_VALUE"""),"DESCLASSIFICADO")</f>
        <v>DESCLASSIFICADO</v>
      </c>
    </row>
    <row r="333" customFormat="false" ht="13.8" hidden="false" customHeight="false" outlineLevel="0" collapsed="false">
      <c r="A333" s="4" t="n">
        <f aca="false">IFERROR(__xludf.dummyfunction("""COMPUTED_VALUE"""),332)</f>
        <v>332</v>
      </c>
      <c r="B333" s="5" t="str">
        <f aca="false">IFERROR(__xludf.dummyfunction("""COMPUTED_VALUE"""),"NADIA SOCORRO SANDES PAIVA")</f>
        <v>NADIA SOCORRO SANDES PAIVA</v>
      </c>
      <c r="C333" s="5"/>
      <c r="D333" s="5"/>
      <c r="E333" s="5" t="str">
        <f aca="false">IFERROR(__xludf.dummyfunction("""COMPUTED_VALUE"""),"GO")</f>
        <v>GO</v>
      </c>
      <c r="F333" s="4" t="str">
        <f aca="false">IFERROR(__xludf.dummyfunction("""COMPUTED_VALUE"""),"GOIÂNIA")</f>
        <v>GOIÂNIA</v>
      </c>
      <c r="G333" s="4" t="str">
        <f aca="false">IFERROR(__xludf.dummyfunction("""COMPUTED_VALUE"""),"DIREITO")</f>
        <v>DIREITO</v>
      </c>
      <c r="H333" s="4" t="str">
        <f aca="false">IFERROR(__xludf.dummyfunction("""COMPUTED_VALUE"""),"DESCLASSIFICADO")</f>
        <v>DESCLASSIFICADO</v>
      </c>
    </row>
    <row r="334" customFormat="false" ht="13.8" hidden="false" customHeight="false" outlineLevel="0" collapsed="false">
      <c r="A334" s="4" t="n">
        <f aca="false">IFERROR(__xludf.dummyfunction("""COMPUTED_VALUE"""),333)</f>
        <v>333</v>
      </c>
      <c r="B334" s="5" t="str">
        <f aca="false">IFERROR(__xludf.dummyfunction("""COMPUTED_VALUE"""),"ANTÔNIO CARLOS TIOSSO")</f>
        <v>ANTÔNIO CARLOS TIOSSO</v>
      </c>
      <c r="C334" s="5"/>
      <c r="D334" s="5"/>
      <c r="E334" s="5" t="str">
        <f aca="false">IFERROR(__xludf.dummyfunction("""COMPUTED_VALUE"""),"GO")</f>
        <v>GO</v>
      </c>
      <c r="F334" s="4" t="str">
        <f aca="false">IFERROR(__xludf.dummyfunction("""COMPUTED_VALUE"""),"GOIÂNIA")</f>
        <v>GOIÂNIA</v>
      </c>
      <c r="G334" s="4" t="str">
        <f aca="false">IFERROR(__xludf.dummyfunction("""COMPUTED_VALUE"""),"DIREITO")</f>
        <v>DIREITO</v>
      </c>
      <c r="H334" s="4" t="str">
        <f aca="false">IFERROR(__xludf.dummyfunction("""COMPUTED_VALUE"""),"DESCLASSIFICADO")</f>
        <v>DESCLASSIFICADO</v>
      </c>
    </row>
    <row r="335" customFormat="false" ht="13.8" hidden="false" customHeight="false" outlineLevel="0" collapsed="false">
      <c r="A335" s="4" t="n">
        <f aca="false">IFERROR(__xludf.dummyfunction("""COMPUTED_VALUE"""),334)</f>
        <v>334</v>
      </c>
      <c r="B335" s="5" t="str">
        <f aca="false">IFERROR(__xludf.dummyfunction("""COMPUTED_VALUE"""),"VANESSA DE ANDRADE FLORENCIO MATOS")</f>
        <v>VANESSA DE ANDRADE FLORENCIO MATOS</v>
      </c>
      <c r="C335" s="5"/>
      <c r="D335" s="5"/>
      <c r="E335" s="5" t="str">
        <f aca="false">IFERROR(__xludf.dummyfunction("""COMPUTED_VALUE"""),"GO")</f>
        <v>GO</v>
      </c>
      <c r="F335" s="4" t="str">
        <f aca="false">IFERROR(__xludf.dummyfunction("""COMPUTED_VALUE"""),"ÁGUAS LINDAS DE GOIÁS")</f>
        <v>ÁGUAS LINDAS DE GOIÁS</v>
      </c>
      <c r="G335" s="4" t="str">
        <f aca="false">IFERROR(__xludf.dummyfunction("""COMPUTED_VALUE"""),"DIREITO")</f>
        <v>DIREITO</v>
      </c>
      <c r="H335" s="4" t="str">
        <f aca="false">IFERROR(__xludf.dummyfunction("""COMPUTED_VALUE"""),"DESCLASSIFICADO")</f>
        <v>DESCLASSIFICADO</v>
      </c>
    </row>
    <row r="336" customFormat="false" ht="13.8" hidden="false" customHeight="false" outlineLevel="0" collapsed="false">
      <c r="A336" s="4" t="n">
        <f aca="false">IFERROR(__xludf.dummyfunction("""COMPUTED_VALUE"""),335)</f>
        <v>335</v>
      </c>
      <c r="B336" s="5" t="str">
        <f aca="false">IFERROR(__xludf.dummyfunction("""COMPUTED_VALUE"""),"FABIANA RODRIGUES COSTA")</f>
        <v>FABIANA RODRIGUES COSTA</v>
      </c>
      <c r="C336" s="5"/>
      <c r="D336" s="5"/>
      <c r="E336" s="5" t="str">
        <f aca="false">IFERROR(__xludf.dummyfunction("""COMPUTED_VALUE"""),"GO")</f>
        <v>GO</v>
      </c>
      <c r="F336" s="4" t="str">
        <f aca="false">IFERROR(__xludf.dummyfunction("""COMPUTED_VALUE"""),"GOIÂNIA")</f>
        <v>GOIÂNIA</v>
      </c>
      <c r="G336" s="4" t="str">
        <f aca="false">IFERROR(__xludf.dummyfunction("""COMPUTED_VALUE"""),"DIREITO")</f>
        <v>DIREITO</v>
      </c>
      <c r="H336" s="4" t="str">
        <f aca="false">IFERROR(__xludf.dummyfunction("""COMPUTED_VALUE"""),"DESCLASSIFICADO")</f>
        <v>DESCLASSIFICADO</v>
      </c>
    </row>
    <row r="337" customFormat="false" ht="13.8" hidden="false" customHeight="false" outlineLevel="0" collapsed="false">
      <c r="A337" s="4" t="n">
        <f aca="false">IFERROR(__xludf.dummyfunction("""COMPUTED_VALUE"""),336)</f>
        <v>336</v>
      </c>
      <c r="B337" s="5" t="str">
        <f aca="false">IFERROR(__xludf.dummyfunction("""COMPUTED_VALUE"""),"ROBERTA LISBOA DOS SANTOS")</f>
        <v>ROBERTA LISBOA DOS SANTOS</v>
      </c>
      <c r="C337" s="5"/>
      <c r="D337" s="5"/>
      <c r="E337" s="5" t="str">
        <f aca="false">IFERROR(__xludf.dummyfunction("""COMPUTED_VALUE"""),"GO")</f>
        <v>GO</v>
      </c>
      <c r="F337" s="4" t="str">
        <f aca="false">IFERROR(__xludf.dummyfunction("""COMPUTED_VALUE"""),"GOIÂNIA")</f>
        <v>GOIÂNIA</v>
      </c>
      <c r="G337" s="4" t="str">
        <f aca="false">IFERROR(__xludf.dummyfunction("""COMPUTED_VALUE"""),"DIREITO")</f>
        <v>DIREITO</v>
      </c>
      <c r="H337" s="4" t="str">
        <f aca="false">IFERROR(__xludf.dummyfunction("""COMPUTED_VALUE"""),"CONTRATADO")</f>
        <v>CONTRATADO</v>
      </c>
    </row>
    <row r="338" customFormat="false" ht="13.8" hidden="false" customHeight="false" outlineLevel="0" collapsed="false">
      <c r="A338" s="4" t="n">
        <f aca="false">IFERROR(__xludf.dummyfunction("""COMPUTED_VALUE"""),337)</f>
        <v>337</v>
      </c>
      <c r="B338" s="5" t="str">
        <f aca="false">IFERROR(__xludf.dummyfunction("""COMPUTED_VALUE"""),"ALESSANDRA ALVES DE OLIVEIRA ")</f>
        <v>ALESSANDRA ALVES DE OLIVEIRA</v>
      </c>
      <c r="C338" s="5"/>
      <c r="D338" s="5"/>
      <c r="E338" s="5" t="str">
        <f aca="false">IFERROR(__xludf.dummyfunction("""COMPUTED_VALUE"""),"GO")</f>
        <v>GO</v>
      </c>
      <c r="F338" s="4" t="str">
        <f aca="false">IFERROR(__xludf.dummyfunction("""COMPUTED_VALUE"""),"APARECIDA DE GOIÂNIA")</f>
        <v>APARECIDA DE GOIÂNIA</v>
      </c>
      <c r="G338" s="4" t="str">
        <f aca="false">IFERROR(__xludf.dummyfunction("""COMPUTED_VALUE"""),"DIREITO")</f>
        <v>DIREITO</v>
      </c>
      <c r="H338" s="4" t="str">
        <f aca="false">IFERROR(__xludf.dummyfunction("""COMPUTED_VALUE"""),"DESCLASSIFICADO")</f>
        <v>DESCLASSIFICADO</v>
      </c>
    </row>
    <row r="339" customFormat="false" ht="13.8" hidden="false" customHeight="false" outlineLevel="0" collapsed="false">
      <c r="A339" s="4" t="n">
        <f aca="false">IFERROR(__xludf.dummyfunction("""COMPUTED_VALUE"""),338)</f>
        <v>338</v>
      </c>
      <c r="B339" s="5" t="str">
        <f aca="false">IFERROR(__xludf.dummyfunction("""COMPUTED_VALUE"""),"VALTINEI BENTO DUARTE")</f>
        <v>VALTINEI BENTO DUARTE</v>
      </c>
      <c r="C339" s="5"/>
      <c r="D339" s="5"/>
      <c r="E339" s="5" t="str">
        <f aca="false">IFERROR(__xludf.dummyfunction("""COMPUTED_VALUE"""),"GO")</f>
        <v>GO</v>
      </c>
      <c r="F339" s="4" t="str">
        <f aca="false">IFERROR(__xludf.dummyfunction("""COMPUTED_VALUE"""),"SENADOR CANEDO")</f>
        <v>SENADOR CANEDO</v>
      </c>
      <c r="G339" s="4" t="str">
        <f aca="false">IFERROR(__xludf.dummyfunction("""COMPUTED_VALUE"""),"DIREITO")</f>
        <v>DIREITO</v>
      </c>
      <c r="H339" s="4" t="str">
        <f aca="false">IFERROR(__xludf.dummyfunction("""COMPUTED_VALUE"""),"CONTRATADO")</f>
        <v>CONTRATADO</v>
      </c>
    </row>
    <row r="340" customFormat="false" ht="13.8" hidden="false" customHeight="false" outlineLevel="0" collapsed="false">
      <c r="A340" s="4" t="n">
        <f aca="false">IFERROR(__xludf.dummyfunction("""COMPUTED_VALUE"""),339)</f>
        <v>339</v>
      </c>
      <c r="B340" s="5" t="str">
        <f aca="false">IFERROR(__xludf.dummyfunction("""COMPUTED_VALUE"""),"DAWTON ALVES DE SOUSA")</f>
        <v>DAWTON ALVES DE SOUSA</v>
      </c>
      <c r="C340" s="5"/>
      <c r="D340" s="5"/>
      <c r="E340" s="5" t="str">
        <f aca="false">IFERROR(__xludf.dummyfunction("""COMPUTED_VALUE"""),"GO")</f>
        <v>GO</v>
      </c>
      <c r="F340" s="4" t="str">
        <f aca="false">IFERROR(__xludf.dummyfunction("""COMPUTED_VALUE"""),"GOIÂNIA")</f>
        <v>GOIÂNIA</v>
      </c>
      <c r="G340" s="4" t="str">
        <f aca="false">IFERROR(__xludf.dummyfunction("""COMPUTED_VALUE"""),"DIREITO")</f>
        <v>DIREITO</v>
      </c>
      <c r="H340" s="4" t="str">
        <f aca="false">IFERROR(__xludf.dummyfunction("""COMPUTED_VALUE"""),"CONTRATADO")</f>
        <v>CONTRATADO</v>
      </c>
    </row>
    <row r="341" customFormat="false" ht="13.8" hidden="false" customHeight="false" outlineLevel="0" collapsed="false">
      <c r="A341" s="4" t="n">
        <f aca="false">IFERROR(__xludf.dummyfunction("""COMPUTED_VALUE"""),340)</f>
        <v>340</v>
      </c>
      <c r="B341" s="5" t="str">
        <f aca="false">IFERROR(__xludf.dummyfunction("""COMPUTED_VALUE"""),"DÊNIS SOARES DA SILVA")</f>
        <v>DÊNIS SOARES DA SILVA</v>
      </c>
      <c r="C341" s="5"/>
      <c r="D341" s="5"/>
      <c r="E341" s="5" t="str">
        <f aca="false">IFERROR(__xludf.dummyfunction("""COMPUTED_VALUE"""),"PE")</f>
        <v>PE</v>
      </c>
      <c r="F341" s="4" t="str">
        <f aca="false">IFERROR(__xludf.dummyfunction("""COMPUTED_VALUE"""),"JABOATÃO DOS GUARARAPES")</f>
        <v>JABOATÃO DOS GUARARAPES</v>
      </c>
      <c r="G341" s="4" t="str">
        <f aca="false">IFERROR(__xludf.dummyfunction("""COMPUTED_VALUE"""),"DIREITO")</f>
        <v>DIREITO</v>
      </c>
      <c r="H341" s="4" t="str">
        <f aca="false">IFERROR(__xludf.dummyfunction("""COMPUTED_VALUE"""),"DESCLASSIFICADO")</f>
        <v>DESCLASSIFICADO</v>
      </c>
    </row>
    <row r="342" customFormat="false" ht="13.8" hidden="false" customHeight="false" outlineLevel="0" collapsed="false">
      <c r="A342" s="4" t="n">
        <f aca="false">IFERROR(__xludf.dummyfunction("""COMPUTED_VALUE"""),341)</f>
        <v>341</v>
      </c>
      <c r="B342" s="5" t="str">
        <f aca="false">IFERROR(__xludf.dummyfunction("""COMPUTED_VALUE"""),"VINICIUS MARCAL DIAS SILVA")</f>
        <v>VINICIUS MARCAL DIAS SILVA</v>
      </c>
      <c r="C342" s="5"/>
      <c r="D342" s="5"/>
      <c r="E342" s="5" t="str">
        <f aca="false">IFERROR(__xludf.dummyfunction("""COMPUTED_VALUE"""),"GO")</f>
        <v>GO</v>
      </c>
      <c r="F342" s="4" t="str">
        <f aca="false">IFERROR(__xludf.dummyfunction("""COMPUTED_VALUE"""),"GOIÂNIA")</f>
        <v>GOIÂNIA</v>
      </c>
      <c r="G342" s="4" t="str">
        <f aca="false">IFERROR(__xludf.dummyfunction("""COMPUTED_VALUE"""),"DIREITO")</f>
        <v>DIREITO</v>
      </c>
      <c r="H342" s="4" t="str">
        <f aca="false">IFERROR(__xludf.dummyfunction("""COMPUTED_VALUE"""),"CONTRATADO")</f>
        <v>CONTRATADO</v>
      </c>
    </row>
    <row r="343" customFormat="false" ht="13.8" hidden="false" customHeight="false" outlineLevel="0" collapsed="false">
      <c r="A343" s="4" t="n">
        <f aca="false">IFERROR(__xludf.dummyfunction("""COMPUTED_VALUE"""),342)</f>
        <v>342</v>
      </c>
      <c r="B343" s="5" t="str">
        <f aca="false">IFERROR(__xludf.dummyfunction("""COMPUTED_VALUE"""),"ÍCARO DOMINGUES REGO ")</f>
        <v>ÍCARO DOMINGUES REGO</v>
      </c>
      <c r="C343" s="5"/>
      <c r="D343" s="5"/>
      <c r="E343" s="5" t="str">
        <f aca="false">IFERROR(__xludf.dummyfunction("""COMPUTED_VALUE"""),"GO")</f>
        <v>GO</v>
      </c>
      <c r="F343" s="4" t="str">
        <f aca="false">IFERROR(__xludf.dummyfunction("""COMPUTED_VALUE"""),"APARECIDA DE GOIÂNIA")</f>
        <v>APARECIDA DE GOIÂNIA</v>
      </c>
      <c r="G343" s="4" t="str">
        <f aca="false">IFERROR(__xludf.dummyfunction("""COMPUTED_VALUE"""),"DIREITO")</f>
        <v>DIREITO</v>
      </c>
      <c r="H343" s="4" t="str">
        <f aca="false">IFERROR(__xludf.dummyfunction("""COMPUTED_VALUE"""),"CONTRATADO")</f>
        <v>CONTRATADO</v>
      </c>
    </row>
    <row r="344" customFormat="false" ht="13.8" hidden="false" customHeight="false" outlineLevel="0" collapsed="false">
      <c r="A344" s="4" t="n">
        <f aca="false">IFERROR(__xludf.dummyfunction("""COMPUTED_VALUE"""),343)</f>
        <v>343</v>
      </c>
      <c r="B344" s="5" t="str">
        <f aca="false">IFERROR(__xludf.dummyfunction("""COMPUTED_VALUE"""),"JOAO VITOR RAMOS SOUZA")</f>
        <v>JOAO VITOR RAMOS SOUZA</v>
      </c>
      <c r="C344" s="5"/>
      <c r="D344" s="5"/>
      <c r="E344" s="5" t="str">
        <f aca="false">IFERROR(__xludf.dummyfunction("""COMPUTED_VALUE"""),"GO")</f>
        <v>GO</v>
      </c>
      <c r="F344" s="4" t="str">
        <f aca="false">IFERROR(__xludf.dummyfunction("""COMPUTED_VALUE"""),"GOIÂNIA")</f>
        <v>GOIÂNIA</v>
      </c>
      <c r="G344" s="4" t="str">
        <f aca="false">IFERROR(__xludf.dummyfunction("""COMPUTED_VALUE"""),"DIREITO")</f>
        <v>DIREITO</v>
      </c>
      <c r="H344" s="4" t="str">
        <f aca="false">IFERROR(__xludf.dummyfunction("""COMPUTED_VALUE"""),"CONTRATADO")</f>
        <v>CONTRATADO</v>
      </c>
    </row>
    <row r="345" customFormat="false" ht="13.8" hidden="false" customHeight="false" outlineLevel="0" collapsed="false">
      <c r="A345" s="4" t="n">
        <f aca="false">IFERROR(__xludf.dummyfunction("""COMPUTED_VALUE"""),344)</f>
        <v>344</v>
      </c>
      <c r="B345" s="5" t="str">
        <f aca="false">IFERROR(__xludf.dummyfunction("""COMPUTED_VALUE"""),"MIRELLA FERNANDES CARDOSO")</f>
        <v>MIRELLA FERNANDES CARDOSO</v>
      </c>
      <c r="C345" s="5"/>
      <c r="D345" s="5"/>
      <c r="E345" s="5" t="str">
        <f aca="false">IFERROR(__xludf.dummyfunction("""COMPUTED_VALUE"""),"GO")</f>
        <v>GO</v>
      </c>
      <c r="F345" s="4" t="str">
        <f aca="false">IFERROR(__xludf.dummyfunction("""COMPUTED_VALUE"""),"GOIÂNIA")</f>
        <v>GOIÂNIA</v>
      </c>
      <c r="G345" s="4" t="str">
        <f aca="false">IFERROR(__xludf.dummyfunction("""COMPUTED_VALUE"""),"DIREITO")</f>
        <v>DIREITO</v>
      </c>
      <c r="H345" s="4" t="str">
        <f aca="false">IFERROR(__xludf.dummyfunction("""COMPUTED_VALUE"""),"DESCLASSIFICADO")</f>
        <v>DESCLASSIFICADO</v>
      </c>
    </row>
    <row r="346" customFormat="false" ht="13.8" hidden="false" customHeight="false" outlineLevel="0" collapsed="false">
      <c r="A346" s="4" t="n">
        <f aca="false">IFERROR(__xludf.dummyfunction("""COMPUTED_VALUE"""),345)</f>
        <v>345</v>
      </c>
      <c r="B346" s="5" t="str">
        <f aca="false">IFERROR(__xludf.dummyfunction("""COMPUTED_VALUE"""),"KAREN CRISTINA BATISTA CAMPOS ")</f>
        <v>KAREN CRISTINA BATISTA CAMPOS</v>
      </c>
      <c r="C346" s="5"/>
      <c r="D346" s="5"/>
      <c r="E346" s="5" t="str">
        <f aca="false">IFERROR(__xludf.dummyfunction("""COMPUTED_VALUE"""),"GO")</f>
        <v>GO</v>
      </c>
      <c r="F346" s="4" t="str">
        <f aca="false">IFERROR(__xludf.dummyfunction("""COMPUTED_VALUE"""),"GOIÂNIA")</f>
        <v>GOIÂNIA</v>
      </c>
      <c r="G346" s="4" t="str">
        <f aca="false">IFERROR(__xludf.dummyfunction("""COMPUTED_VALUE"""),"DIREITO")</f>
        <v>DIREITO</v>
      </c>
      <c r="H346" s="4" t="str">
        <f aca="false">IFERROR(__xludf.dummyfunction("""COMPUTED_VALUE"""),"DESCLASSIFICADO")</f>
        <v>DESCLASSIFICADO</v>
      </c>
    </row>
    <row r="347" customFormat="false" ht="13.8" hidden="false" customHeight="false" outlineLevel="0" collapsed="false">
      <c r="A347" s="4" t="n">
        <f aca="false">IFERROR(__xludf.dummyfunction("""COMPUTED_VALUE"""),346)</f>
        <v>346</v>
      </c>
      <c r="B347" s="5" t="str">
        <f aca="false">IFERROR(__xludf.dummyfunction("""COMPUTED_VALUE"""),"LUAN JOHN SANTOS BARROS ")</f>
        <v>LUAN JOHN SANTOS BARROS</v>
      </c>
      <c r="C347" s="5"/>
      <c r="D347" s="5"/>
      <c r="E347" s="5" t="str">
        <f aca="false">IFERROR(__xludf.dummyfunction("""COMPUTED_VALUE"""),"GO")</f>
        <v>GO</v>
      </c>
      <c r="F347" s="4" t="str">
        <f aca="false">IFERROR(__xludf.dummyfunction("""COMPUTED_VALUE"""),"GOIÂNIA")</f>
        <v>GOIÂNIA</v>
      </c>
      <c r="G347" s="4" t="str">
        <f aca="false">IFERROR(__xludf.dummyfunction("""COMPUTED_VALUE"""),"DIREITO")</f>
        <v>DIREITO</v>
      </c>
      <c r="H347" s="4" t="str">
        <f aca="false">IFERROR(__xludf.dummyfunction("""COMPUTED_VALUE"""),"DESCLASSIFICADO")</f>
        <v>DESCLASSIFICADO</v>
      </c>
    </row>
    <row r="348" customFormat="false" ht="13.8" hidden="false" customHeight="false" outlineLevel="0" collapsed="false">
      <c r="A348" s="4" t="n">
        <f aca="false">IFERROR(__xludf.dummyfunction("""COMPUTED_VALUE"""),347)</f>
        <v>347</v>
      </c>
      <c r="B348" s="5" t="str">
        <f aca="false">IFERROR(__xludf.dummyfunction("""COMPUTED_VALUE"""),"VITORIA CAROLINE RODRIGUES DE SOUZA")</f>
        <v>VITORIA CAROLINE RODRIGUES DE SOUZA</v>
      </c>
      <c r="C348" s="5"/>
      <c r="D348" s="5"/>
      <c r="E348" s="5" t="str">
        <f aca="false">IFERROR(__xludf.dummyfunction("""COMPUTED_VALUE"""),"GO")</f>
        <v>GO</v>
      </c>
      <c r="F348" s="4" t="str">
        <f aca="false">IFERROR(__xludf.dummyfunction("""COMPUTED_VALUE"""),"MARZAGÃO")</f>
        <v>MARZAGÃO</v>
      </c>
      <c r="G348" s="4" t="str">
        <f aca="false">IFERROR(__xludf.dummyfunction("""COMPUTED_VALUE"""),"DIREITO")</f>
        <v>DIREITO</v>
      </c>
      <c r="H348" s="4" t="str">
        <f aca="false">IFERROR(__xludf.dummyfunction("""COMPUTED_VALUE"""),"DESCLASSIFICADO")</f>
        <v>DESCLASSIFICADO</v>
      </c>
    </row>
    <row r="349" customFormat="false" ht="13.8" hidden="false" customHeight="false" outlineLevel="0" collapsed="false">
      <c r="A349" s="4" t="n">
        <f aca="false">IFERROR(__xludf.dummyfunction("""COMPUTED_VALUE"""),348)</f>
        <v>348</v>
      </c>
      <c r="B349" s="5" t="str">
        <f aca="false">IFERROR(__xludf.dummyfunction("""COMPUTED_VALUE"""),"FLÁVIA PEREIRA BORGES")</f>
        <v>FLÁVIA PEREIRA BORGES</v>
      </c>
      <c r="C349" s="5"/>
      <c r="D349" s="5"/>
      <c r="E349" s="5" t="str">
        <f aca="false">IFERROR(__xludf.dummyfunction("""COMPUTED_VALUE"""),"MT")</f>
        <v>MT</v>
      </c>
      <c r="F349" s="4" t="str">
        <f aca="false">IFERROR(__xludf.dummyfunction("""COMPUTED_VALUE"""),"ALTO ARAGUAIA")</f>
        <v>ALTO ARAGUAIA</v>
      </c>
      <c r="G349" s="4" t="str">
        <f aca="false">IFERROR(__xludf.dummyfunction("""COMPUTED_VALUE"""),"DIREITO")</f>
        <v>DIREITO</v>
      </c>
      <c r="H349" s="4" t="str">
        <f aca="false">IFERROR(__xludf.dummyfunction("""COMPUTED_VALUE"""),"DESCLASSIFICADO")</f>
        <v>DESCLASSIFICADO</v>
      </c>
    </row>
    <row r="350" customFormat="false" ht="13.8" hidden="false" customHeight="false" outlineLevel="0" collapsed="false">
      <c r="A350" s="4" t="n">
        <f aca="false">IFERROR(__xludf.dummyfunction("""COMPUTED_VALUE"""),349)</f>
        <v>349</v>
      </c>
      <c r="B350" s="5" t="str">
        <f aca="false">IFERROR(__xludf.dummyfunction("""COMPUTED_VALUE"""),"LAÍS FERREIRA DE MAGALHÃES ")</f>
        <v>LAÍS FERREIRA DE MAGALHÃES</v>
      </c>
      <c r="C350" s="5"/>
      <c r="D350" s="5"/>
      <c r="E350" s="5" t="str">
        <f aca="false">IFERROR(__xludf.dummyfunction("""COMPUTED_VALUE"""),"GO")</f>
        <v>GO</v>
      </c>
      <c r="F350" s="4" t="str">
        <f aca="false">IFERROR(__xludf.dummyfunction("""COMPUTED_VALUE"""),"NERÓPOLIS")</f>
        <v>NERÓPOLIS</v>
      </c>
      <c r="G350" s="4" t="str">
        <f aca="false">IFERROR(__xludf.dummyfunction("""COMPUTED_VALUE"""),"DIREITO")</f>
        <v>DIREITO</v>
      </c>
      <c r="H350" s="4" t="str">
        <f aca="false">IFERROR(__xludf.dummyfunction("""COMPUTED_VALUE"""),"DESCLASSIFICADO")</f>
        <v>DESCLASSIFICADO</v>
      </c>
    </row>
    <row r="351" customFormat="false" ht="13.8" hidden="false" customHeight="false" outlineLevel="0" collapsed="false">
      <c r="A351" s="4" t="n">
        <f aca="false">IFERROR(__xludf.dummyfunction("""COMPUTED_VALUE"""),350)</f>
        <v>350</v>
      </c>
      <c r="B351" s="5" t="str">
        <f aca="false">IFERROR(__xludf.dummyfunction("""COMPUTED_VALUE"""),"NATALIA LOPES BEZERRA")</f>
        <v>NATALIA LOPES BEZERRA</v>
      </c>
      <c r="C351" s="5"/>
      <c r="D351" s="5"/>
      <c r="E351" s="5" t="str">
        <f aca="false">IFERROR(__xludf.dummyfunction("""COMPUTED_VALUE"""),"GO")</f>
        <v>GO</v>
      </c>
      <c r="F351" s="4" t="str">
        <f aca="false">IFERROR(__xludf.dummyfunction("""COMPUTED_VALUE"""),"GOIÂNIA")</f>
        <v>GOIÂNIA</v>
      </c>
      <c r="G351" s="4" t="str">
        <f aca="false">IFERROR(__xludf.dummyfunction("""COMPUTED_VALUE"""),"DIREITO")</f>
        <v>DIREITO</v>
      </c>
      <c r="H351" s="4" t="str">
        <f aca="false">IFERROR(__xludf.dummyfunction("""COMPUTED_VALUE"""),"CONTRATADO")</f>
        <v>CONTRATADO</v>
      </c>
    </row>
    <row r="352" customFormat="false" ht="13.8" hidden="false" customHeight="false" outlineLevel="0" collapsed="false">
      <c r="A352" s="4" t="n">
        <f aca="false">IFERROR(__xludf.dummyfunction("""COMPUTED_VALUE"""),351)</f>
        <v>351</v>
      </c>
      <c r="B352" s="5" t="str">
        <f aca="false">IFERROR(__xludf.dummyfunction("""COMPUTED_VALUE"""),"IANA VITÓRIA CARVALHO LOUZEIRA ")</f>
        <v>IANA VITÓRIA CARVALHO LOUZEIRA</v>
      </c>
      <c r="C352" s="5"/>
      <c r="D352" s="5"/>
      <c r="E352" s="5" t="str">
        <f aca="false">IFERROR(__xludf.dummyfunction("""COMPUTED_VALUE"""),"GO")</f>
        <v>GO</v>
      </c>
      <c r="F352" s="4" t="str">
        <f aca="false">IFERROR(__xludf.dummyfunction("""COMPUTED_VALUE"""),"APARECIDA DE GOIÂNIA")</f>
        <v>APARECIDA DE GOIÂNIA</v>
      </c>
      <c r="G352" s="4" t="str">
        <f aca="false">IFERROR(__xludf.dummyfunction("""COMPUTED_VALUE"""),"DIREITO")</f>
        <v>DIREITO</v>
      </c>
      <c r="H352" s="4" t="str">
        <f aca="false">IFERROR(__xludf.dummyfunction("""COMPUTED_VALUE"""),"CONTRATADO")</f>
        <v>CONTRATADO</v>
      </c>
    </row>
    <row r="353" customFormat="false" ht="13.8" hidden="false" customHeight="false" outlineLevel="0" collapsed="false">
      <c r="A353" s="4" t="n">
        <f aca="false">IFERROR(__xludf.dummyfunction("""COMPUTED_VALUE"""),352)</f>
        <v>352</v>
      </c>
      <c r="B353" s="5" t="str">
        <f aca="false">IFERROR(__xludf.dummyfunction("""COMPUTED_VALUE"""),"NICOLE ESTER APARECIDA DE SÁ ")</f>
        <v>NICOLE ESTER APARECIDA DE SÁ</v>
      </c>
      <c r="C353" s="5"/>
      <c r="D353" s="5"/>
      <c r="E353" s="5" t="str">
        <f aca="false">IFERROR(__xludf.dummyfunction("""COMPUTED_VALUE"""),"GO")</f>
        <v>GO</v>
      </c>
      <c r="F353" s="4" t="str">
        <f aca="false">IFERROR(__xludf.dummyfunction("""COMPUTED_VALUE"""),"APARECIDA DE GOIÂNIA")</f>
        <v>APARECIDA DE GOIÂNIA</v>
      </c>
      <c r="G353" s="4" t="str">
        <f aca="false">IFERROR(__xludf.dummyfunction("""COMPUTED_VALUE"""),"DIREITO")</f>
        <v>DIREITO</v>
      </c>
      <c r="H353" s="4" t="str">
        <f aca="false">IFERROR(__xludf.dummyfunction("""COMPUTED_VALUE"""),"DESCLASSIFICADO")</f>
        <v>DESCLASSIFICADO</v>
      </c>
    </row>
    <row r="354" customFormat="false" ht="13.8" hidden="false" customHeight="false" outlineLevel="0" collapsed="false">
      <c r="A354" s="4" t="n">
        <f aca="false">IFERROR(__xludf.dummyfunction("""COMPUTED_VALUE"""),353)</f>
        <v>353</v>
      </c>
      <c r="B354" s="5" t="str">
        <f aca="false">IFERROR(__xludf.dummyfunction("""COMPUTED_VALUE"""),"REBECA RODRIGUES DOS SANTOS ")</f>
        <v>REBECA RODRIGUES DOS SANTOS</v>
      </c>
      <c r="C354" s="5"/>
      <c r="D354" s="5"/>
      <c r="E354" s="5" t="str">
        <f aca="false">IFERROR(__xludf.dummyfunction("""COMPUTED_VALUE"""),"GO")</f>
        <v>GO</v>
      </c>
      <c r="F354" s="4" t="str">
        <f aca="false">IFERROR(__xludf.dummyfunction("""COMPUTED_VALUE"""),"GOIÂNIA")</f>
        <v>GOIÂNIA</v>
      </c>
      <c r="G354" s="4" t="str">
        <f aca="false">IFERROR(__xludf.dummyfunction("""COMPUTED_VALUE"""),"DIREITO")</f>
        <v>DIREITO</v>
      </c>
      <c r="H354" s="4" t="str">
        <f aca="false">IFERROR(__xludf.dummyfunction("""COMPUTED_VALUE"""),"DESCLASSIFICADO")</f>
        <v>DESCLASSIFICADO</v>
      </c>
    </row>
    <row r="355" customFormat="false" ht="13.8" hidden="false" customHeight="false" outlineLevel="0" collapsed="false">
      <c r="A355" s="4" t="n">
        <f aca="false">IFERROR(__xludf.dummyfunction("""COMPUTED_VALUE"""),354)</f>
        <v>354</v>
      </c>
      <c r="B355" s="5" t="str">
        <f aca="false">IFERROR(__xludf.dummyfunction("""COMPUTED_VALUE"""),"LEONARDO COSTA E SANTANA")</f>
        <v>LEONARDO COSTA E SANTANA</v>
      </c>
      <c r="C355" s="5"/>
      <c r="D355" s="5"/>
      <c r="E355" s="5" t="str">
        <f aca="false">IFERROR(__xludf.dummyfunction("""COMPUTED_VALUE"""),"GO")</f>
        <v>GO</v>
      </c>
      <c r="F355" s="4" t="str">
        <f aca="false">IFERROR(__xludf.dummyfunction("""COMPUTED_VALUE"""),"APARECIDA DE GOIÂNIA")</f>
        <v>APARECIDA DE GOIÂNIA</v>
      </c>
      <c r="G355" s="4" t="str">
        <f aca="false">IFERROR(__xludf.dummyfunction("""COMPUTED_VALUE"""),"DIREITO")</f>
        <v>DIREITO</v>
      </c>
      <c r="H355" s="4" t="str">
        <f aca="false">IFERROR(__xludf.dummyfunction("""COMPUTED_VALUE"""),"CONTRATADO")</f>
        <v>CONTRATADO</v>
      </c>
    </row>
    <row r="356" customFormat="false" ht="13.8" hidden="false" customHeight="false" outlineLevel="0" collapsed="false">
      <c r="A356" s="4" t="n">
        <f aca="false">IFERROR(__xludf.dummyfunction("""COMPUTED_VALUE"""),355)</f>
        <v>355</v>
      </c>
      <c r="B356" s="5" t="str">
        <f aca="false">IFERROR(__xludf.dummyfunction("""COMPUTED_VALUE"""),"ANNA LYSSA FERREIRA CABALINE")</f>
        <v>ANNA LYSSA FERREIRA CABALINE</v>
      </c>
      <c r="C356" s="5"/>
      <c r="D356" s="5"/>
      <c r="E356" s="5" t="str">
        <f aca="false">IFERROR(__xludf.dummyfunction("""COMPUTED_VALUE"""),"GO")</f>
        <v>GO</v>
      </c>
      <c r="F356" s="4" t="str">
        <f aca="false">IFERROR(__xludf.dummyfunction("""COMPUTED_VALUE"""),"GOIÁS")</f>
        <v>GOIÁS</v>
      </c>
      <c r="G356" s="4" t="str">
        <f aca="false">IFERROR(__xludf.dummyfunction("""COMPUTED_VALUE"""),"DIREITO")</f>
        <v>DIREITO</v>
      </c>
      <c r="H356" s="4" t="str">
        <f aca="false">IFERROR(__xludf.dummyfunction("""COMPUTED_VALUE"""),"DESCLASSIFICADO")</f>
        <v>DESCLASSIFICADO</v>
      </c>
    </row>
    <row r="357" customFormat="false" ht="13.8" hidden="false" customHeight="false" outlineLevel="0" collapsed="false">
      <c r="A357" s="4" t="n">
        <f aca="false">IFERROR(__xludf.dummyfunction("""COMPUTED_VALUE"""),356)</f>
        <v>356</v>
      </c>
      <c r="B357" s="5" t="str">
        <f aca="false">IFERROR(__xludf.dummyfunction("""COMPUTED_VALUE"""),"PATRICK LUIS FASOLO FILHO")</f>
        <v>PATRICK LUIS FASOLO FILHO</v>
      </c>
      <c r="C357" s="5"/>
      <c r="D357" s="5"/>
      <c r="E357" s="5" t="str">
        <f aca="false">IFERROR(__xludf.dummyfunction("""COMPUTED_VALUE"""),"GO")</f>
        <v>GO</v>
      </c>
      <c r="F357" s="4" t="str">
        <f aca="false">IFERROR(__xludf.dummyfunction("""COMPUTED_VALUE"""),"APARECIDA DE GOIÂNIA")</f>
        <v>APARECIDA DE GOIÂNIA</v>
      </c>
      <c r="G357" s="4" t="str">
        <f aca="false">IFERROR(__xludf.dummyfunction("""COMPUTED_VALUE"""),"DIREITO")</f>
        <v>DIREITO</v>
      </c>
      <c r="H357" s="4" t="str">
        <f aca="false">IFERROR(__xludf.dummyfunction("""COMPUTED_VALUE"""),"CONTRATADO")</f>
        <v>CONTRATADO</v>
      </c>
    </row>
    <row r="358" customFormat="false" ht="13.8" hidden="false" customHeight="false" outlineLevel="0" collapsed="false">
      <c r="A358" s="4" t="n">
        <f aca="false">IFERROR(__xludf.dummyfunction("""COMPUTED_VALUE"""),357)</f>
        <v>357</v>
      </c>
      <c r="B358" s="5" t="str">
        <f aca="false">IFERROR(__xludf.dummyfunction("""COMPUTED_VALUE"""),"VITORIA GABRIELLY")</f>
        <v>VITORIA GABRIELLY</v>
      </c>
      <c r="C358" s="5"/>
      <c r="D358" s="5"/>
      <c r="E358" s="5" t="str">
        <f aca="false">IFERROR(__xludf.dummyfunction("""COMPUTED_VALUE"""),"GO")</f>
        <v>GO</v>
      </c>
      <c r="F358" s="4" t="str">
        <f aca="false">IFERROR(__xludf.dummyfunction("""COMPUTED_VALUE"""),"GOIÂNIA")</f>
        <v>GOIÂNIA</v>
      </c>
      <c r="G358" s="4" t="str">
        <f aca="false">IFERROR(__xludf.dummyfunction("""COMPUTED_VALUE"""),"DIREITO")</f>
        <v>DIREITO</v>
      </c>
      <c r="H358" s="4" t="s">
        <v>0</v>
      </c>
    </row>
    <row r="359" customFormat="false" ht="13.8" hidden="false" customHeight="false" outlineLevel="0" collapsed="false">
      <c r="A359" s="4" t="n">
        <f aca="false">IFERROR(__xludf.dummyfunction("""COMPUTED_VALUE"""),358)</f>
        <v>358</v>
      </c>
      <c r="B359" s="5" t="str">
        <f aca="false">IFERROR(__xludf.dummyfunction("""COMPUTED_VALUE"""),"GEOVANNA DA SILVA BARBOSA")</f>
        <v>GEOVANNA DA SILVA BARBOSA</v>
      </c>
      <c r="C359" s="5"/>
      <c r="D359" s="5"/>
      <c r="E359" s="5" t="str">
        <f aca="false">IFERROR(__xludf.dummyfunction("""COMPUTED_VALUE"""),"GO")</f>
        <v>GO</v>
      </c>
      <c r="F359" s="4" t="str">
        <f aca="false">IFERROR(__xludf.dummyfunction("""COMPUTED_VALUE"""),"ANÁPOLIS")</f>
        <v>ANÁPOLIS</v>
      </c>
      <c r="G359" s="4" t="str">
        <f aca="false">IFERROR(__xludf.dummyfunction("""COMPUTED_VALUE"""),"DIREITO")</f>
        <v>DIREITO</v>
      </c>
      <c r="H359" s="4" t="s">
        <v>1</v>
      </c>
    </row>
    <row r="360" customFormat="false" ht="13.8" hidden="false" customHeight="false" outlineLevel="0" collapsed="false">
      <c r="A360" s="4" t="n">
        <f aca="false">IFERROR(__xludf.dummyfunction("""COMPUTED_VALUE"""),359)</f>
        <v>359</v>
      </c>
      <c r="B360" s="5" t="str">
        <f aca="false">IFERROR(__xludf.dummyfunction("""COMPUTED_VALUE"""),"DEYVISON RODRIGUES DE JESUS ")</f>
        <v>DEYVISON RODRIGUES DE JESUS</v>
      </c>
      <c r="C360" s="5"/>
      <c r="D360" s="5"/>
      <c r="E360" s="5" t="str">
        <f aca="false">IFERROR(__xludf.dummyfunction("""COMPUTED_VALUE"""),"GO")</f>
        <v>GO</v>
      </c>
      <c r="F360" s="4" t="str">
        <f aca="false">IFERROR(__xludf.dummyfunction("""COMPUTED_VALUE"""),"GOIÂNIA")</f>
        <v>GOIÂNIA</v>
      </c>
      <c r="G360" s="4" t="str">
        <f aca="false">IFERROR(__xludf.dummyfunction("""COMPUTED_VALUE"""),"DIREITO")</f>
        <v>DIREITO</v>
      </c>
      <c r="H360" s="4" t="str">
        <f aca="false">IFERROR(__xludf.dummyfunction("""COMPUTED_VALUE"""),"DESCLASSIFICADO")</f>
        <v>DESCLASSIFICADO</v>
      </c>
    </row>
    <row r="361" customFormat="false" ht="13.8" hidden="false" customHeight="false" outlineLevel="0" collapsed="false">
      <c r="A361" s="4" t="n">
        <f aca="false">IFERROR(__xludf.dummyfunction("""COMPUTED_VALUE"""),360)</f>
        <v>360</v>
      </c>
      <c r="B361" s="5" t="str">
        <f aca="false">IFERROR(__xludf.dummyfunction("""COMPUTED_VALUE"""),"BEATRIZ CARVALHO REIS")</f>
        <v>BEATRIZ CARVALHO REIS</v>
      </c>
      <c r="C361" s="5"/>
      <c r="D361" s="5"/>
      <c r="E361" s="5" t="str">
        <f aca="false">IFERROR(__xludf.dummyfunction("""COMPUTED_VALUE"""),"GO")</f>
        <v>GO</v>
      </c>
      <c r="F361" s="4" t="str">
        <f aca="false">IFERROR(__xludf.dummyfunction("""COMPUTED_VALUE"""),"ANÁPOLIS")</f>
        <v>ANÁPOLIS</v>
      </c>
      <c r="G361" s="4" t="str">
        <f aca="false">IFERROR(__xludf.dummyfunction("""COMPUTED_VALUE"""),"DIREITO")</f>
        <v>DIREITO</v>
      </c>
      <c r="H361" s="4" t="str">
        <f aca="false">IFERROR(__xludf.dummyfunction("""COMPUTED_VALUE"""),"DESCLASSIFICADO")</f>
        <v>DESCLASSIFICADO</v>
      </c>
    </row>
    <row r="362" customFormat="false" ht="13.8" hidden="false" customHeight="false" outlineLevel="0" collapsed="false">
      <c r="A362" s="4" t="n">
        <f aca="false">IFERROR(__xludf.dummyfunction("""COMPUTED_VALUE"""),361)</f>
        <v>361</v>
      </c>
      <c r="B362" s="5" t="str">
        <f aca="false">IFERROR(__xludf.dummyfunction("""COMPUTED_VALUE"""),"STEFANY DEMETRIO GONCALVES")</f>
        <v>STEFANY DEMETRIO GONCALVES</v>
      </c>
      <c r="C362" s="5"/>
      <c r="D362" s="5"/>
      <c r="E362" s="5" t="str">
        <f aca="false">IFERROR(__xludf.dummyfunction("""COMPUTED_VALUE"""),"GO")</f>
        <v>GO</v>
      </c>
      <c r="F362" s="4" t="str">
        <f aca="false">IFERROR(__xludf.dummyfunction("""COMPUTED_VALUE"""),"SENADOR CANEDO")</f>
        <v>SENADOR CANEDO</v>
      </c>
      <c r="G362" s="4" t="str">
        <f aca="false">IFERROR(__xludf.dummyfunction("""COMPUTED_VALUE"""),"DIREITO")</f>
        <v>DIREITO</v>
      </c>
      <c r="H362" s="4" t="str">
        <f aca="false">IFERROR(__xludf.dummyfunction("""COMPUTED_VALUE"""),"CONTRATADO")</f>
        <v>CONTRATADO</v>
      </c>
    </row>
    <row r="363" customFormat="false" ht="13.8" hidden="false" customHeight="false" outlineLevel="0" collapsed="false">
      <c r="A363" s="4" t="n">
        <f aca="false">IFERROR(__xludf.dummyfunction("""COMPUTED_VALUE"""),362)</f>
        <v>362</v>
      </c>
      <c r="B363" s="5" t="str">
        <f aca="false">IFERROR(__xludf.dummyfunction("""COMPUTED_VALUE"""),"JOÃO MARCELO SANTOS SILVA")</f>
        <v>JOÃO MARCELO SANTOS SILVA</v>
      </c>
      <c r="C363" s="5"/>
      <c r="D363" s="5"/>
      <c r="E363" s="5" t="str">
        <f aca="false">IFERROR(__xludf.dummyfunction("""COMPUTED_VALUE"""),"GO")</f>
        <v>GO</v>
      </c>
      <c r="F363" s="4" t="str">
        <f aca="false">IFERROR(__xludf.dummyfunction("""COMPUTED_VALUE"""),"APARECIDA DE GOIÂNIA")</f>
        <v>APARECIDA DE GOIÂNIA</v>
      </c>
      <c r="G363" s="4" t="str">
        <f aca="false">IFERROR(__xludf.dummyfunction("""COMPUTED_VALUE"""),"DIREITO")</f>
        <v>DIREITO</v>
      </c>
      <c r="H363" s="4" t="str">
        <f aca="false">IFERROR(__xludf.dummyfunction("""COMPUTED_VALUE"""),"CONTRATADO")</f>
        <v>CONTRATADO</v>
      </c>
    </row>
    <row r="364" customFormat="false" ht="13.8" hidden="false" customHeight="false" outlineLevel="0" collapsed="false">
      <c r="A364" s="4" t="n">
        <f aca="false">IFERROR(__xludf.dummyfunction("""COMPUTED_VALUE"""),363)</f>
        <v>363</v>
      </c>
      <c r="B364" s="5" t="str">
        <f aca="false">IFERROR(__xludf.dummyfunction("""COMPUTED_VALUE"""),"BRENDA DO NASCIMENTO SOUSA")</f>
        <v>BRENDA DO NASCIMENTO SOUSA</v>
      </c>
      <c r="C364" s="5"/>
      <c r="D364" s="5"/>
      <c r="E364" s="5" t="str">
        <f aca="false">IFERROR(__xludf.dummyfunction("""COMPUTED_VALUE"""),"GO")</f>
        <v>GO</v>
      </c>
      <c r="F364" s="4" t="str">
        <f aca="false">IFERROR(__xludf.dummyfunction("""COMPUTED_VALUE"""),"BELA VISTA DE GOIÁS")</f>
        <v>BELA VISTA DE GOIÁS</v>
      </c>
      <c r="G364" s="4" t="str">
        <f aca="false">IFERROR(__xludf.dummyfunction("""COMPUTED_VALUE"""),"DIREITO")</f>
        <v>DIREITO</v>
      </c>
      <c r="H364" s="4" t="str">
        <f aca="false">IFERROR(__xludf.dummyfunction("""COMPUTED_VALUE"""),"DESCLASSIFICADO")</f>
        <v>DESCLASSIFICADO</v>
      </c>
    </row>
    <row r="365" customFormat="false" ht="13.8" hidden="false" customHeight="false" outlineLevel="0" collapsed="false">
      <c r="A365" s="4" t="n">
        <f aca="false">IFERROR(__xludf.dummyfunction("""COMPUTED_VALUE"""),364)</f>
        <v>364</v>
      </c>
      <c r="B365" s="5" t="str">
        <f aca="false">IFERROR(__xludf.dummyfunction("""COMPUTED_VALUE"""),"MICHELLE PEREIRA DA CONCEIÇÃO")</f>
        <v>MICHELLE PEREIRA DA CONCEIÇÃO</v>
      </c>
      <c r="C365" s="5"/>
      <c r="D365" s="5"/>
      <c r="E365" s="5" t="str">
        <f aca="false">IFERROR(__xludf.dummyfunction("""COMPUTED_VALUE"""),"GO")</f>
        <v>GO</v>
      </c>
      <c r="F365" s="4" t="str">
        <f aca="false">IFERROR(__xludf.dummyfunction("""COMPUTED_VALUE"""),"APARECIDA DE GOIÂNIA")</f>
        <v>APARECIDA DE GOIÂNIA</v>
      </c>
      <c r="G365" s="4" t="str">
        <f aca="false">IFERROR(__xludf.dummyfunction("""COMPUTED_VALUE"""),"DIREITO")</f>
        <v>DIREITO</v>
      </c>
      <c r="H365" s="4" t="str">
        <f aca="false">IFERROR(__xludf.dummyfunction("""COMPUTED_VALUE"""),"CONTRATADO")</f>
        <v>CONTRATADO</v>
      </c>
    </row>
    <row r="366" customFormat="false" ht="13.8" hidden="false" customHeight="false" outlineLevel="0" collapsed="false">
      <c r="A366" s="4" t="n">
        <f aca="false">IFERROR(__xludf.dummyfunction("""COMPUTED_VALUE"""),365)</f>
        <v>365</v>
      </c>
      <c r="B366" s="5" t="str">
        <f aca="false">IFERROR(__xludf.dummyfunction("""COMPUTED_VALUE"""),"VÍTOR MORATO COSTA YAMADA RODRIGUES")</f>
        <v>VÍTOR MORATO COSTA YAMADA RODRIGUES</v>
      </c>
      <c r="C366" s="5"/>
      <c r="D366" s="5"/>
      <c r="E366" s="5" t="str">
        <f aca="false">IFERROR(__xludf.dummyfunction("""COMPUTED_VALUE"""),"GO")</f>
        <v>GO</v>
      </c>
      <c r="F366" s="4" t="str">
        <f aca="false">IFERROR(__xludf.dummyfunction("""COMPUTED_VALUE"""),"GOIÂNIA")</f>
        <v>GOIÂNIA</v>
      </c>
      <c r="G366" s="4" t="str">
        <f aca="false">IFERROR(__xludf.dummyfunction("""COMPUTED_VALUE"""),"DIREITO")</f>
        <v>DIREITO</v>
      </c>
      <c r="H366" s="4" t="str">
        <f aca="false">IFERROR(__xludf.dummyfunction("""COMPUTED_VALUE"""),"DESCLASSIFICADO")</f>
        <v>DESCLASSIFICADO</v>
      </c>
    </row>
    <row r="367" customFormat="false" ht="13.8" hidden="false" customHeight="false" outlineLevel="0" collapsed="false">
      <c r="A367" s="4" t="n">
        <f aca="false">IFERROR(__xludf.dummyfunction("""COMPUTED_VALUE"""),366)</f>
        <v>366</v>
      </c>
      <c r="B367" s="5" t="str">
        <f aca="false">IFERROR(__xludf.dummyfunction("""COMPUTED_VALUE"""),"KAROLAINE KAUANE DE SÁ ")</f>
        <v>KAROLAINE KAUANE DE SÁ</v>
      </c>
      <c r="C367" s="5"/>
      <c r="D367" s="5"/>
      <c r="E367" s="5" t="str">
        <f aca="false">IFERROR(__xludf.dummyfunction("""COMPUTED_VALUE"""),"BA")</f>
        <v>BA</v>
      </c>
      <c r="F367" s="4" t="str">
        <f aca="false">IFERROR(__xludf.dummyfunction("""COMPUTED_VALUE"""),"PAULO AFONSO")</f>
        <v>PAULO AFONSO</v>
      </c>
      <c r="G367" s="4" t="str">
        <f aca="false">IFERROR(__xludf.dummyfunction("""COMPUTED_VALUE"""),"DIREITO")</f>
        <v>DIREITO</v>
      </c>
      <c r="H367" s="4" t="str">
        <f aca="false">IFERROR(__xludf.dummyfunction("""COMPUTED_VALUE"""),"DESCLASSIFICADO")</f>
        <v>DESCLASSIFICADO</v>
      </c>
    </row>
    <row r="368" customFormat="false" ht="13.8" hidden="false" customHeight="false" outlineLevel="0" collapsed="false">
      <c r="A368" s="4" t="n">
        <f aca="false">IFERROR(__xludf.dummyfunction("""COMPUTED_VALUE"""),367)</f>
        <v>367</v>
      </c>
      <c r="B368" s="5" t="str">
        <f aca="false">IFERROR(__xludf.dummyfunction("""COMPUTED_VALUE"""),"ANDERSON ALMEIDA NASCIMENTO")</f>
        <v>ANDERSON ALMEIDA NASCIMENTO</v>
      </c>
      <c r="C368" s="5"/>
      <c r="D368" s="5"/>
      <c r="E368" s="5" t="str">
        <f aca="false">IFERROR(__xludf.dummyfunction("""COMPUTED_VALUE"""),"GO")</f>
        <v>GO</v>
      </c>
      <c r="F368" s="4" t="str">
        <f aca="false">IFERROR(__xludf.dummyfunction("""COMPUTED_VALUE"""),"APARECIDA DE GOIÂNIA")</f>
        <v>APARECIDA DE GOIÂNIA</v>
      </c>
      <c r="G368" s="4" t="str">
        <f aca="false">IFERROR(__xludf.dummyfunction("""COMPUTED_VALUE"""),"DIREITO")</f>
        <v>DIREITO</v>
      </c>
      <c r="H368" s="4" t="str">
        <f aca="false">IFERROR(__xludf.dummyfunction("""COMPUTED_VALUE"""),"CONTRATADO")</f>
        <v>CONTRATADO</v>
      </c>
    </row>
    <row r="369" customFormat="false" ht="13.8" hidden="false" customHeight="false" outlineLevel="0" collapsed="false">
      <c r="A369" s="4" t="n">
        <f aca="false">IFERROR(__xludf.dummyfunction("""COMPUTED_VALUE"""),368)</f>
        <v>368</v>
      </c>
      <c r="B369" s="5" t="str">
        <f aca="false">IFERROR(__xludf.dummyfunction("""COMPUTED_VALUE"""),"IARA PEREIRA BRITO")</f>
        <v>IARA PEREIRA BRITO</v>
      </c>
      <c r="C369" s="5"/>
      <c r="D369" s="5"/>
      <c r="E369" s="5" t="str">
        <f aca="false">IFERROR(__xludf.dummyfunction("""COMPUTED_VALUE"""),"GO")</f>
        <v>GO</v>
      </c>
      <c r="F369" s="4" t="str">
        <f aca="false">IFERROR(__xludf.dummyfunction("""COMPUTED_VALUE"""),"GOIÂNIA")</f>
        <v>GOIÂNIA</v>
      </c>
      <c r="G369" s="4" t="str">
        <f aca="false">IFERROR(__xludf.dummyfunction("""COMPUTED_VALUE"""),"DIREITO")</f>
        <v>DIREITO</v>
      </c>
      <c r="H369" s="4" t="str">
        <f aca="false">IFERROR(__xludf.dummyfunction("""COMPUTED_VALUE"""),"DESCLASSIFICADO")</f>
        <v>DESCLASSIFICADO</v>
      </c>
    </row>
    <row r="370" customFormat="false" ht="13.8" hidden="false" customHeight="false" outlineLevel="0" collapsed="false">
      <c r="A370" s="4" t="n">
        <f aca="false">IFERROR(__xludf.dummyfunction("""COMPUTED_VALUE"""),369)</f>
        <v>369</v>
      </c>
      <c r="B370" s="5" t="str">
        <f aca="false">IFERROR(__xludf.dummyfunction("""COMPUTED_VALUE"""),"JOÃO PEDRO BOZOLÃO MARTINS ")</f>
        <v>JOÃO PEDRO BOZOLÃO MARTINS</v>
      </c>
      <c r="C370" s="5"/>
      <c r="D370" s="5"/>
      <c r="E370" s="5" t="str">
        <f aca="false">IFERROR(__xludf.dummyfunction("""COMPUTED_VALUE"""),"SP")</f>
        <v>SP</v>
      </c>
      <c r="F370" s="4" t="str">
        <f aca="false">IFERROR(__xludf.dummyfunction("""COMPUTED_VALUE"""),"CAIEIRAS")</f>
        <v>CAIEIRAS</v>
      </c>
      <c r="G370" s="4" t="str">
        <f aca="false">IFERROR(__xludf.dummyfunction("""COMPUTED_VALUE"""),"DIREITO")</f>
        <v>DIREITO</v>
      </c>
      <c r="H370" s="4" t="str">
        <f aca="false">IFERROR(__xludf.dummyfunction("""COMPUTED_VALUE"""),"DESCLASSIFICADO")</f>
        <v>DESCLASSIFICADO</v>
      </c>
    </row>
    <row r="371" customFormat="false" ht="13.8" hidden="false" customHeight="false" outlineLevel="0" collapsed="false">
      <c r="A371" s="4" t="n">
        <f aca="false">IFERROR(__xludf.dummyfunction("""COMPUTED_VALUE"""),370)</f>
        <v>370</v>
      </c>
      <c r="B371" s="5" t="str">
        <f aca="false">IFERROR(__xludf.dummyfunction("""COMPUTED_VALUE"""),"ALZIRA CAROLINA SANTANA ")</f>
        <v>ALZIRA CAROLINA SANTANA</v>
      </c>
      <c r="C371" s="5"/>
      <c r="D371" s="5"/>
      <c r="E371" s="5" t="str">
        <f aca="false">IFERROR(__xludf.dummyfunction("""COMPUTED_VALUE"""),"GO")</f>
        <v>GO</v>
      </c>
      <c r="F371" s="4" t="str">
        <f aca="false">IFERROR(__xludf.dummyfunction("""COMPUTED_VALUE"""),"GOIÂNIA")</f>
        <v>GOIÂNIA</v>
      </c>
      <c r="G371" s="4" t="str">
        <f aca="false">IFERROR(__xludf.dummyfunction("""COMPUTED_VALUE"""),"DIREITO")</f>
        <v>DIREITO</v>
      </c>
      <c r="H371" s="4" t="str">
        <f aca="false">IFERROR(__xludf.dummyfunction("""COMPUTED_VALUE"""),"CONTRATADO")</f>
        <v>CONTRATADO</v>
      </c>
    </row>
    <row r="372" customFormat="false" ht="13.8" hidden="false" customHeight="false" outlineLevel="0" collapsed="false">
      <c r="A372" s="4" t="n">
        <f aca="false">IFERROR(__xludf.dummyfunction("""COMPUTED_VALUE"""),371)</f>
        <v>371</v>
      </c>
      <c r="B372" s="5" t="str">
        <f aca="false">IFERROR(__xludf.dummyfunction("""COMPUTED_VALUE"""),"KAMYLA CAMPOS FERREIRA ROSA")</f>
        <v>KAMYLA CAMPOS FERREIRA ROSA</v>
      </c>
      <c r="C372" s="5"/>
      <c r="D372" s="5"/>
      <c r="E372" s="5" t="str">
        <f aca="false">IFERROR(__xludf.dummyfunction("""COMPUTED_VALUE"""),"GO")</f>
        <v>GO</v>
      </c>
      <c r="F372" s="4" t="str">
        <f aca="false">IFERROR(__xludf.dummyfunction("""COMPUTED_VALUE"""),"GOIÂNIA")</f>
        <v>GOIÂNIA</v>
      </c>
      <c r="G372" s="4" t="str">
        <f aca="false">IFERROR(__xludf.dummyfunction("""COMPUTED_VALUE"""),"DIREITO")</f>
        <v>DIREITO</v>
      </c>
      <c r="H372" s="4" t="str">
        <f aca="false">IFERROR(__xludf.dummyfunction("""COMPUTED_VALUE"""),"CONTRATADO")</f>
        <v>CONTRATADO</v>
      </c>
    </row>
    <row r="373" customFormat="false" ht="13.8" hidden="false" customHeight="false" outlineLevel="0" collapsed="false">
      <c r="A373" s="4" t="n">
        <f aca="false">IFERROR(__xludf.dummyfunction("""COMPUTED_VALUE"""),372)</f>
        <v>372</v>
      </c>
      <c r="B373" s="5" t="str">
        <f aca="false">IFERROR(__xludf.dummyfunction("""COMPUTED_VALUE"""),"OTAIR SILVA LOBO JUNIOR")</f>
        <v>OTAIR SILVA LOBO JUNIOR</v>
      </c>
      <c r="C373" s="5"/>
      <c r="D373" s="5"/>
      <c r="E373" s="5" t="str">
        <f aca="false">IFERROR(__xludf.dummyfunction("""COMPUTED_VALUE"""),"GO")</f>
        <v>GO</v>
      </c>
      <c r="F373" s="4" t="str">
        <f aca="false">IFERROR(__xludf.dummyfunction("""COMPUTED_VALUE"""),"APARECIDA DE GOIÂNIA")</f>
        <v>APARECIDA DE GOIÂNIA</v>
      </c>
      <c r="G373" s="4" t="str">
        <f aca="false">IFERROR(__xludf.dummyfunction("""COMPUTED_VALUE"""),"DIREITO")</f>
        <v>DIREITO</v>
      </c>
      <c r="H373" s="4" t="str">
        <f aca="false">IFERROR(__xludf.dummyfunction("""COMPUTED_VALUE"""),"DESCLASSIFICADO")</f>
        <v>DESCLASSIFICADO</v>
      </c>
    </row>
    <row r="374" customFormat="false" ht="13.8" hidden="false" customHeight="false" outlineLevel="0" collapsed="false">
      <c r="A374" s="4" t="n">
        <f aca="false">IFERROR(__xludf.dummyfunction("""COMPUTED_VALUE"""),373)</f>
        <v>373</v>
      </c>
      <c r="B374" s="5" t="str">
        <f aca="false">IFERROR(__xludf.dummyfunction("""COMPUTED_VALUE"""),"RHÁVYLLA KAREN DE SOUSA RIBEIRO ")</f>
        <v>RHÁVYLLA KAREN DE SOUSA RIBEIRO</v>
      </c>
      <c r="C374" s="5"/>
      <c r="D374" s="5"/>
      <c r="E374" s="5" t="str">
        <f aca="false">IFERROR(__xludf.dummyfunction("""COMPUTED_VALUE"""),"GO")</f>
        <v>GO</v>
      </c>
      <c r="F374" s="4" t="str">
        <f aca="false">IFERROR(__xludf.dummyfunction("""COMPUTED_VALUE"""),"GOIÂNIA")</f>
        <v>GOIÂNIA</v>
      </c>
      <c r="G374" s="4" t="str">
        <f aca="false">IFERROR(__xludf.dummyfunction("""COMPUTED_VALUE"""),"DIREITO")</f>
        <v>DIREITO</v>
      </c>
      <c r="H374" s="4" t="str">
        <f aca="false">IFERROR(__xludf.dummyfunction("""COMPUTED_VALUE"""),"DESCLASSIFICADO")</f>
        <v>DESCLASSIFICADO</v>
      </c>
    </row>
    <row r="375" customFormat="false" ht="13.8" hidden="false" customHeight="false" outlineLevel="0" collapsed="false">
      <c r="A375" s="4" t="n">
        <f aca="false">IFERROR(__xludf.dummyfunction("""COMPUTED_VALUE"""),374)</f>
        <v>374</v>
      </c>
      <c r="B375" s="5" t="str">
        <f aca="false">IFERROR(__xludf.dummyfunction("""COMPUTED_VALUE"""),"ANA CLARA SILVA BRANDAO")</f>
        <v>ANA CLARA SILVA BRANDAO</v>
      </c>
      <c r="C375" s="5"/>
      <c r="D375" s="5"/>
      <c r="E375" s="5" t="str">
        <f aca="false">IFERROR(__xludf.dummyfunction("""COMPUTED_VALUE"""),"GO")</f>
        <v>GO</v>
      </c>
      <c r="F375" s="4" t="str">
        <f aca="false">IFERROR(__xludf.dummyfunction("""COMPUTED_VALUE"""),"GOIANÉSIA")</f>
        <v>GOIANÉSIA</v>
      </c>
      <c r="G375" s="4" t="str">
        <f aca="false">IFERROR(__xludf.dummyfunction("""COMPUTED_VALUE"""),"DIREITO")</f>
        <v>DIREITO</v>
      </c>
      <c r="H375" s="4" t="str">
        <f aca="false">IFERROR(__xludf.dummyfunction("""COMPUTED_VALUE"""),"DESCLASSIFICADO")</f>
        <v>DESCLASSIFICADO</v>
      </c>
    </row>
    <row r="376" customFormat="false" ht="13.8" hidden="false" customHeight="false" outlineLevel="0" collapsed="false">
      <c r="A376" s="4" t="n">
        <f aca="false">IFERROR(__xludf.dummyfunction("""COMPUTED_VALUE"""),375)</f>
        <v>375</v>
      </c>
      <c r="B376" s="5" t="str">
        <f aca="false">IFERROR(__xludf.dummyfunction("""COMPUTED_VALUE"""),"ANA BEATRIZ DE FREITAS FERNANDES ")</f>
        <v>ANA BEATRIZ DE FREITAS FERNANDES</v>
      </c>
      <c r="C376" s="5"/>
      <c r="D376" s="5"/>
      <c r="E376" s="5" t="str">
        <f aca="false">IFERROR(__xludf.dummyfunction("""COMPUTED_VALUE"""),"GO")</f>
        <v>GO</v>
      </c>
      <c r="F376" s="4" t="str">
        <f aca="false">IFERROR(__xludf.dummyfunction("""COMPUTED_VALUE"""),"CORUMBÁ DE GOIÁS")</f>
        <v>CORUMBÁ DE GOIÁS</v>
      </c>
      <c r="G376" s="4" t="str">
        <f aca="false">IFERROR(__xludf.dummyfunction("""COMPUTED_VALUE"""),"DIREITO")</f>
        <v>DIREITO</v>
      </c>
      <c r="H376" s="4" t="str">
        <f aca="false">IFERROR(__xludf.dummyfunction("""COMPUTED_VALUE"""),"CONTRATADO")</f>
        <v>CONTRATADO</v>
      </c>
    </row>
    <row r="377" customFormat="false" ht="13.8" hidden="false" customHeight="false" outlineLevel="0" collapsed="false">
      <c r="A377" s="7"/>
      <c r="B377" s="8"/>
      <c r="C377" s="8"/>
      <c r="D377" s="8"/>
      <c r="E377" s="8"/>
      <c r="F377" s="7"/>
      <c r="G377" s="7"/>
      <c r="H377" s="7"/>
    </row>
    <row r="378" customFormat="false" ht="13.8" hidden="false" customHeight="false" outlineLevel="0" collapsed="false">
      <c r="A378" s="7"/>
      <c r="B378" s="8"/>
      <c r="C378" s="8"/>
      <c r="D378" s="8"/>
      <c r="E378" s="8"/>
      <c r="F378" s="7"/>
      <c r="G378" s="7"/>
      <c r="H378" s="7"/>
    </row>
    <row r="379" customFormat="false" ht="13.8" hidden="false" customHeight="false" outlineLevel="0" collapsed="false">
      <c r="A379" s="7"/>
      <c r="B379" s="8"/>
      <c r="C379" s="8"/>
      <c r="D379" s="8"/>
      <c r="E379" s="8"/>
      <c r="F379" s="7"/>
      <c r="G379" s="7"/>
      <c r="H379" s="7"/>
    </row>
    <row r="380" customFormat="false" ht="13.8" hidden="false" customHeight="false" outlineLevel="0" collapsed="false">
      <c r="A380" s="7"/>
      <c r="B380" s="8"/>
      <c r="C380" s="8"/>
      <c r="D380" s="8"/>
      <c r="E380" s="8"/>
      <c r="F380" s="7"/>
      <c r="G380" s="7"/>
      <c r="H380" s="7"/>
    </row>
    <row r="381" customFormat="false" ht="13.8" hidden="false" customHeight="false" outlineLevel="0" collapsed="false">
      <c r="A381" s="7"/>
      <c r="B381" s="8"/>
      <c r="C381" s="8"/>
      <c r="D381" s="8"/>
      <c r="E381" s="8"/>
      <c r="F381" s="7"/>
      <c r="G381" s="7"/>
      <c r="H381" s="7"/>
    </row>
    <row r="382" customFormat="false" ht="13.8" hidden="false" customHeight="false" outlineLevel="0" collapsed="false">
      <c r="A382" s="7"/>
      <c r="B382" s="8"/>
      <c r="C382" s="8"/>
      <c r="D382" s="8"/>
      <c r="E382" s="8"/>
      <c r="F382" s="7"/>
      <c r="G382" s="7"/>
      <c r="H382" s="7"/>
    </row>
    <row r="383" customFormat="false" ht="13.8" hidden="false" customHeight="false" outlineLevel="0" collapsed="false">
      <c r="A383" s="7"/>
      <c r="B383" s="8"/>
      <c r="C383" s="8"/>
      <c r="D383" s="8"/>
      <c r="E383" s="8"/>
      <c r="F383" s="7"/>
      <c r="G383" s="7"/>
      <c r="H383" s="7"/>
    </row>
    <row r="384" customFormat="false" ht="13.8" hidden="false" customHeight="false" outlineLevel="0" collapsed="false">
      <c r="A384" s="7"/>
      <c r="B384" s="8"/>
      <c r="C384" s="8"/>
      <c r="D384" s="8"/>
      <c r="E384" s="8"/>
      <c r="F384" s="7"/>
      <c r="G384" s="7"/>
      <c r="H384" s="7"/>
    </row>
    <row r="385" customFormat="false" ht="13.8" hidden="false" customHeight="false" outlineLevel="0" collapsed="false">
      <c r="A385" s="7"/>
      <c r="B385" s="8"/>
      <c r="C385" s="8"/>
      <c r="D385" s="8"/>
      <c r="E385" s="8"/>
      <c r="F385" s="7"/>
      <c r="G385" s="7"/>
      <c r="H385" s="7"/>
    </row>
    <row r="386" customFormat="false" ht="13.8" hidden="false" customHeight="false" outlineLevel="0" collapsed="false">
      <c r="A386" s="7"/>
      <c r="B386" s="8"/>
      <c r="C386" s="8"/>
      <c r="D386" s="8"/>
      <c r="E386" s="8"/>
      <c r="F386" s="7"/>
      <c r="G386" s="7"/>
      <c r="H386" s="7"/>
    </row>
    <row r="387" customFormat="false" ht="13.8" hidden="false" customHeight="false" outlineLevel="0" collapsed="false">
      <c r="A387" s="7"/>
      <c r="B387" s="8"/>
      <c r="C387" s="8"/>
      <c r="D387" s="8"/>
      <c r="E387" s="8"/>
      <c r="F387" s="7"/>
      <c r="G387" s="7"/>
      <c r="H387" s="7"/>
    </row>
    <row r="388" customFormat="false" ht="13.8" hidden="false" customHeight="false" outlineLevel="0" collapsed="false">
      <c r="A388" s="7"/>
      <c r="B388" s="8"/>
      <c r="C388" s="8"/>
      <c r="D388" s="8"/>
      <c r="E388" s="8"/>
      <c r="F388" s="7"/>
      <c r="G388" s="7"/>
      <c r="H388" s="7"/>
    </row>
    <row r="389" customFormat="false" ht="13.8" hidden="false" customHeight="false" outlineLevel="0" collapsed="false">
      <c r="A389" s="7"/>
      <c r="B389" s="8"/>
      <c r="C389" s="8"/>
      <c r="D389" s="8"/>
      <c r="E389" s="8"/>
      <c r="F389" s="7"/>
      <c r="G389" s="7"/>
      <c r="H389" s="7"/>
    </row>
    <row r="390" customFormat="false" ht="13.8" hidden="false" customHeight="false" outlineLevel="0" collapsed="false">
      <c r="A390" s="7"/>
      <c r="B390" s="8"/>
      <c r="C390" s="8"/>
      <c r="D390" s="8"/>
      <c r="E390" s="8"/>
      <c r="F390" s="7"/>
      <c r="G390" s="7"/>
      <c r="H390" s="7"/>
    </row>
    <row r="391" customFormat="false" ht="13.8" hidden="false" customHeight="false" outlineLevel="0" collapsed="false">
      <c r="A391" s="7"/>
      <c r="B391" s="8"/>
      <c r="C391" s="8"/>
      <c r="D391" s="8"/>
      <c r="E391" s="8"/>
      <c r="F391" s="7"/>
      <c r="G391" s="7"/>
      <c r="H391" s="7"/>
    </row>
    <row r="392" customFormat="false" ht="13.8" hidden="false" customHeight="false" outlineLevel="0" collapsed="false">
      <c r="A392" s="7"/>
      <c r="B392" s="8"/>
      <c r="C392" s="8"/>
      <c r="D392" s="8"/>
      <c r="E392" s="8"/>
      <c r="F392" s="7"/>
      <c r="G392" s="7"/>
      <c r="H392" s="7"/>
    </row>
    <row r="393" customFormat="false" ht="13.8" hidden="false" customHeight="false" outlineLevel="0" collapsed="false">
      <c r="A393" s="7"/>
      <c r="B393" s="8"/>
      <c r="C393" s="8"/>
      <c r="D393" s="8"/>
      <c r="E393" s="8"/>
      <c r="F393" s="7"/>
      <c r="G393" s="7"/>
      <c r="H393" s="7"/>
    </row>
    <row r="394" customFormat="false" ht="13.8" hidden="false" customHeight="false" outlineLevel="0" collapsed="false">
      <c r="A394" s="7"/>
      <c r="B394" s="8"/>
      <c r="C394" s="8"/>
      <c r="D394" s="8"/>
      <c r="E394" s="8"/>
      <c r="F394" s="7"/>
      <c r="G394" s="7"/>
      <c r="H394" s="7"/>
    </row>
    <row r="395" customFormat="false" ht="13.8" hidden="false" customHeight="false" outlineLevel="0" collapsed="false">
      <c r="A395" s="7"/>
      <c r="B395" s="8"/>
      <c r="C395" s="8"/>
      <c r="D395" s="8"/>
      <c r="E395" s="8"/>
      <c r="F395" s="7"/>
      <c r="G395" s="7"/>
      <c r="H395" s="7"/>
    </row>
    <row r="396" customFormat="false" ht="13.8" hidden="false" customHeight="false" outlineLevel="0" collapsed="false">
      <c r="A396" s="7"/>
      <c r="B396" s="8"/>
      <c r="C396" s="8"/>
      <c r="D396" s="8"/>
      <c r="E396" s="8"/>
      <c r="F396" s="7"/>
      <c r="G396" s="7"/>
      <c r="H396" s="7"/>
    </row>
    <row r="397" customFormat="false" ht="13.8" hidden="false" customHeight="false" outlineLevel="0" collapsed="false">
      <c r="A397" s="7"/>
      <c r="B397" s="8"/>
      <c r="C397" s="8"/>
      <c r="D397" s="8"/>
      <c r="E397" s="8"/>
      <c r="F397" s="7"/>
      <c r="G397" s="7"/>
      <c r="H397" s="7"/>
    </row>
    <row r="398" customFormat="false" ht="13.8" hidden="false" customHeight="false" outlineLevel="0" collapsed="false">
      <c r="A398" s="7"/>
      <c r="B398" s="8"/>
      <c r="C398" s="8"/>
      <c r="D398" s="8"/>
      <c r="E398" s="8"/>
      <c r="F398" s="7"/>
      <c r="G398" s="7"/>
      <c r="H398" s="7"/>
    </row>
    <row r="399" customFormat="false" ht="13.8" hidden="false" customHeight="false" outlineLevel="0" collapsed="false">
      <c r="A399" s="7"/>
      <c r="B399" s="8"/>
      <c r="C399" s="8"/>
      <c r="D399" s="8"/>
      <c r="E399" s="8"/>
      <c r="F399" s="7"/>
      <c r="G399" s="7"/>
      <c r="H399" s="7"/>
    </row>
    <row r="400" customFormat="false" ht="13.8" hidden="false" customHeight="false" outlineLevel="0" collapsed="false">
      <c r="A400" s="7"/>
      <c r="B400" s="8"/>
      <c r="C400" s="8"/>
      <c r="D400" s="8"/>
      <c r="E400" s="8"/>
      <c r="F400" s="7"/>
      <c r="G400" s="7"/>
      <c r="H400" s="7"/>
    </row>
    <row r="401" customFormat="false" ht="13.8" hidden="false" customHeight="false" outlineLevel="0" collapsed="false">
      <c r="A401" s="7"/>
      <c r="B401" s="8"/>
      <c r="C401" s="8"/>
      <c r="D401" s="8"/>
      <c r="E401" s="8"/>
      <c r="F401" s="7"/>
      <c r="G401" s="7"/>
      <c r="H401" s="7"/>
    </row>
    <row r="402" customFormat="false" ht="13.8" hidden="false" customHeight="false" outlineLevel="0" collapsed="false">
      <c r="A402" s="7"/>
      <c r="B402" s="8"/>
      <c r="C402" s="8"/>
      <c r="D402" s="8"/>
      <c r="E402" s="8"/>
      <c r="F402" s="7"/>
      <c r="G402" s="7"/>
      <c r="H402" s="7"/>
    </row>
    <row r="403" customFormat="false" ht="13.8" hidden="false" customHeight="false" outlineLevel="0" collapsed="false">
      <c r="A403" s="7"/>
      <c r="B403" s="8"/>
      <c r="C403" s="8"/>
      <c r="D403" s="8"/>
      <c r="E403" s="8"/>
      <c r="F403" s="7"/>
      <c r="G403" s="7"/>
      <c r="H403" s="7"/>
    </row>
    <row r="404" customFormat="false" ht="13.8" hidden="false" customHeight="false" outlineLevel="0" collapsed="false">
      <c r="A404" s="7"/>
      <c r="B404" s="8"/>
      <c r="C404" s="8"/>
      <c r="D404" s="8"/>
      <c r="E404" s="8"/>
      <c r="F404" s="7"/>
      <c r="G404" s="7"/>
      <c r="H404" s="7"/>
    </row>
    <row r="405" customFormat="false" ht="13.8" hidden="false" customHeight="false" outlineLevel="0" collapsed="false">
      <c r="A405" s="7"/>
      <c r="B405" s="8"/>
      <c r="C405" s="8"/>
      <c r="D405" s="8"/>
      <c r="E405" s="8"/>
      <c r="F405" s="7"/>
      <c r="G405" s="7"/>
      <c r="H405" s="7"/>
    </row>
    <row r="406" customFormat="false" ht="13.8" hidden="false" customHeight="false" outlineLevel="0" collapsed="false">
      <c r="A406" s="7"/>
      <c r="B406" s="8"/>
      <c r="C406" s="8"/>
      <c r="D406" s="8"/>
      <c r="E406" s="8"/>
      <c r="F406" s="7"/>
      <c r="G406" s="7"/>
      <c r="H406" s="7"/>
    </row>
    <row r="407" customFormat="false" ht="13.8" hidden="false" customHeight="false" outlineLevel="0" collapsed="false">
      <c r="A407" s="7"/>
      <c r="B407" s="8"/>
      <c r="C407" s="8"/>
      <c r="D407" s="8"/>
      <c r="E407" s="8"/>
      <c r="F407" s="7"/>
      <c r="G407" s="7"/>
      <c r="H407" s="7"/>
    </row>
    <row r="408" customFormat="false" ht="13.8" hidden="false" customHeight="false" outlineLevel="0" collapsed="false">
      <c r="A408" s="7"/>
      <c r="B408" s="8"/>
      <c r="C408" s="8"/>
      <c r="D408" s="8"/>
      <c r="E408" s="8"/>
      <c r="F408" s="7"/>
      <c r="G408" s="7"/>
      <c r="H408" s="7"/>
    </row>
    <row r="409" customFormat="false" ht="13.8" hidden="false" customHeight="false" outlineLevel="0" collapsed="false">
      <c r="A409" s="7"/>
      <c r="B409" s="8"/>
      <c r="C409" s="8"/>
      <c r="D409" s="8"/>
      <c r="E409" s="8"/>
      <c r="F409" s="7"/>
      <c r="G409" s="7"/>
      <c r="H409" s="7"/>
    </row>
    <row r="410" customFormat="false" ht="13.8" hidden="false" customHeight="false" outlineLevel="0" collapsed="false">
      <c r="A410" s="7"/>
      <c r="B410" s="8"/>
      <c r="C410" s="8"/>
      <c r="D410" s="8"/>
      <c r="E410" s="8"/>
      <c r="F410" s="7"/>
      <c r="G410" s="7"/>
      <c r="H410" s="7"/>
    </row>
    <row r="411" customFormat="false" ht="13.8" hidden="false" customHeight="false" outlineLevel="0" collapsed="false">
      <c r="A411" s="7"/>
      <c r="B411" s="8"/>
      <c r="C411" s="8"/>
      <c r="D411" s="8"/>
      <c r="E411" s="8"/>
      <c r="F411" s="7"/>
      <c r="G411" s="7"/>
      <c r="H411" s="7"/>
    </row>
    <row r="412" customFormat="false" ht="13.8" hidden="false" customHeight="false" outlineLevel="0" collapsed="false">
      <c r="A412" s="7"/>
      <c r="B412" s="8"/>
      <c r="C412" s="8"/>
      <c r="D412" s="8"/>
      <c r="E412" s="8"/>
      <c r="F412" s="7"/>
      <c r="G412" s="7"/>
      <c r="H412" s="7"/>
    </row>
    <row r="413" customFormat="false" ht="13.8" hidden="false" customHeight="false" outlineLevel="0" collapsed="false">
      <c r="A413" s="7"/>
      <c r="B413" s="8"/>
      <c r="C413" s="8"/>
      <c r="D413" s="8"/>
      <c r="E413" s="8"/>
      <c r="F413" s="7"/>
      <c r="G413" s="7"/>
      <c r="H413" s="7"/>
    </row>
    <row r="414" customFormat="false" ht="13.8" hidden="false" customHeight="false" outlineLevel="0" collapsed="false">
      <c r="A414" s="7"/>
      <c r="B414" s="8"/>
      <c r="C414" s="8"/>
      <c r="D414" s="8"/>
      <c r="E414" s="8"/>
      <c r="F414" s="7"/>
      <c r="G414" s="7"/>
      <c r="H414" s="7"/>
    </row>
    <row r="415" customFormat="false" ht="13.8" hidden="false" customHeight="false" outlineLevel="0" collapsed="false">
      <c r="A415" s="7"/>
      <c r="B415" s="8"/>
      <c r="C415" s="8"/>
      <c r="D415" s="8"/>
      <c r="E415" s="8"/>
      <c r="F415" s="7"/>
      <c r="G415" s="7"/>
      <c r="H415" s="7"/>
    </row>
    <row r="416" customFormat="false" ht="13.8" hidden="false" customHeight="false" outlineLevel="0" collapsed="false">
      <c r="A416" s="7"/>
      <c r="B416" s="8"/>
      <c r="C416" s="8"/>
      <c r="D416" s="8"/>
      <c r="E416" s="8"/>
      <c r="F416" s="7"/>
      <c r="G416" s="7"/>
      <c r="H416" s="7"/>
    </row>
    <row r="417" customFormat="false" ht="13.8" hidden="false" customHeight="false" outlineLevel="0" collapsed="false">
      <c r="A417" s="7"/>
      <c r="B417" s="8"/>
      <c r="C417" s="8"/>
      <c r="D417" s="8"/>
      <c r="E417" s="8"/>
      <c r="F417" s="7"/>
      <c r="G417" s="7"/>
      <c r="H417" s="7"/>
    </row>
    <row r="418" customFormat="false" ht="13.8" hidden="false" customHeight="false" outlineLevel="0" collapsed="false">
      <c r="A418" s="7"/>
      <c r="B418" s="8"/>
      <c r="C418" s="8"/>
      <c r="D418" s="8"/>
      <c r="E418" s="8"/>
      <c r="F418" s="7"/>
      <c r="G418" s="7"/>
      <c r="H418" s="7"/>
    </row>
    <row r="419" customFormat="false" ht="13.8" hidden="false" customHeight="false" outlineLevel="0" collapsed="false">
      <c r="A419" s="7"/>
      <c r="B419" s="8"/>
      <c r="C419" s="8"/>
      <c r="D419" s="8"/>
      <c r="E419" s="8"/>
      <c r="F419" s="7"/>
      <c r="G419" s="7"/>
      <c r="H419" s="7"/>
    </row>
    <row r="420" customFormat="false" ht="13.8" hidden="false" customHeight="false" outlineLevel="0" collapsed="false">
      <c r="A420" s="7"/>
      <c r="B420" s="8"/>
      <c r="C420" s="8"/>
      <c r="D420" s="8"/>
      <c r="E420" s="8"/>
      <c r="F420" s="7"/>
      <c r="G420" s="7"/>
      <c r="H420" s="7"/>
    </row>
    <row r="421" customFormat="false" ht="13.8" hidden="false" customHeight="false" outlineLevel="0" collapsed="false">
      <c r="A421" s="7"/>
      <c r="B421" s="8"/>
      <c r="C421" s="8"/>
      <c r="D421" s="8"/>
      <c r="E421" s="8"/>
      <c r="F421" s="7"/>
      <c r="G421" s="7"/>
      <c r="H421" s="7"/>
    </row>
    <row r="422" customFormat="false" ht="13.8" hidden="false" customHeight="false" outlineLevel="0" collapsed="false">
      <c r="A422" s="7"/>
      <c r="B422" s="8"/>
      <c r="C422" s="8"/>
      <c r="D422" s="8"/>
      <c r="E422" s="8"/>
      <c r="F422" s="7"/>
      <c r="G422" s="7"/>
      <c r="H422" s="7"/>
    </row>
    <row r="423" customFormat="false" ht="13.8" hidden="false" customHeight="false" outlineLevel="0" collapsed="false">
      <c r="A423" s="7"/>
      <c r="B423" s="8"/>
      <c r="C423" s="8"/>
      <c r="D423" s="8"/>
      <c r="E423" s="8"/>
      <c r="F423" s="7"/>
      <c r="G423" s="7"/>
      <c r="H423" s="7"/>
    </row>
    <row r="424" customFormat="false" ht="13.8" hidden="false" customHeight="false" outlineLevel="0" collapsed="false">
      <c r="A424" s="7"/>
      <c r="B424" s="8"/>
      <c r="C424" s="8"/>
      <c r="D424" s="8"/>
      <c r="E424" s="8"/>
      <c r="F424" s="7"/>
      <c r="G424" s="7"/>
      <c r="H424" s="7"/>
    </row>
    <row r="425" customFormat="false" ht="13.8" hidden="false" customHeight="false" outlineLevel="0" collapsed="false">
      <c r="A425" s="7"/>
      <c r="B425" s="8"/>
      <c r="C425" s="8"/>
      <c r="D425" s="8"/>
      <c r="E425" s="8"/>
      <c r="F425" s="7"/>
      <c r="G425" s="7"/>
      <c r="H425" s="7"/>
    </row>
    <row r="426" customFormat="false" ht="13.8" hidden="false" customHeight="false" outlineLevel="0" collapsed="false">
      <c r="A426" s="7"/>
      <c r="B426" s="8"/>
      <c r="C426" s="8"/>
      <c r="D426" s="8"/>
      <c r="E426" s="8"/>
      <c r="F426" s="7"/>
      <c r="G426" s="7"/>
      <c r="H426" s="7"/>
    </row>
    <row r="427" customFormat="false" ht="13.8" hidden="false" customHeight="false" outlineLevel="0" collapsed="false">
      <c r="A427" s="7"/>
      <c r="B427" s="8"/>
      <c r="C427" s="8"/>
      <c r="D427" s="8"/>
      <c r="E427" s="8"/>
      <c r="F427" s="7"/>
      <c r="G427" s="7"/>
      <c r="H427" s="7"/>
    </row>
    <row r="428" customFormat="false" ht="13.8" hidden="false" customHeight="false" outlineLevel="0" collapsed="false">
      <c r="A428" s="7"/>
      <c r="B428" s="8"/>
      <c r="C428" s="8"/>
      <c r="D428" s="8"/>
      <c r="E428" s="8"/>
      <c r="F428" s="7"/>
      <c r="G428" s="7"/>
      <c r="H428" s="7"/>
    </row>
    <row r="429" customFormat="false" ht="13.8" hidden="false" customHeight="false" outlineLevel="0" collapsed="false">
      <c r="A429" s="7"/>
      <c r="B429" s="8"/>
      <c r="C429" s="8"/>
      <c r="D429" s="8"/>
      <c r="E429" s="8"/>
      <c r="F429" s="7"/>
      <c r="G429" s="7"/>
      <c r="H429" s="7"/>
    </row>
    <row r="430" customFormat="false" ht="13.8" hidden="false" customHeight="false" outlineLevel="0" collapsed="false">
      <c r="A430" s="7"/>
      <c r="B430" s="8"/>
      <c r="C430" s="8"/>
      <c r="D430" s="8"/>
      <c r="E430" s="8"/>
      <c r="F430" s="7"/>
      <c r="G430" s="7"/>
      <c r="H430" s="7"/>
    </row>
    <row r="431" customFormat="false" ht="13.8" hidden="false" customHeight="false" outlineLevel="0" collapsed="false">
      <c r="A431" s="7"/>
      <c r="B431" s="8"/>
      <c r="C431" s="8"/>
      <c r="D431" s="8"/>
      <c r="E431" s="8"/>
      <c r="F431" s="7"/>
      <c r="G431" s="7"/>
      <c r="H431" s="7"/>
    </row>
    <row r="432" customFormat="false" ht="13.8" hidden="false" customHeight="false" outlineLevel="0" collapsed="false">
      <c r="A432" s="7"/>
      <c r="B432" s="8"/>
      <c r="C432" s="8"/>
      <c r="D432" s="8"/>
      <c r="E432" s="8"/>
      <c r="F432" s="7"/>
      <c r="G432" s="7"/>
      <c r="H432" s="7"/>
    </row>
    <row r="433" customFormat="false" ht="13.8" hidden="false" customHeight="false" outlineLevel="0" collapsed="false">
      <c r="A433" s="7"/>
      <c r="B433" s="8"/>
      <c r="C433" s="8"/>
      <c r="D433" s="8"/>
      <c r="E433" s="8"/>
      <c r="F433" s="7"/>
      <c r="G433" s="7"/>
      <c r="H433" s="7"/>
    </row>
    <row r="434" customFormat="false" ht="13.8" hidden="false" customHeight="false" outlineLevel="0" collapsed="false">
      <c r="A434" s="7"/>
      <c r="B434" s="8"/>
      <c r="C434" s="8"/>
      <c r="D434" s="8"/>
      <c r="E434" s="8"/>
      <c r="F434" s="7"/>
      <c r="G434" s="7"/>
      <c r="H434" s="7"/>
    </row>
    <row r="435" customFormat="false" ht="13.8" hidden="false" customHeight="false" outlineLevel="0" collapsed="false">
      <c r="A435" s="7"/>
      <c r="B435" s="8"/>
      <c r="C435" s="8"/>
      <c r="D435" s="8"/>
      <c r="E435" s="8"/>
      <c r="F435" s="7"/>
      <c r="G435" s="7"/>
      <c r="H435" s="7"/>
    </row>
    <row r="436" customFormat="false" ht="13.8" hidden="false" customHeight="false" outlineLevel="0" collapsed="false">
      <c r="A436" s="7"/>
      <c r="B436" s="8"/>
      <c r="C436" s="8"/>
      <c r="D436" s="8"/>
      <c r="E436" s="8"/>
      <c r="F436" s="7"/>
      <c r="G436" s="7"/>
      <c r="H436" s="7"/>
    </row>
    <row r="437" customFormat="false" ht="13.8" hidden="false" customHeight="false" outlineLevel="0" collapsed="false">
      <c r="A437" s="7"/>
      <c r="B437" s="8"/>
      <c r="C437" s="8"/>
      <c r="D437" s="8"/>
      <c r="E437" s="8"/>
      <c r="F437" s="7"/>
      <c r="G437" s="7"/>
      <c r="H437" s="7"/>
    </row>
    <row r="438" customFormat="false" ht="13.8" hidden="false" customHeight="false" outlineLevel="0" collapsed="false">
      <c r="A438" s="7"/>
      <c r="B438" s="8"/>
      <c r="C438" s="8"/>
      <c r="D438" s="8"/>
      <c r="E438" s="8"/>
      <c r="F438" s="7"/>
      <c r="G438" s="7"/>
      <c r="H438" s="7"/>
    </row>
    <row r="439" customFormat="false" ht="13.8" hidden="false" customHeight="false" outlineLevel="0" collapsed="false">
      <c r="A439" s="7"/>
      <c r="B439" s="8"/>
      <c r="C439" s="8"/>
      <c r="D439" s="8"/>
      <c r="E439" s="8"/>
      <c r="F439" s="7"/>
      <c r="G439" s="7"/>
      <c r="H439" s="7"/>
    </row>
    <row r="440" customFormat="false" ht="13.8" hidden="false" customHeight="false" outlineLevel="0" collapsed="false">
      <c r="A440" s="7"/>
      <c r="B440" s="8"/>
      <c r="C440" s="8"/>
      <c r="D440" s="8"/>
      <c r="E440" s="8"/>
      <c r="F440" s="7"/>
      <c r="G440" s="7"/>
      <c r="H440" s="7"/>
    </row>
    <row r="441" customFormat="false" ht="13.8" hidden="false" customHeight="false" outlineLevel="0" collapsed="false">
      <c r="A441" s="7"/>
      <c r="B441" s="8"/>
      <c r="C441" s="8"/>
      <c r="D441" s="8"/>
      <c r="E441" s="8"/>
      <c r="F441" s="7"/>
      <c r="G441" s="7"/>
      <c r="H441" s="7"/>
    </row>
    <row r="442" customFormat="false" ht="13.8" hidden="false" customHeight="false" outlineLevel="0" collapsed="false">
      <c r="A442" s="7"/>
      <c r="B442" s="8"/>
      <c r="C442" s="8"/>
      <c r="D442" s="8"/>
      <c r="E442" s="8"/>
      <c r="F442" s="7"/>
      <c r="G442" s="7"/>
      <c r="H442" s="7"/>
    </row>
    <row r="443" customFormat="false" ht="13.8" hidden="false" customHeight="false" outlineLevel="0" collapsed="false">
      <c r="A443" s="7"/>
      <c r="B443" s="8"/>
      <c r="C443" s="8"/>
      <c r="D443" s="8"/>
      <c r="E443" s="8"/>
      <c r="F443" s="7"/>
      <c r="G443" s="7"/>
      <c r="H443" s="7"/>
    </row>
    <row r="444" customFormat="false" ht="13.8" hidden="false" customHeight="false" outlineLevel="0" collapsed="false">
      <c r="A444" s="7"/>
      <c r="B444" s="8"/>
      <c r="C444" s="8"/>
      <c r="D444" s="8"/>
      <c r="E444" s="8"/>
      <c r="F444" s="7"/>
      <c r="G444" s="7"/>
      <c r="H444" s="7"/>
    </row>
    <row r="445" customFormat="false" ht="13.8" hidden="false" customHeight="false" outlineLevel="0" collapsed="false">
      <c r="A445" s="7"/>
      <c r="B445" s="8"/>
      <c r="C445" s="8"/>
      <c r="D445" s="8"/>
      <c r="E445" s="8"/>
      <c r="F445" s="7"/>
      <c r="G445" s="7"/>
      <c r="H445" s="7"/>
    </row>
    <row r="446" customFormat="false" ht="13.8" hidden="false" customHeight="false" outlineLevel="0" collapsed="false">
      <c r="A446" s="7"/>
      <c r="B446" s="8"/>
      <c r="C446" s="8"/>
      <c r="D446" s="8"/>
      <c r="E446" s="8"/>
      <c r="F446" s="7"/>
      <c r="G446" s="7"/>
      <c r="H446" s="7"/>
    </row>
    <row r="447" customFormat="false" ht="13.8" hidden="false" customHeight="false" outlineLevel="0" collapsed="false">
      <c r="A447" s="7"/>
      <c r="B447" s="8"/>
      <c r="C447" s="8"/>
      <c r="D447" s="8"/>
      <c r="E447" s="8"/>
      <c r="F447" s="7"/>
      <c r="G447" s="7"/>
      <c r="H447" s="7"/>
    </row>
    <row r="448" customFormat="false" ht="13.8" hidden="false" customHeight="false" outlineLevel="0" collapsed="false">
      <c r="A448" s="7"/>
      <c r="B448" s="8"/>
      <c r="C448" s="8"/>
      <c r="D448" s="8"/>
      <c r="E448" s="8"/>
      <c r="F448" s="7"/>
      <c r="G448" s="7"/>
      <c r="H448" s="7"/>
    </row>
    <row r="449" customFormat="false" ht="13.8" hidden="false" customHeight="false" outlineLevel="0" collapsed="false">
      <c r="A449" s="7"/>
      <c r="B449" s="8"/>
      <c r="C449" s="8"/>
      <c r="D449" s="8"/>
      <c r="E449" s="8"/>
      <c r="F449" s="7"/>
      <c r="G449" s="7"/>
      <c r="H449" s="7"/>
    </row>
    <row r="450" customFormat="false" ht="13.8" hidden="false" customHeight="false" outlineLevel="0" collapsed="false">
      <c r="A450" s="7"/>
      <c r="B450" s="8"/>
      <c r="C450" s="8"/>
      <c r="D450" s="8"/>
      <c r="E450" s="8"/>
      <c r="F450" s="7"/>
      <c r="G450" s="7"/>
      <c r="H450" s="7"/>
    </row>
    <row r="451" customFormat="false" ht="13.8" hidden="false" customHeight="false" outlineLevel="0" collapsed="false">
      <c r="A451" s="7"/>
      <c r="B451" s="8"/>
      <c r="C451" s="8"/>
      <c r="D451" s="8"/>
      <c r="E451" s="8"/>
      <c r="F451" s="7"/>
      <c r="G451" s="7"/>
      <c r="H451" s="7"/>
    </row>
    <row r="452" customFormat="false" ht="13.8" hidden="false" customHeight="false" outlineLevel="0" collapsed="false">
      <c r="A452" s="7"/>
      <c r="B452" s="8"/>
      <c r="C452" s="8"/>
      <c r="D452" s="8"/>
      <c r="E452" s="8"/>
      <c r="F452" s="7"/>
      <c r="G452" s="7"/>
      <c r="H452" s="7"/>
    </row>
    <row r="453" customFormat="false" ht="13.8" hidden="false" customHeight="false" outlineLevel="0" collapsed="false">
      <c r="A453" s="7"/>
      <c r="B453" s="8"/>
      <c r="C453" s="8"/>
      <c r="D453" s="8"/>
      <c r="E453" s="8"/>
      <c r="F453" s="7"/>
      <c r="G453" s="7"/>
      <c r="H453" s="7"/>
    </row>
    <row r="454" customFormat="false" ht="13.8" hidden="false" customHeight="false" outlineLevel="0" collapsed="false">
      <c r="A454" s="7"/>
      <c r="B454" s="8"/>
      <c r="C454" s="8"/>
      <c r="D454" s="8"/>
      <c r="E454" s="8"/>
      <c r="F454" s="7"/>
      <c r="G454" s="7"/>
      <c r="H454" s="7"/>
    </row>
    <row r="455" customFormat="false" ht="13.8" hidden="false" customHeight="false" outlineLevel="0" collapsed="false">
      <c r="A455" s="7"/>
      <c r="B455" s="8"/>
      <c r="C455" s="8"/>
      <c r="D455" s="8"/>
      <c r="E455" s="8"/>
      <c r="F455" s="7"/>
      <c r="G455" s="7"/>
      <c r="H455" s="7"/>
    </row>
    <row r="456" customFormat="false" ht="13.8" hidden="false" customHeight="false" outlineLevel="0" collapsed="false">
      <c r="A456" s="7"/>
      <c r="B456" s="8"/>
      <c r="C456" s="8"/>
      <c r="D456" s="8"/>
      <c r="E456" s="8"/>
      <c r="F456" s="7"/>
      <c r="G456" s="7"/>
      <c r="H456" s="7"/>
    </row>
    <row r="457" customFormat="false" ht="13.8" hidden="false" customHeight="false" outlineLevel="0" collapsed="false">
      <c r="A457" s="7"/>
      <c r="B457" s="8"/>
      <c r="C457" s="8"/>
      <c r="D457" s="8"/>
      <c r="E457" s="8"/>
      <c r="F457" s="7"/>
      <c r="G457" s="7"/>
      <c r="H457" s="7"/>
    </row>
    <row r="458" customFormat="false" ht="13.8" hidden="false" customHeight="false" outlineLevel="0" collapsed="false">
      <c r="A458" s="7"/>
      <c r="B458" s="8"/>
      <c r="C458" s="8"/>
      <c r="D458" s="8"/>
      <c r="E458" s="8"/>
      <c r="F458" s="7"/>
      <c r="G458" s="7"/>
      <c r="H458" s="7"/>
    </row>
    <row r="459" customFormat="false" ht="13.8" hidden="false" customHeight="false" outlineLevel="0" collapsed="false">
      <c r="A459" s="7"/>
      <c r="B459" s="8"/>
      <c r="C459" s="8"/>
      <c r="D459" s="8"/>
      <c r="E459" s="8"/>
      <c r="F459" s="7"/>
      <c r="G459" s="7"/>
      <c r="H459" s="7"/>
    </row>
    <row r="460" customFormat="false" ht="13.8" hidden="false" customHeight="false" outlineLevel="0" collapsed="false">
      <c r="A460" s="7"/>
      <c r="B460" s="8"/>
      <c r="C460" s="8"/>
      <c r="D460" s="8"/>
      <c r="E460" s="8"/>
      <c r="F460" s="7"/>
      <c r="G460" s="7"/>
      <c r="H460" s="7"/>
    </row>
    <row r="461" customFormat="false" ht="13.8" hidden="false" customHeight="false" outlineLevel="0" collapsed="false">
      <c r="A461" s="7"/>
      <c r="B461" s="8"/>
      <c r="C461" s="8"/>
      <c r="D461" s="8"/>
      <c r="E461" s="8"/>
      <c r="F461" s="7"/>
      <c r="G461" s="7"/>
      <c r="H461" s="7"/>
    </row>
    <row r="462" customFormat="false" ht="13.8" hidden="false" customHeight="false" outlineLevel="0" collapsed="false">
      <c r="A462" s="7"/>
      <c r="B462" s="8"/>
      <c r="C462" s="8"/>
      <c r="D462" s="8"/>
      <c r="E462" s="8"/>
      <c r="F462" s="7"/>
      <c r="G462" s="7"/>
      <c r="H462" s="7"/>
    </row>
    <row r="463" customFormat="false" ht="13.8" hidden="false" customHeight="false" outlineLevel="0" collapsed="false">
      <c r="A463" s="7"/>
      <c r="B463" s="8"/>
      <c r="C463" s="8"/>
      <c r="D463" s="8"/>
      <c r="E463" s="8"/>
      <c r="F463" s="7"/>
      <c r="G463" s="7"/>
      <c r="H463" s="7"/>
    </row>
    <row r="464" customFormat="false" ht="13.8" hidden="false" customHeight="false" outlineLevel="0" collapsed="false">
      <c r="A464" s="7"/>
      <c r="B464" s="8"/>
      <c r="C464" s="8"/>
      <c r="D464" s="8"/>
      <c r="E464" s="8"/>
      <c r="F464" s="7"/>
      <c r="G464" s="7"/>
      <c r="H464" s="7"/>
    </row>
    <row r="465" customFormat="false" ht="13.8" hidden="false" customHeight="false" outlineLevel="0" collapsed="false">
      <c r="A465" s="7"/>
      <c r="B465" s="8"/>
      <c r="C465" s="8"/>
      <c r="D465" s="8"/>
      <c r="E465" s="8"/>
      <c r="F465" s="7"/>
      <c r="G465" s="7"/>
      <c r="H465" s="7"/>
    </row>
    <row r="466" customFormat="false" ht="13.8" hidden="false" customHeight="false" outlineLevel="0" collapsed="false">
      <c r="A466" s="7"/>
      <c r="B466" s="8"/>
      <c r="C466" s="8"/>
      <c r="D466" s="8"/>
      <c r="E466" s="8"/>
      <c r="F466" s="7"/>
      <c r="G466" s="7"/>
      <c r="H466" s="7"/>
    </row>
    <row r="467" customFormat="false" ht="13.8" hidden="false" customHeight="false" outlineLevel="0" collapsed="false">
      <c r="A467" s="7"/>
      <c r="B467" s="8"/>
      <c r="C467" s="8"/>
      <c r="D467" s="8"/>
      <c r="E467" s="8"/>
      <c r="F467" s="7"/>
      <c r="G467" s="7"/>
      <c r="H467" s="7"/>
    </row>
    <row r="468" customFormat="false" ht="13.8" hidden="false" customHeight="false" outlineLevel="0" collapsed="false">
      <c r="A468" s="7"/>
      <c r="B468" s="8"/>
      <c r="C468" s="8"/>
      <c r="D468" s="8"/>
      <c r="E468" s="8"/>
      <c r="F468" s="7"/>
      <c r="G468" s="7"/>
      <c r="H468" s="7"/>
    </row>
    <row r="469" customFormat="false" ht="13.8" hidden="false" customHeight="false" outlineLevel="0" collapsed="false">
      <c r="A469" s="7"/>
      <c r="B469" s="8"/>
      <c r="C469" s="8"/>
      <c r="D469" s="8"/>
      <c r="E469" s="8"/>
      <c r="F469" s="7"/>
      <c r="G469" s="7"/>
      <c r="H469" s="7"/>
    </row>
    <row r="470" customFormat="false" ht="13.8" hidden="false" customHeight="false" outlineLevel="0" collapsed="false">
      <c r="A470" s="7"/>
      <c r="B470" s="8"/>
      <c r="C470" s="8"/>
      <c r="D470" s="8"/>
      <c r="E470" s="8"/>
      <c r="F470" s="7"/>
      <c r="G470" s="7"/>
      <c r="H470" s="7"/>
    </row>
    <row r="471" customFormat="false" ht="13.8" hidden="false" customHeight="false" outlineLevel="0" collapsed="false">
      <c r="A471" s="7"/>
      <c r="B471" s="8"/>
      <c r="C471" s="8"/>
      <c r="D471" s="8"/>
      <c r="E471" s="8"/>
      <c r="F471" s="7"/>
      <c r="G471" s="7"/>
      <c r="H471" s="7"/>
    </row>
    <row r="472" customFormat="false" ht="13.8" hidden="false" customHeight="false" outlineLevel="0" collapsed="false">
      <c r="A472" s="7"/>
      <c r="B472" s="8"/>
      <c r="C472" s="8"/>
      <c r="D472" s="8"/>
      <c r="E472" s="8"/>
      <c r="F472" s="7"/>
      <c r="G472" s="7"/>
      <c r="H472" s="7"/>
    </row>
    <row r="473" customFormat="false" ht="13.8" hidden="false" customHeight="false" outlineLevel="0" collapsed="false">
      <c r="A473" s="7"/>
      <c r="B473" s="8"/>
      <c r="C473" s="8"/>
      <c r="D473" s="8"/>
      <c r="E473" s="8"/>
      <c r="F473" s="7"/>
      <c r="G473" s="7"/>
      <c r="H473" s="7"/>
    </row>
    <row r="474" customFormat="false" ht="13.8" hidden="false" customHeight="false" outlineLevel="0" collapsed="false">
      <c r="A474" s="7"/>
      <c r="B474" s="8"/>
      <c r="C474" s="8"/>
      <c r="D474" s="8"/>
      <c r="E474" s="8"/>
      <c r="F474" s="7"/>
      <c r="G474" s="7"/>
      <c r="H474" s="7"/>
    </row>
    <row r="475" customFormat="false" ht="13.8" hidden="false" customHeight="false" outlineLevel="0" collapsed="false">
      <c r="A475" s="7"/>
      <c r="B475" s="8"/>
      <c r="C475" s="8"/>
      <c r="D475" s="8"/>
      <c r="E475" s="8"/>
      <c r="F475" s="7"/>
      <c r="G475" s="7"/>
      <c r="H475" s="7"/>
    </row>
    <row r="476" customFormat="false" ht="13.8" hidden="false" customHeight="false" outlineLevel="0" collapsed="false">
      <c r="A476" s="7"/>
      <c r="B476" s="8"/>
      <c r="C476" s="8"/>
      <c r="D476" s="8"/>
      <c r="E476" s="8"/>
      <c r="F476" s="7"/>
      <c r="G476" s="7"/>
      <c r="H476" s="7"/>
    </row>
    <row r="477" customFormat="false" ht="13.8" hidden="false" customHeight="false" outlineLevel="0" collapsed="false">
      <c r="A477" s="7"/>
      <c r="B477" s="8"/>
      <c r="C477" s="8"/>
      <c r="D477" s="8"/>
      <c r="E477" s="8"/>
      <c r="F477" s="7"/>
      <c r="G477" s="7"/>
      <c r="H477" s="7"/>
    </row>
    <row r="478" customFormat="false" ht="13.8" hidden="false" customHeight="false" outlineLevel="0" collapsed="false">
      <c r="A478" s="7"/>
      <c r="B478" s="8"/>
      <c r="C478" s="8"/>
      <c r="D478" s="8"/>
      <c r="E478" s="8"/>
      <c r="F478" s="7"/>
      <c r="G478" s="7"/>
      <c r="H478" s="7"/>
    </row>
    <row r="479" customFormat="false" ht="13.8" hidden="false" customHeight="false" outlineLevel="0" collapsed="false">
      <c r="A479" s="7"/>
      <c r="B479" s="8"/>
      <c r="C479" s="8"/>
      <c r="D479" s="8"/>
      <c r="E479" s="8"/>
      <c r="F479" s="7"/>
      <c r="G479" s="7"/>
      <c r="H479" s="7"/>
    </row>
    <row r="480" customFormat="false" ht="13.8" hidden="false" customHeight="false" outlineLevel="0" collapsed="false">
      <c r="A480" s="7"/>
      <c r="B480" s="8"/>
      <c r="C480" s="8"/>
      <c r="D480" s="8"/>
      <c r="E480" s="8"/>
      <c r="F480" s="7"/>
      <c r="G480" s="7"/>
      <c r="H480" s="7"/>
    </row>
    <row r="481" customFormat="false" ht="13.8" hidden="false" customHeight="false" outlineLevel="0" collapsed="false">
      <c r="A481" s="7"/>
      <c r="B481" s="8"/>
      <c r="C481" s="8"/>
      <c r="D481" s="8"/>
      <c r="E481" s="8"/>
      <c r="F481" s="7"/>
      <c r="G481" s="7"/>
      <c r="H481" s="7"/>
    </row>
    <row r="482" customFormat="false" ht="13.8" hidden="false" customHeight="false" outlineLevel="0" collapsed="false">
      <c r="A482" s="7"/>
      <c r="B482" s="8"/>
      <c r="C482" s="8"/>
      <c r="D482" s="8"/>
      <c r="E482" s="8"/>
      <c r="F482" s="7"/>
      <c r="G482" s="7"/>
      <c r="H482" s="7"/>
    </row>
    <row r="483" customFormat="false" ht="13.8" hidden="false" customHeight="false" outlineLevel="0" collapsed="false">
      <c r="A483" s="7"/>
      <c r="B483" s="8"/>
      <c r="C483" s="8"/>
      <c r="D483" s="8"/>
      <c r="E483" s="8"/>
      <c r="F483" s="7"/>
      <c r="G483" s="7"/>
      <c r="H483" s="7"/>
    </row>
    <row r="484" customFormat="false" ht="13.8" hidden="false" customHeight="false" outlineLevel="0" collapsed="false">
      <c r="A484" s="7"/>
      <c r="B484" s="8"/>
      <c r="C484" s="8"/>
      <c r="D484" s="8"/>
      <c r="E484" s="8"/>
      <c r="F484" s="7"/>
      <c r="G484" s="7"/>
      <c r="H484" s="7"/>
    </row>
    <row r="485" customFormat="false" ht="13.8" hidden="false" customHeight="false" outlineLevel="0" collapsed="false">
      <c r="A485" s="7"/>
      <c r="B485" s="8"/>
      <c r="C485" s="8"/>
      <c r="D485" s="8"/>
      <c r="E485" s="8"/>
      <c r="F485" s="7"/>
      <c r="G485" s="7"/>
      <c r="H485" s="7"/>
    </row>
    <row r="486" customFormat="false" ht="13.8" hidden="false" customHeight="false" outlineLevel="0" collapsed="false">
      <c r="A486" s="7"/>
      <c r="B486" s="8"/>
      <c r="C486" s="8"/>
      <c r="D486" s="8"/>
      <c r="E486" s="8"/>
      <c r="F486" s="7"/>
      <c r="G486" s="7"/>
      <c r="H486" s="7"/>
    </row>
    <row r="487" customFormat="false" ht="13.8" hidden="false" customHeight="false" outlineLevel="0" collapsed="false">
      <c r="A487" s="7"/>
      <c r="B487" s="8"/>
      <c r="C487" s="8"/>
      <c r="D487" s="8"/>
      <c r="E487" s="8"/>
      <c r="F487" s="7"/>
      <c r="G487" s="7"/>
      <c r="H487" s="7"/>
    </row>
    <row r="488" customFormat="false" ht="13.8" hidden="false" customHeight="false" outlineLevel="0" collapsed="false">
      <c r="A488" s="7"/>
      <c r="B488" s="8"/>
      <c r="C488" s="8"/>
      <c r="D488" s="8"/>
      <c r="E488" s="8"/>
      <c r="F488" s="7"/>
      <c r="G488" s="7"/>
      <c r="H488" s="7"/>
    </row>
    <row r="489" customFormat="false" ht="13.8" hidden="false" customHeight="false" outlineLevel="0" collapsed="false">
      <c r="A489" s="7"/>
      <c r="B489" s="8"/>
      <c r="C489" s="8"/>
      <c r="D489" s="8"/>
      <c r="E489" s="8"/>
      <c r="F489" s="7"/>
      <c r="G489" s="7"/>
      <c r="H489" s="7"/>
    </row>
    <row r="490" customFormat="false" ht="13.8" hidden="false" customHeight="false" outlineLevel="0" collapsed="false">
      <c r="A490" s="7"/>
      <c r="B490" s="8"/>
      <c r="C490" s="8"/>
      <c r="D490" s="8"/>
      <c r="E490" s="8"/>
      <c r="F490" s="7"/>
      <c r="G490" s="7"/>
      <c r="H490" s="7"/>
    </row>
    <row r="491" customFormat="false" ht="13.8" hidden="false" customHeight="false" outlineLevel="0" collapsed="false">
      <c r="A491" s="7"/>
      <c r="B491" s="8"/>
      <c r="C491" s="8"/>
      <c r="D491" s="8"/>
      <c r="E491" s="8"/>
      <c r="F491" s="7"/>
      <c r="G491" s="7"/>
      <c r="H491" s="7"/>
    </row>
    <row r="492" customFormat="false" ht="13.8" hidden="false" customHeight="false" outlineLevel="0" collapsed="false">
      <c r="A492" s="7"/>
      <c r="B492" s="8"/>
      <c r="C492" s="8"/>
      <c r="D492" s="8"/>
      <c r="E492" s="8"/>
      <c r="F492" s="7"/>
      <c r="G492" s="7"/>
      <c r="H492" s="7"/>
    </row>
    <row r="493" customFormat="false" ht="13.8" hidden="false" customHeight="false" outlineLevel="0" collapsed="false">
      <c r="A493" s="7"/>
      <c r="B493" s="8"/>
      <c r="C493" s="8"/>
      <c r="D493" s="8"/>
      <c r="E493" s="8"/>
      <c r="F493" s="7"/>
      <c r="G493" s="7"/>
      <c r="H493" s="7"/>
    </row>
    <row r="494" customFormat="false" ht="13.8" hidden="false" customHeight="false" outlineLevel="0" collapsed="false">
      <c r="A494" s="7"/>
      <c r="B494" s="8"/>
      <c r="C494" s="8"/>
      <c r="D494" s="8"/>
      <c r="E494" s="8"/>
      <c r="F494" s="7"/>
      <c r="G494" s="7"/>
      <c r="H494" s="7"/>
    </row>
    <row r="495" customFormat="false" ht="13.8" hidden="false" customHeight="false" outlineLevel="0" collapsed="false">
      <c r="A495" s="7"/>
      <c r="B495" s="8"/>
      <c r="C495" s="8"/>
      <c r="D495" s="8"/>
      <c r="E495" s="8"/>
      <c r="F495" s="7"/>
      <c r="G495" s="7"/>
      <c r="H495" s="7"/>
    </row>
    <row r="496" customFormat="false" ht="13.8" hidden="false" customHeight="false" outlineLevel="0" collapsed="false">
      <c r="A496" s="7"/>
      <c r="B496" s="8"/>
      <c r="C496" s="8"/>
      <c r="D496" s="8"/>
      <c r="E496" s="8"/>
      <c r="F496" s="7"/>
      <c r="G496" s="7"/>
      <c r="H496" s="7"/>
    </row>
    <row r="497" customFormat="false" ht="13.8" hidden="false" customHeight="false" outlineLevel="0" collapsed="false">
      <c r="A497" s="7"/>
      <c r="B497" s="8"/>
      <c r="C497" s="8"/>
      <c r="D497" s="8"/>
      <c r="E497" s="8"/>
      <c r="F497" s="7"/>
      <c r="G497" s="7"/>
      <c r="H497" s="7"/>
    </row>
    <row r="498" customFormat="false" ht="13.8" hidden="false" customHeight="false" outlineLevel="0" collapsed="false">
      <c r="A498" s="7"/>
      <c r="B498" s="8"/>
      <c r="C498" s="8"/>
      <c r="D498" s="8"/>
      <c r="E498" s="8"/>
      <c r="F498" s="7"/>
      <c r="G498" s="7"/>
      <c r="H498" s="7"/>
    </row>
    <row r="499" customFormat="false" ht="13.8" hidden="false" customHeight="false" outlineLevel="0" collapsed="false">
      <c r="A499" s="7"/>
      <c r="B499" s="8"/>
      <c r="C499" s="8"/>
      <c r="D499" s="8"/>
      <c r="E499" s="8"/>
      <c r="F499" s="7"/>
      <c r="G499" s="7"/>
      <c r="H499" s="7"/>
    </row>
    <row r="500" customFormat="false" ht="13.8" hidden="false" customHeight="false" outlineLevel="0" collapsed="false">
      <c r="A500" s="7"/>
      <c r="B500" s="8"/>
      <c r="C500" s="8"/>
      <c r="D500" s="8"/>
      <c r="E500" s="8"/>
      <c r="F500" s="7"/>
      <c r="G500" s="7"/>
      <c r="H500" s="7"/>
    </row>
    <row r="501" customFormat="false" ht="13.8" hidden="false" customHeight="false" outlineLevel="0" collapsed="false">
      <c r="A501" s="7"/>
      <c r="B501" s="8"/>
      <c r="C501" s="8"/>
      <c r="D501" s="8"/>
      <c r="E501" s="8"/>
      <c r="F501" s="7"/>
      <c r="G501" s="7"/>
      <c r="H501" s="7"/>
    </row>
    <row r="502" customFormat="false" ht="13.8" hidden="false" customHeight="false" outlineLevel="0" collapsed="false">
      <c r="A502" s="7"/>
      <c r="B502" s="8"/>
      <c r="C502" s="8"/>
      <c r="D502" s="8"/>
      <c r="E502" s="8"/>
      <c r="F502" s="7"/>
      <c r="G502" s="7"/>
      <c r="H502" s="7"/>
    </row>
    <row r="503" customFormat="false" ht="13.8" hidden="false" customHeight="false" outlineLevel="0" collapsed="false">
      <c r="A503" s="7"/>
      <c r="B503" s="8"/>
      <c r="C503" s="8"/>
      <c r="D503" s="8"/>
      <c r="E503" s="8"/>
      <c r="F503" s="7"/>
      <c r="G503" s="7"/>
      <c r="H503" s="7"/>
    </row>
    <row r="504" customFormat="false" ht="13.8" hidden="false" customHeight="false" outlineLevel="0" collapsed="false">
      <c r="A504" s="7"/>
      <c r="B504" s="8"/>
      <c r="C504" s="8"/>
      <c r="D504" s="8"/>
      <c r="E504" s="8"/>
      <c r="F504" s="7"/>
      <c r="G504" s="7"/>
      <c r="H504" s="7"/>
    </row>
    <row r="505" customFormat="false" ht="13.8" hidden="false" customHeight="false" outlineLevel="0" collapsed="false">
      <c r="A505" s="7"/>
      <c r="B505" s="8"/>
      <c r="C505" s="8"/>
      <c r="D505" s="8"/>
      <c r="E505" s="8"/>
      <c r="F505" s="7"/>
      <c r="G505" s="7"/>
      <c r="H505" s="7"/>
    </row>
    <row r="506" customFormat="false" ht="13.8" hidden="false" customHeight="false" outlineLevel="0" collapsed="false">
      <c r="A506" s="7"/>
      <c r="B506" s="8"/>
      <c r="C506" s="8"/>
      <c r="D506" s="8"/>
      <c r="E506" s="8"/>
      <c r="F506" s="7"/>
      <c r="G506" s="7"/>
      <c r="H506" s="7"/>
    </row>
    <row r="507" customFormat="false" ht="13.8" hidden="false" customHeight="false" outlineLevel="0" collapsed="false">
      <c r="A507" s="7"/>
      <c r="B507" s="8"/>
      <c r="C507" s="8"/>
      <c r="D507" s="8"/>
      <c r="E507" s="8"/>
      <c r="F507" s="7"/>
      <c r="G507" s="7"/>
      <c r="H507" s="7"/>
    </row>
    <row r="508" customFormat="false" ht="13.8" hidden="false" customHeight="false" outlineLevel="0" collapsed="false">
      <c r="A508" s="7"/>
      <c r="B508" s="8"/>
      <c r="C508" s="8"/>
      <c r="D508" s="8"/>
      <c r="E508" s="8"/>
      <c r="F508" s="7"/>
      <c r="G508" s="7"/>
      <c r="H508" s="7"/>
    </row>
    <row r="509" customFormat="false" ht="13.8" hidden="false" customHeight="false" outlineLevel="0" collapsed="false">
      <c r="A509" s="7"/>
      <c r="B509" s="8"/>
      <c r="C509" s="8"/>
      <c r="D509" s="8"/>
      <c r="E509" s="8"/>
      <c r="F509" s="7"/>
      <c r="G509" s="7"/>
      <c r="H509" s="7"/>
    </row>
    <row r="510" customFormat="false" ht="13.8" hidden="false" customHeight="false" outlineLevel="0" collapsed="false">
      <c r="A510" s="7"/>
      <c r="B510" s="8"/>
      <c r="C510" s="8"/>
      <c r="D510" s="8"/>
      <c r="E510" s="8"/>
      <c r="F510" s="7"/>
      <c r="G510" s="7"/>
      <c r="H510" s="7"/>
    </row>
    <row r="511" customFormat="false" ht="13.8" hidden="false" customHeight="false" outlineLevel="0" collapsed="false">
      <c r="A511" s="7"/>
      <c r="B511" s="8"/>
      <c r="C511" s="8"/>
      <c r="D511" s="8"/>
      <c r="E511" s="8"/>
      <c r="F511" s="7"/>
      <c r="G511" s="7"/>
      <c r="H511" s="7"/>
    </row>
    <row r="512" customFormat="false" ht="13.8" hidden="false" customHeight="false" outlineLevel="0" collapsed="false">
      <c r="A512" s="7"/>
      <c r="B512" s="8"/>
      <c r="C512" s="8"/>
      <c r="D512" s="8"/>
      <c r="E512" s="8"/>
      <c r="F512" s="7"/>
      <c r="G512" s="7"/>
      <c r="H512" s="7"/>
    </row>
    <row r="513" customFormat="false" ht="13.8" hidden="false" customHeight="false" outlineLevel="0" collapsed="false">
      <c r="A513" s="7"/>
      <c r="B513" s="8"/>
      <c r="C513" s="8"/>
      <c r="D513" s="8"/>
      <c r="E513" s="8"/>
      <c r="F513" s="7"/>
      <c r="G513" s="7"/>
      <c r="H513" s="7"/>
    </row>
    <row r="514" customFormat="false" ht="13.8" hidden="false" customHeight="false" outlineLevel="0" collapsed="false">
      <c r="A514" s="7"/>
      <c r="B514" s="8"/>
      <c r="C514" s="8"/>
      <c r="D514" s="8"/>
      <c r="E514" s="8"/>
      <c r="F514" s="7"/>
      <c r="G514" s="7"/>
      <c r="H514" s="7"/>
    </row>
    <row r="515" customFormat="false" ht="13.8" hidden="false" customHeight="false" outlineLevel="0" collapsed="false">
      <c r="A515" s="7"/>
      <c r="B515" s="8"/>
      <c r="C515" s="8"/>
      <c r="D515" s="8"/>
      <c r="E515" s="8"/>
      <c r="F515" s="7"/>
      <c r="G515" s="7"/>
      <c r="H515" s="7"/>
    </row>
    <row r="516" customFormat="false" ht="13.8" hidden="false" customHeight="false" outlineLevel="0" collapsed="false">
      <c r="A516" s="7"/>
      <c r="B516" s="8"/>
      <c r="C516" s="8"/>
      <c r="D516" s="8"/>
      <c r="E516" s="8"/>
      <c r="F516" s="7"/>
      <c r="G516" s="7"/>
      <c r="H516" s="7"/>
    </row>
    <row r="517" customFormat="false" ht="13.8" hidden="false" customHeight="false" outlineLevel="0" collapsed="false">
      <c r="A517" s="7"/>
      <c r="B517" s="8"/>
      <c r="C517" s="8"/>
      <c r="D517" s="8"/>
      <c r="E517" s="8"/>
      <c r="F517" s="7"/>
      <c r="G517" s="7"/>
      <c r="H517" s="7"/>
    </row>
    <row r="518" customFormat="false" ht="13.8" hidden="false" customHeight="false" outlineLevel="0" collapsed="false">
      <c r="A518" s="7"/>
      <c r="B518" s="8"/>
      <c r="C518" s="8"/>
      <c r="D518" s="8"/>
      <c r="E518" s="8"/>
      <c r="F518" s="7"/>
      <c r="G518" s="7"/>
      <c r="H518" s="7"/>
    </row>
    <row r="519" customFormat="false" ht="13.8" hidden="false" customHeight="false" outlineLevel="0" collapsed="false">
      <c r="A519" s="7"/>
      <c r="B519" s="8"/>
      <c r="C519" s="8"/>
      <c r="D519" s="8"/>
      <c r="E519" s="8"/>
      <c r="F519" s="7"/>
      <c r="G519" s="7"/>
      <c r="H519" s="7"/>
    </row>
    <row r="520" customFormat="false" ht="13.8" hidden="false" customHeight="false" outlineLevel="0" collapsed="false">
      <c r="A520" s="7"/>
      <c r="B520" s="8"/>
      <c r="C520" s="8"/>
      <c r="D520" s="8"/>
      <c r="E520" s="8"/>
      <c r="F520" s="7"/>
      <c r="G520" s="7"/>
      <c r="H520" s="7"/>
    </row>
    <row r="521" customFormat="false" ht="13.8" hidden="false" customHeight="false" outlineLevel="0" collapsed="false">
      <c r="A521" s="7"/>
      <c r="B521" s="8"/>
      <c r="C521" s="8"/>
      <c r="D521" s="8"/>
      <c r="E521" s="8"/>
      <c r="F521" s="7"/>
      <c r="G521" s="7"/>
      <c r="H521" s="7"/>
    </row>
    <row r="522" customFormat="false" ht="13.8" hidden="false" customHeight="false" outlineLevel="0" collapsed="false">
      <c r="A522" s="7"/>
      <c r="B522" s="8"/>
      <c r="C522" s="8"/>
      <c r="D522" s="8"/>
      <c r="E522" s="8"/>
      <c r="F522" s="7"/>
      <c r="G522" s="7"/>
      <c r="H522" s="7"/>
    </row>
    <row r="523" customFormat="false" ht="13.8" hidden="false" customHeight="false" outlineLevel="0" collapsed="false">
      <c r="A523" s="7"/>
      <c r="B523" s="8"/>
      <c r="C523" s="8"/>
      <c r="D523" s="8"/>
      <c r="E523" s="8"/>
      <c r="F523" s="7"/>
      <c r="G523" s="7"/>
      <c r="H523" s="7"/>
    </row>
    <row r="524" customFormat="false" ht="13.8" hidden="false" customHeight="false" outlineLevel="0" collapsed="false">
      <c r="A524" s="7"/>
      <c r="B524" s="8"/>
      <c r="C524" s="8"/>
      <c r="D524" s="8"/>
      <c r="E524" s="8"/>
      <c r="F524" s="7"/>
      <c r="G524" s="7"/>
      <c r="H524" s="7"/>
    </row>
    <row r="525" customFormat="false" ht="13.8" hidden="false" customHeight="false" outlineLevel="0" collapsed="false">
      <c r="A525" s="7"/>
      <c r="B525" s="8"/>
      <c r="C525" s="8"/>
      <c r="D525" s="8"/>
      <c r="E525" s="8"/>
      <c r="F525" s="7"/>
      <c r="G525" s="7"/>
      <c r="H525" s="7"/>
    </row>
    <row r="526" customFormat="false" ht="13.8" hidden="false" customHeight="false" outlineLevel="0" collapsed="false">
      <c r="A526" s="7"/>
      <c r="B526" s="8"/>
      <c r="C526" s="8"/>
      <c r="D526" s="8"/>
      <c r="E526" s="8"/>
      <c r="F526" s="7"/>
      <c r="G526" s="7"/>
      <c r="H526" s="7"/>
    </row>
    <row r="527" customFormat="false" ht="13.8" hidden="false" customHeight="false" outlineLevel="0" collapsed="false">
      <c r="A527" s="7"/>
      <c r="B527" s="8"/>
      <c r="C527" s="8"/>
      <c r="D527" s="8"/>
      <c r="E527" s="8"/>
      <c r="F527" s="7"/>
      <c r="G527" s="7"/>
      <c r="H527" s="7"/>
    </row>
    <row r="528" customFormat="false" ht="13.8" hidden="false" customHeight="false" outlineLevel="0" collapsed="false">
      <c r="A528" s="7"/>
      <c r="B528" s="8"/>
      <c r="C528" s="8"/>
      <c r="D528" s="8"/>
      <c r="E528" s="8"/>
      <c r="F528" s="7"/>
      <c r="G528" s="7"/>
      <c r="H528" s="7"/>
    </row>
    <row r="529" customFormat="false" ht="13.8" hidden="false" customHeight="false" outlineLevel="0" collapsed="false">
      <c r="A529" s="7"/>
      <c r="B529" s="8"/>
      <c r="C529" s="8"/>
      <c r="D529" s="8"/>
      <c r="E529" s="8"/>
      <c r="F529" s="7"/>
      <c r="G529" s="7"/>
      <c r="H529" s="7"/>
    </row>
    <row r="530" customFormat="false" ht="13.8" hidden="false" customHeight="false" outlineLevel="0" collapsed="false">
      <c r="A530" s="7"/>
      <c r="B530" s="8"/>
      <c r="C530" s="8"/>
      <c r="D530" s="8"/>
      <c r="E530" s="8"/>
      <c r="F530" s="7"/>
      <c r="G530" s="7"/>
      <c r="H530" s="7"/>
    </row>
    <row r="531" customFormat="false" ht="13.8" hidden="false" customHeight="false" outlineLevel="0" collapsed="false">
      <c r="A531" s="7"/>
      <c r="B531" s="8"/>
      <c r="C531" s="8"/>
      <c r="D531" s="8"/>
      <c r="E531" s="8"/>
      <c r="F531" s="7"/>
      <c r="G531" s="7"/>
      <c r="H531" s="7"/>
    </row>
    <row r="532" customFormat="false" ht="13.8" hidden="false" customHeight="false" outlineLevel="0" collapsed="false">
      <c r="A532" s="7"/>
      <c r="B532" s="8"/>
      <c r="C532" s="8"/>
      <c r="D532" s="8"/>
      <c r="E532" s="8"/>
      <c r="F532" s="7"/>
      <c r="G532" s="7"/>
      <c r="H532" s="7"/>
    </row>
    <row r="533" customFormat="false" ht="13.8" hidden="false" customHeight="false" outlineLevel="0" collapsed="false">
      <c r="A533" s="7"/>
      <c r="B533" s="8"/>
      <c r="C533" s="8"/>
      <c r="D533" s="8"/>
      <c r="E533" s="8"/>
      <c r="F533" s="7"/>
      <c r="G533" s="7"/>
      <c r="H533" s="7"/>
    </row>
    <row r="534" customFormat="false" ht="13.8" hidden="false" customHeight="false" outlineLevel="0" collapsed="false">
      <c r="A534" s="7"/>
      <c r="B534" s="8"/>
      <c r="C534" s="8"/>
      <c r="D534" s="8"/>
      <c r="E534" s="8"/>
      <c r="F534" s="7"/>
      <c r="G534" s="7"/>
      <c r="H534" s="7"/>
    </row>
    <row r="535" customFormat="false" ht="13.8" hidden="false" customHeight="false" outlineLevel="0" collapsed="false">
      <c r="A535" s="7"/>
      <c r="B535" s="8"/>
      <c r="C535" s="8"/>
      <c r="D535" s="8"/>
      <c r="E535" s="8"/>
      <c r="F535" s="7"/>
      <c r="G535" s="7"/>
      <c r="H535" s="7"/>
    </row>
    <row r="536" customFormat="false" ht="13.8" hidden="false" customHeight="false" outlineLevel="0" collapsed="false">
      <c r="A536" s="7"/>
      <c r="B536" s="8"/>
      <c r="C536" s="8"/>
      <c r="D536" s="8"/>
      <c r="E536" s="8"/>
      <c r="F536" s="7"/>
      <c r="G536" s="7"/>
      <c r="H536" s="7"/>
    </row>
    <row r="537" customFormat="false" ht="13.8" hidden="false" customHeight="false" outlineLevel="0" collapsed="false">
      <c r="A537" s="7"/>
      <c r="B537" s="8"/>
      <c r="C537" s="8"/>
      <c r="D537" s="8"/>
      <c r="E537" s="8"/>
      <c r="F537" s="7"/>
      <c r="G537" s="7"/>
      <c r="H537" s="7"/>
    </row>
    <row r="538" customFormat="false" ht="13.8" hidden="false" customHeight="false" outlineLevel="0" collapsed="false">
      <c r="A538" s="7"/>
      <c r="B538" s="8"/>
      <c r="C538" s="8"/>
      <c r="D538" s="8"/>
      <c r="E538" s="8"/>
      <c r="F538" s="7"/>
      <c r="G538" s="7"/>
      <c r="H538" s="7"/>
    </row>
    <row r="539" customFormat="false" ht="13.8" hidden="false" customHeight="false" outlineLevel="0" collapsed="false">
      <c r="A539" s="7"/>
      <c r="B539" s="8"/>
      <c r="C539" s="8"/>
      <c r="D539" s="8"/>
      <c r="E539" s="8"/>
      <c r="F539" s="7"/>
      <c r="G539" s="7"/>
      <c r="H539" s="7"/>
    </row>
    <row r="540" customFormat="false" ht="13.8" hidden="false" customHeight="false" outlineLevel="0" collapsed="false">
      <c r="A540" s="7"/>
      <c r="B540" s="8"/>
      <c r="C540" s="8"/>
      <c r="D540" s="8"/>
      <c r="E540" s="8"/>
      <c r="F540" s="7"/>
      <c r="G540" s="7"/>
      <c r="H540" s="7"/>
    </row>
    <row r="541" customFormat="false" ht="13.8" hidden="false" customHeight="false" outlineLevel="0" collapsed="false">
      <c r="A541" s="7"/>
      <c r="B541" s="8"/>
      <c r="C541" s="8"/>
      <c r="D541" s="8"/>
      <c r="E541" s="8"/>
      <c r="F541" s="7"/>
      <c r="G541" s="7"/>
      <c r="H541" s="7"/>
    </row>
    <row r="542" customFormat="false" ht="13.8" hidden="false" customHeight="false" outlineLevel="0" collapsed="false">
      <c r="A542" s="7"/>
      <c r="B542" s="8"/>
      <c r="C542" s="8"/>
      <c r="D542" s="8"/>
      <c r="E542" s="8"/>
      <c r="F542" s="7"/>
      <c r="G542" s="7"/>
      <c r="H542" s="7"/>
    </row>
    <row r="543" customFormat="false" ht="13.8" hidden="false" customHeight="false" outlineLevel="0" collapsed="false">
      <c r="A543" s="7"/>
      <c r="B543" s="8"/>
      <c r="C543" s="8"/>
      <c r="D543" s="8"/>
      <c r="E543" s="8"/>
      <c r="F543" s="7"/>
      <c r="G543" s="7"/>
      <c r="H543" s="7"/>
    </row>
    <row r="544" customFormat="false" ht="13.8" hidden="false" customHeight="false" outlineLevel="0" collapsed="false">
      <c r="A544" s="7"/>
      <c r="B544" s="8"/>
      <c r="C544" s="8"/>
      <c r="D544" s="8"/>
      <c r="E544" s="8"/>
      <c r="F544" s="7"/>
      <c r="G544" s="7"/>
      <c r="H544" s="7"/>
    </row>
    <row r="545" customFormat="false" ht="13.8" hidden="false" customHeight="false" outlineLevel="0" collapsed="false">
      <c r="A545" s="7"/>
      <c r="B545" s="8"/>
      <c r="C545" s="8"/>
      <c r="D545" s="8"/>
      <c r="E545" s="8"/>
      <c r="F545" s="7"/>
      <c r="G545" s="7"/>
      <c r="H545" s="7"/>
    </row>
    <row r="546" customFormat="false" ht="13.8" hidden="false" customHeight="false" outlineLevel="0" collapsed="false">
      <c r="A546" s="7"/>
      <c r="B546" s="8"/>
      <c r="C546" s="8"/>
      <c r="D546" s="8"/>
      <c r="E546" s="8"/>
      <c r="F546" s="7"/>
      <c r="G546" s="7"/>
      <c r="H546" s="7"/>
    </row>
    <row r="547" customFormat="false" ht="13.8" hidden="false" customHeight="false" outlineLevel="0" collapsed="false">
      <c r="A547" s="7"/>
      <c r="B547" s="8"/>
      <c r="C547" s="8"/>
      <c r="D547" s="8"/>
      <c r="E547" s="8"/>
      <c r="F547" s="7"/>
      <c r="G547" s="7"/>
      <c r="H547" s="7"/>
    </row>
    <row r="548" customFormat="false" ht="13.8" hidden="false" customHeight="false" outlineLevel="0" collapsed="false">
      <c r="A548" s="7"/>
      <c r="B548" s="8"/>
      <c r="C548" s="8"/>
      <c r="D548" s="8"/>
      <c r="E548" s="8"/>
      <c r="F548" s="7"/>
      <c r="G548" s="7"/>
      <c r="H548" s="7"/>
    </row>
    <row r="549" customFormat="false" ht="13.8" hidden="false" customHeight="false" outlineLevel="0" collapsed="false">
      <c r="A549" s="7"/>
      <c r="B549" s="8"/>
      <c r="C549" s="8"/>
      <c r="D549" s="8"/>
      <c r="E549" s="8"/>
      <c r="F549" s="7"/>
      <c r="G549" s="7"/>
      <c r="H549" s="7"/>
    </row>
    <row r="550" customFormat="false" ht="13.8" hidden="false" customHeight="false" outlineLevel="0" collapsed="false">
      <c r="A550" s="7"/>
      <c r="B550" s="8"/>
      <c r="C550" s="8"/>
      <c r="D550" s="8"/>
      <c r="E550" s="8"/>
      <c r="F550" s="7"/>
      <c r="G550" s="7"/>
      <c r="H550" s="7"/>
    </row>
    <row r="551" customFormat="false" ht="13.8" hidden="false" customHeight="false" outlineLevel="0" collapsed="false">
      <c r="A551" s="7"/>
      <c r="B551" s="8"/>
      <c r="C551" s="8"/>
      <c r="D551" s="8"/>
      <c r="E551" s="8"/>
      <c r="F551" s="7"/>
      <c r="G551" s="7"/>
      <c r="H551" s="7"/>
    </row>
    <row r="552" customFormat="false" ht="13.8" hidden="false" customHeight="false" outlineLevel="0" collapsed="false">
      <c r="A552" s="7"/>
      <c r="B552" s="8"/>
      <c r="C552" s="8"/>
      <c r="D552" s="8"/>
      <c r="E552" s="8"/>
      <c r="F552" s="7"/>
      <c r="G552" s="7"/>
      <c r="H552" s="7"/>
    </row>
    <row r="553" customFormat="false" ht="13.8" hidden="false" customHeight="false" outlineLevel="0" collapsed="false">
      <c r="A553" s="7"/>
      <c r="B553" s="8"/>
      <c r="C553" s="8"/>
      <c r="D553" s="8"/>
      <c r="E553" s="8"/>
      <c r="F553" s="7"/>
      <c r="G553" s="7"/>
      <c r="H553" s="7"/>
    </row>
    <row r="554" customFormat="false" ht="13.8" hidden="false" customHeight="false" outlineLevel="0" collapsed="false">
      <c r="A554" s="7"/>
      <c r="B554" s="8"/>
      <c r="C554" s="8"/>
      <c r="D554" s="8"/>
      <c r="E554" s="8"/>
      <c r="F554" s="7"/>
      <c r="G554" s="7"/>
      <c r="H554" s="7"/>
    </row>
    <row r="555" customFormat="false" ht="13.8" hidden="false" customHeight="false" outlineLevel="0" collapsed="false">
      <c r="A555" s="7"/>
      <c r="B555" s="8"/>
      <c r="C555" s="8"/>
      <c r="D555" s="8"/>
      <c r="E555" s="8"/>
      <c r="F555" s="7"/>
      <c r="G555" s="7"/>
      <c r="H555" s="7"/>
    </row>
    <row r="556" customFormat="false" ht="13.8" hidden="false" customHeight="false" outlineLevel="0" collapsed="false">
      <c r="A556" s="7"/>
      <c r="B556" s="8"/>
      <c r="C556" s="8"/>
      <c r="D556" s="8"/>
      <c r="E556" s="8"/>
      <c r="F556" s="7"/>
      <c r="G556" s="7"/>
      <c r="H556" s="7"/>
    </row>
    <row r="557" customFormat="false" ht="13.8" hidden="false" customHeight="false" outlineLevel="0" collapsed="false">
      <c r="A557" s="7"/>
      <c r="B557" s="8"/>
      <c r="C557" s="8"/>
      <c r="D557" s="8"/>
      <c r="E557" s="8"/>
      <c r="F557" s="7"/>
      <c r="G557" s="7"/>
      <c r="H557" s="7"/>
    </row>
    <row r="558" customFormat="false" ht="13.8" hidden="false" customHeight="false" outlineLevel="0" collapsed="false">
      <c r="A558" s="7"/>
      <c r="B558" s="8"/>
      <c r="C558" s="8"/>
      <c r="D558" s="8"/>
      <c r="E558" s="8"/>
      <c r="F558" s="7"/>
      <c r="G558" s="7"/>
      <c r="H558" s="7"/>
    </row>
    <row r="559" customFormat="false" ht="13.8" hidden="false" customHeight="false" outlineLevel="0" collapsed="false">
      <c r="A559" s="7"/>
      <c r="B559" s="8"/>
      <c r="C559" s="8"/>
      <c r="D559" s="8"/>
      <c r="E559" s="8"/>
      <c r="F559" s="7"/>
      <c r="G559" s="7"/>
      <c r="H559" s="7"/>
    </row>
    <row r="560" customFormat="false" ht="13.8" hidden="false" customHeight="false" outlineLevel="0" collapsed="false">
      <c r="A560" s="7"/>
      <c r="B560" s="8"/>
      <c r="C560" s="8"/>
      <c r="D560" s="8"/>
      <c r="E560" s="8"/>
      <c r="F560" s="7"/>
      <c r="G560" s="7"/>
      <c r="H560" s="7"/>
    </row>
    <row r="561" customFormat="false" ht="13.8" hidden="false" customHeight="false" outlineLevel="0" collapsed="false">
      <c r="A561" s="7"/>
      <c r="B561" s="8"/>
      <c r="C561" s="8"/>
      <c r="D561" s="8"/>
      <c r="E561" s="8"/>
      <c r="F561" s="7"/>
      <c r="G561" s="7"/>
      <c r="H561" s="7"/>
    </row>
    <row r="562" customFormat="false" ht="13.8" hidden="false" customHeight="false" outlineLevel="0" collapsed="false">
      <c r="A562" s="7"/>
      <c r="B562" s="8"/>
      <c r="C562" s="8"/>
      <c r="D562" s="8"/>
      <c r="E562" s="8"/>
      <c r="F562" s="7"/>
      <c r="G562" s="7"/>
      <c r="H562" s="7"/>
    </row>
    <row r="563" customFormat="false" ht="13.8" hidden="false" customHeight="false" outlineLevel="0" collapsed="false">
      <c r="A563" s="7"/>
      <c r="B563" s="8"/>
      <c r="C563" s="8"/>
      <c r="D563" s="8"/>
      <c r="E563" s="8"/>
      <c r="F563" s="7"/>
      <c r="G563" s="7"/>
      <c r="H563" s="7"/>
    </row>
    <row r="564" customFormat="false" ht="13.8" hidden="false" customHeight="false" outlineLevel="0" collapsed="false">
      <c r="A564" s="7"/>
      <c r="B564" s="8"/>
      <c r="C564" s="8"/>
      <c r="D564" s="8"/>
      <c r="E564" s="8"/>
      <c r="F564" s="7"/>
      <c r="G564" s="7"/>
      <c r="H564" s="7"/>
    </row>
    <row r="565" customFormat="false" ht="13.8" hidden="false" customHeight="false" outlineLevel="0" collapsed="false">
      <c r="A565" s="7"/>
      <c r="B565" s="8"/>
      <c r="C565" s="8"/>
      <c r="D565" s="8"/>
      <c r="E565" s="8"/>
      <c r="F565" s="7"/>
      <c r="G565" s="7"/>
      <c r="H565" s="7"/>
    </row>
    <row r="566" customFormat="false" ht="13.8" hidden="false" customHeight="false" outlineLevel="0" collapsed="false">
      <c r="A566" s="7"/>
      <c r="B566" s="8"/>
      <c r="C566" s="8"/>
      <c r="D566" s="8"/>
      <c r="E566" s="8"/>
      <c r="F566" s="7"/>
      <c r="G566" s="7"/>
      <c r="H566" s="7"/>
    </row>
    <row r="567" customFormat="false" ht="13.8" hidden="false" customHeight="false" outlineLevel="0" collapsed="false">
      <c r="A567" s="7"/>
      <c r="B567" s="8"/>
      <c r="C567" s="8"/>
      <c r="D567" s="8"/>
      <c r="E567" s="8"/>
      <c r="F567" s="7"/>
      <c r="G567" s="7"/>
      <c r="H567" s="7"/>
    </row>
    <row r="568" customFormat="false" ht="13.8" hidden="false" customHeight="false" outlineLevel="0" collapsed="false">
      <c r="A568" s="7"/>
      <c r="B568" s="8"/>
      <c r="C568" s="8"/>
      <c r="D568" s="8"/>
      <c r="E568" s="8"/>
      <c r="F568" s="7"/>
      <c r="G568" s="7"/>
      <c r="H568" s="7"/>
    </row>
    <row r="569" customFormat="false" ht="13.8" hidden="false" customHeight="false" outlineLevel="0" collapsed="false">
      <c r="A569" s="7"/>
      <c r="B569" s="8"/>
      <c r="C569" s="8"/>
      <c r="D569" s="8"/>
      <c r="E569" s="8"/>
      <c r="F569" s="7"/>
      <c r="G569" s="7"/>
      <c r="H569" s="7"/>
    </row>
    <row r="570" customFormat="false" ht="13.8" hidden="false" customHeight="false" outlineLevel="0" collapsed="false">
      <c r="A570" s="7"/>
      <c r="B570" s="8"/>
      <c r="C570" s="8"/>
      <c r="D570" s="8"/>
      <c r="E570" s="8"/>
      <c r="F570" s="7"/>
      <c r="G570" s="7"/>
      <c r="H570" s="7"/>
    </row>
    <row r="571" customFormat="false" ht="13.8" hidden="false" customHeight="false" outlineLevel="0" collapsed="false">
      <c r="A571" s="7"/>
      <c r="B571" s="8"/>
      <c r="C571" s="8"/>
      <c r="D571" s="8"/>
      <c r="E571" s="8"/>
      <c r="F571" s="7"/>
      <c r="G571" s="7"/>
      <c r="H571" s="7"/>
    </row>
    <row r="572" customFormat="false" ht="13.8" hidden="false" customHeight="false" outlineLevel="0" collapsed="false">
      <c r="A572" s="7"/>
      <c r="B572" s="8"/>
      <c r="C572" s="8"/>
      <c r="D572" s="8"/>
      <c r="E572" s="8"/>
      <c r="F572" s="7"/>
      <c r="G572" s="7"/>
      <c r="H572" s="7"/>
    </row>
    <row r="573" customFormat="false" ht="13.8" hidden="false" customHeight="false" outlineLevel="0" collapsed="false">
      <c r="A573" s="7"/>
      <c r="B573" s="8"/>
      <c r="C573" s="8"/>
      <c r="D573" s="8"/>
      <c r="E573" s="8"/>
      <c r="F573" s="7"/>
      <c r="G573" s="7"/>
      <c r="H573" s="7"/>
    </row>
    <row r="574" customFormat="false" ht="13.8" hidden="false" customHeight="false" outlineLevel="0" collapsed="false">
      <c r="A574" s="7"/>
      <c r="B574" s="8"/>
      <c r="C574" s="8"/>
      <c r="D574" s="8"/>
      <c r="E574" s="8"/>
      <c r="F574" s="7"/>
      <c r="G574" s="7"/>
      <c r="H574" s="7"/>
    </row>
    <row r="575" customFormat="false" ht="13.8" hidden="false" customHeight="false" outlineLevel="0" collapsed="false">
      <c r="A575" s="7"/>
      <c r="B575" s="8"/>
      <c r="C575" s="8"/>
      <c r="D575" s="8"/>
      <c r="E575" s="8"/>
      <c r="F575" s="7"/>
      <c r="G575" s="7"/>
      <c r="H575" s="7"/>
    </row>
    <row r="576" customFormat="false" ht="13.8" hidden="false" customHeight="false" outlineLevel="0" collapsed="false">
      <c r="A576" s="7"/>
      <c r="B576" s="8"/>
      <c r="C576" s="8"/>
      <c r="D576" s="8"/>
      <c r="E576" s="8"/>
      <c r="F576" s="7"/>
      <c r="G576" s="7"/>
      <c r="H576" s="7"/>
    </row>
    <row r="577" customFormat="false" ht="13.8" hidden="false" customHeight="false" outlineLevel="0" collapsed="false">
      <c r="A577" s="7"/>
      <c r="B577" s="8"/>
      <c r="C577" s="8"/>
      <c r="D577" s="8"/>
      <c r="E577" s="8"/>
      <c r="F577" s="7"/>
      <c r="G577" s="7"/>
      <c r="H577" s="7"/>
    </row>
    <row r="578" customFormat="false" ht="13.8" hidden="false" customHeight="false" outlineLevel="0" collapsed="false">
      <c r="A578" s="7"/>
      <c r="B578" s="8"/>
      <c r="C578" s="8"/>
      <c r="D578" s="8"/>
      <c r="E578" s="8"/>
      <c r="F578" s="7"/>
      <c r="G578" s="7"/>
      <c r="H578" s="7"/>
    </row>
    <row r="579" customFormat="false" ht="13.8" hidden="false" customHeight="false" outlineLevel="0" collapsed="false">
      <c r="A579" s="7"/>
      <c r="B579" s="8"/>
      <c r="C579" s="8"/>
      <c r="D579" s="8"/>
      <c r="E579" s="8"/>
      <c r="F579" s="7"/>
      <c r="G579" s="7"/>
      <c r="H579" s="7"/>
    </row>
    <row r="580" customFormat="false" ht="13.8" hidden="false" customHeight="false" outlineLevel="0" collapsed="false">
      <c r="A580" s="7"/>
      <c r="B580" s="8"/>
      <c r="C580" s="8"/>
      <c r="D580" s="8"/>
      <c r="E580" s="8"/>
      <c r="F580" s="7"/>
      <c r="G580" s="7"/>
      <c r="H580" s="7"/>
    </row>
    <row r="581" customFormat="false" ht="13.8" hidden="false" customHeight="false" outlineLevel="0" collapsed="false">
      <c r="A581" s="7"/>
      <c r="B581" s="8"/>
      <c r="C581" s="8"/>
      <c r="D581" s="8"/>
      <c r="E581" s="8"/>
      <c r="F581" s="7"/>
      <c r="G581" s="7"/>
      <c r="H581" s="7"/>
    </row>
    <row r="582" customFormat="false" ht="13.8" hidden="false" customHeight="false" outlineLevel="0" collapsed="false">
      <c r="A582" s="7"/>
      <c r="B582" s="8"/>
      <c r="C582" s="8"/>
      <c r="D582" s="8"/>
      <c r="E582" s="8"/>
      <c r="F582" s="7"/>
      <c r="G582" s="7"/>
      <c r="H582" s="7"/>
    </row>
    <row r="583" customFormat="false" ht="13.8" hidden="false" customHeight="false" outlineLevel="0" collapsed="false">
      <c r="A583" s="7"/>
      <c r="B583" s="8"/>
      <c r="C583" s="8"/>
      <c r="D583" s="8"/>
      <c r="E583" s="8"/>
      <c r="F583" s="7"/>
      <c r="G583" s="7"/>
      <c r="H583" s="7"/>
    </row>
    <row r="584" customFormat="false" ht="13.8" hidden="false" customHeight="false" outlineLevel="0" collapsed="false">
      <c r="A584" s="7"/>
      <c r="B584" s="8"/>
      <c r="C584" s="8"/>
      <c r="D584" s="8"/>
      <c r="E584" s="8"/>
      <c r="F584" s="7"/>
      <c r="G584" s="7"/>
      <c r="H584" s="7"/>
    </row>
    <row r="585" customFormat="false" ht="13.8" hidden="false" customHeight="false" outlineLevel="0" collapsed="false">
      <c r="A585" s="7"/>
      <c r="B585" s="8"/>
      <c r="C585" s="8"/>
      <c r="D585" s="8"/>
      <c r="E585" s="8"/>
      <c r="F585" s="7"/>
      <c r="G585" s="7"/>
      <c r="H585" s="7"/>
    </row>
    <row r="586" customFormat="false" ht="13.8" hidden="false" customHeight="false" outlineLevel="0" collapsed="false">
      <c r="A586" s="7"/>
      <c r="B586" s="8"/>
      <c r="C586" s="8"/>
      <c r="D586" s="8"/>
      <c r="E586" s="8"/>
      <c r="F586" s="7"/>
      <c r="G586" s="7"/>
      <c r="H586" s="7"/>
    </row>
    <row r="587" customFormat="false" ht="13.8" hidden="false" customHeight="false" outlineLevel="0" collapsed="false">
      <c r="A587" s="7"/>
      <c r="B587" s="8"/>
      <c r="C587" s="8"/>
      <c r="D587" s="8"/>
      <c r="E587" s="8"/>
      <c r="F587" s="7"/>
      <c r="G587" s="7"/>
      <c r="H587" s="7"/>
    </row>
    <row r="588" customFormat="false" ht="13.8" hidden="false" customHeight="false" outlineLevel="0" collapsed="false">
      <c r="A588" s="7"/>
      <c r="B588" s="8"/>
      <c r="C588" s="8"/>
      <c r="D588" s="8"/>
      <c r="E588" s="8"/>
      <c r="F588" s="7"/>
      <c r="G588" s="7"/>
      <c r="H588" s="7"/>
    </row>
    <row r="589" customFormat="false" ht="13.8" hidden="false" customHeight="false" outlineLevel="0" collapsed="false">
      <c r="A589" s="7"/>
      <c r="B589" s="8"/>
      <c r="C589" s="8"/>
      <c r="D589" s="8"/>
      <c r="E589" s="8"/>
      <c r="F589" s="7"/>
      <c r="G589" s="7"/>
      <c r="H589" s="7"/>
    </row>
    <row r="590" customFormat="false" ht="13.8" hidden="false" customHeight="false" outlineLevel="0" collapsed="false">
      <c r="A590" s="7"/>
      <c r="B590" s="8"/>
      <c r="C590" s="8"/>
      <c r="D590" s="8"/>
      <c r="E590" s="8"/>
      <c r="F590" s="7"/>
      <c r="G590" s="7"/>
      <c r="H590" s="7"/>
    </row>
    <row r="591" customFormat="false" ht="13.8" hidden="false" customHeight="false" outlineLevel="0" collapsed="false">
      <c r="A591" s="7"/>
      <c r="B591" s="8"/>
      <c r="C591" s="8"/>
      <c r="D591" s="8"/>
      <c r="E591" s="8"/>
      <c r="F591" s="7"/>
      <c r="G591" s="7"/>
      <c r="H591" s="7"/>
    </row>
    <row r="592" customFormat="false" ht="13.8" hidden="false" customHeight="false" outlineLevel="0" collapsed="false">
      <c r="A592" s="7"/>
      <c r="B592" s="8"/>
      <c r="C592" s="8"/>
      <c r="D592" s="8"/>
      <c r="E592" s="8"/>
      <c r="F592" s="7"/>
      <c r="G592" s="7"/>
      <c r="H592" s="7"/>
    </row>
    <row r="593" customFormat="false" ht="13.8" hidden="false" customHeight="false" outlineLevel="0" collapsed="false">
      <c r="A593" s="7"/>
      <c r="B593" s="8"/>
      <c r="C593" s="8"/>
      <c r="D593" s="8"/>
      <c r="E593" s="8"/>
      <c r="F593" s="7"/>
      <c r="G593" s="7"/>
      <c r="H593" s="7"/>
    </row>
    <row r="594" customFormat="false" ht="13.8" hidden="false" customHeight="false" outlineLevel="0" collapsed="false">
      <c r="A594" s="7"/>
      <c r="B594" s="8"/>
      <c r="C594" s="8"/>
      <c r="D594" s="8"/>
      <c r="E594" s="8"/>
      <c r="F594" s="7"/>
      <c r="G594" s="7"/>
      <c r="H594" s="7"/>
    </row>
    <row r="595" customFormat="false" ht="13.8" hidden="false" customHeight="false" outlineLevel="0" collapsed="false">
      <c r="A595" s="7"/>
      <c r="B595" s="8"/>
      <c r="C595" s="8"/>
      <c r="D595" s="8"/>
      <c r="E595" s="8"/>
      <c r="F595" s="7"/>
      <c r="G595" s="7"/>
      <c r="H595" s="7"/>
    </row>
    <row r="596" customFormat="false" ht="13.8" hidden="false" customHeight="false" outlineLevel="0" collapsed="false">
      <c r="A596" s="7"/>
      <c r="B596" s="8"/>
      <c r="C596" s="8"/>
      <c r="D596" s="8"/>
      <c r="E596" s="8"/>
      <c r="F596" s="7"/>
      <c r="G596" s="7"/>
      <c r="H596" s="7"/>
    </row>
    <row r="597" customFormat="false" ht="13.8" hidden="false" customHeight="false" outlineLevel="0" collapsed="false">
      <c r="A597" s="7"/>
      <c r="B597" s="8"/>
      <c r="C597" s="8"/>
      <c r="D597" s="8"/>
      <c r="E597" s="8"/>
      <c r="F597" s="7"/>
      <c r="G597" s="7"/>
      <c r="H597" s="7"/>
    </row>
    <row r="598" customFormat="false" ht="13.8" hidden="false" customHeight="false" outlineLevel="0" collapsed="false">
      <c r="A598" s="7"/>
      <c r="B598" s="8"/>
      <c r="C598" s="8"/>
      <c r="D598" s="8"/>
      <c r="E598" s="8"/>
      <c r="F598" s="7"/>
      <c r="G598" s="7"/>
      <c r="H598" s="7"/>
    </row>
    <row r="599" customFormat="false" ht="13.8" hidden="false" customHeight="false" outlineLevel="0" collapsed="false">
      <c r="A599" s="7"/>
      <c r="B599" s="8"/>
      <c r="C599" s="8"/>
      <c r="D599" s="8"/>
      <c r="E599" s="8"/>
      <c r="F599" s="7"/>
      <c r="G599" s="7"/>
      <c r="H599" s="7"/>
    </row>
    <row r="600" customFormat="false" ht="13.8" hidden="false" customHeight="false" outlineLevel="0" collapsed="false">
      <c r="A600" s="7"/>
      <c r="B600" s="8"/>
      <c r="C600" s="8"/>
      <c r="D600" s="8"/>
      <c r="E600" s="8"/>
      <c r="F600" s="7"/>
      <c r="G600" s="7"/>
      <c r="H600" s="7"/>
    </row>
    <row r="601" customFormat="false" ht="13.8" hidden="false" customHeight="false" outlineLevel="0" collapsed="false">
      <c r="A601" s="7"/>
      <c r="B601" s="8"/>
      <c r="C601" s="8"/>
      <c r="D601" s="8"/>
      <c r="E601" s="8"/>
      <c r="F601" s="7"/>
      <c r="G601" s="7"/>
      <c r="H601" s="7"/>
    </row>
    <row r="602" customFormat="false" ht="13.8" hidden="false" customHeight="false" outlineLevel="0" collapsed="false">
      <c r="A602" s="7"/>
      <c r="B602" s="8"/>
      <c r="C602" s="8"/>
      <c r="D602" s="8"/>
      <c r="E602" s="8"/>
      <c r="F602" s="7"/>
      <c r="G602" s="7"/>
      <c r="H602" s="7"/>
    </row>
    <row r="603" customFormat="false" ht="13.8" hidden="false" customHeight="false" outlineLevel="0" collapsed="false">
      <c r="A603" s="7"/>
      <c r="B603" s="8"/>
      <c r="C603" s="8"/>
      <c r="D603" s="8"/>
      <c r="E603" s="8"/>
      <c r="F603" s="7"/>
      <c r="G603" s="7"/>
      <c r="H603" s="7"/>
    </row>
    <row r="604" customFormat="false" ht="13.8" hidden="false" customHeight="false" outlineLevel="0" collapsed="false">
      <c r="A604" s="7"/>
      <c r="B604" s="8"/>
      <c r="C604" s="8"/>
      <c r="D604" s="8"/>
      <c r="E604" s="8"/>
      <c r="F604" s="7"/>
      <c r="G604" s="7"/>
      <c r="H604" s="7"/>
    </row>
    <row r="605" customFormat="false" ht="13.8" hidden="false" customHeight="false" outlineLevel="0" collapsed="false">
      <c r="A605" s="7"/>
      <c r="B605" s="8"/>
      <c r="C605" s="8"/>
      <c r="D605" s="8"/>
      <c r="E605" s="8"/>
      <c r="F605" s="7"/>
      <c r="G605" s="7"/>
      <c r="H605" s="7"/>
    </row>
    <row r="606" customFormat="false" ht="13.8" hidden="false" customHeight="false" outlineLevel="0" collapsed="false">
      <c r="A606" s="7"/>
      <c r="B606" s="8"/>
      <c r="C606" s="8"/>
      <c r="D606" s="8"/>
      <c r="E606" s="8"/>
      <c r="F606" s="7"/>
      <c r="G606" s="7"/>
      <c r="H606" s="7"/>
    </row>
    <row r="607" customFormat="false" ht="13.8" hidden="false" customHeight="false" outlineLevel="0" collapsed="false">
      <c r="A607" s="7"/>
      <c r="B607" s="8"/>
      <c r="C607" s="8"/>
      <c r="D607" s="8"/>
      <c r="E607" s="8"/>
      <c r="F607" s="7"/>
      <c r="G607" s="7"/>
      <c r="H607" s="7"/>
    </row>
    <row r="608" customFormat="false" ht="13.8" hidden="false" customHeight="false" outlineLevel="0" collapsed="false">
      <c r="A608" s="7"/>
      <c r="B608" s="8"/>
      <c r="C608" s="8"/>
      <c r="D608" s="8"/>
      <c r="E608" s="8"/>
      <c r="F608" s="7"/>
      <c r="G608" s="7"/>
      <c r="H608" s="7"/>
    </row>
    <row r="609" customFormat="false" ht="13.8" hidden="false" customHeight="false" outlineLevel="0" collapsed="false">
      <c r="A609" s="7"/>
      <c r="B609" s="8"/>
      <c r="C609" s="8"/>
      <c r="D609" s="8"/>
      <c r="E609" s="8"/>
      <c r="F609" s="7"/>
      <c r="G609" s="7"/>
      <c r="H609" s="7"/>
    </row>
    <row r="610" customFormat="false" ht="13.8" hidden="false" customHeight="false" outlineLevel="0" collapsed="false">
      <c r="A610" s="7"/>
      <c r="B610" s="8"/>
      <c r="C610" s="8"/>
      <c r="D610" s="8"/>
      <c r="E610" s="8"/>
      <c r="F610" s="7"/>
      <c r="G610" s="7"/>
      <c r="H610" s="7"/>
    </row>
    <row r="611" customFormat="false" ht="13.8" hidden="false" customHeight="false" outlineLevel="0" collapsed="false">
      <c r="A611" s="7"/>
      <c r="B611" s="8"/>
      <c r="C611" s="8"/>
      <c r="D611" s="8"/>
      <c r="E611" s="8"/>
      <c r="F611" s="7"/>
      <c r="G611" s="7"/>
      <c r="H611" s="7"/>
    </row>
    <row r="612" customFormat="false" ht="13.8" hidden="false" customHeight="false" outlineLevel="0" collapsed="false">
      <c r="A612" s="7"/>
      <c r="B612" s="8"/>
      <c r="C612" s="8"/>
      <c r="D612" s="8"/>
      <c r="E612" s="8"/>
      <c r="F612" s="7"/>
      <c r="G612" s="7"/>
      <c r="H612" s="7"/>
    </row>
    <row r="613" customFormat="false" ht="13.8" hidden="false" customHeight="false" outlineLevel="0" collapsed="false">
      <c r="A613" s="7"/>
      <c r="B613" s="8"/>
      <c r="C613" s="8"/>
      <c r="D613" s="8"/>
      <c r="E613" s="8"/>
      <c r="F613" s="7"/>
      <c r="G613" s="7"/>
      <c r="H613" s="7"/>
    </row>
    <row r="614" customFormat="false" ht="13.8" hidden="false" customHeight="false" outlineLevel="0" collapsed="false">
      <c r="A614" s="7"/>
      <c r="B614" s="8"/>
      <c r="C614" s="8"/>
      <c r="D614" s="8"/>
      <c r="E614" s="8"/>
      <c r="F614" s="7"/>
      <c r="G614" s="7"/>
      <c r="H614" s="7"/>
    </row>
    <row r="615" customFormat="false" ht="13.8" hidden="false" customHeight="false" outlineLevel="0" collapsed="false">
      <c r="A615" s="7"/>
      <c r="B615" s="8"/>
      <c r="C615" s="8"/>
      <c r="D615" s="8"/>
      <c r="E615" s="8"/>
      <c r="F615" s="7"/>
      <c r="G615" s="7"/>
      <c r="H615" s="7"/>
    </row>
    <row r="616" customFormat="false" ht="13.8" hidden="false" customHeight="false" outlineLevel="0" collapsed="false">
      <c r="A616" s="7"/>
      <c r="B616" s="8"/>
      <c r="C616" s="8"/>
      <c r="D616" s="8"/>
      <c r="E616" s="8"/>
      <c r="F616" s="7"/>
      <c r="G616" s="7"/>
      <c r="H616" s="7"/>
    </row>
    <row r="617" customFormat="false" ht="13.8" hidden="false" customHeight="false" outlineLevel="0" collapsed="false">
      <c r="A617" s="7"/>
      <c r="B617" s="8"/>
      <c r="C617" s="8"/>
      <c r="D617" s="8"/>
      <c r="E617" s="8"/>
      <c r="F617" s="7"/>
      <c r="G617" s="7"/>
      <c r="H617" s="7"/>
    </row>
    <row r="618" customFormat="false" ht="13.8" hidden="false" customHeight="false" outlineLevel="0" collapsed="false">
      <c r="A618" s="7"/>
      <c r="B618" s="8"/>
      <c r="C618" s="8"/>
      <c r="D618" s="8"/>
      <c r="E618" s="8"/>
      <c r="F618" s="7"/>
      <c r="G618" s="7"/>
      <c r="H618" s="7"/>
    </row>
    <row r="619" customFormat="false" ht="13.8" hidden="false" customHeight="false" outlineLevel="0" collapsed="false">
      <c r="A619" s="7"/>
      <c r="B619" s="8"/>
      <c r="C619" s="8"/>
      <c r="D619" s="8"/>
      <c r="E619" s="8"/>
      <c r="F619" s="7"/>
      <c r="G619" s="7"/>
      <c r="H619" s="7"/>
    </row>
    <row r="620" customFormat="false" ht="13.8" hidden="false" customHeight="false" outlineLevel="0" collapsed="false">
      <c r="A620" s="7"/>
      <c r="B620" s="8"/>
      <c r="C620" s="8"/>
      <c r="D620" s="8"/>
      <c r="E620" s="8"/>
      <c r="F620" s="7"/>
      <c r="G620" s="7"/>
      <c r="H620" s="7"/>
    </row>
    <row r="621" customFormat="false" ht="13.8" hidden="false" customHeight="false" outlineLevel="0" collapsed="false">
      <c r="A621" s="7"/>
      <c r="B621" s="8"/>
      <c r="C621" s="8"/>
      <c r="D621" s="8"/>
      <c r="E621" s="8"/>
      <c r="F621" s="7"/>
      <c r="G621" s="7"/>
      <c r="H621" s="7"/>
    </row>
    <row r="622" customFormat="false" ht="13.8" hidden="false" customHeight="false" outlineLevel="0" collapsed="false">
      <c r="A622" s="7"/>
      <c r="B622" s="8"/>
      <c r="C622" s="8"/>
      <c r="D622" s="8"/>
      <c r="E622" s="8"/>
      <c r="F622" s="7"/>
      <c r="G622" s="7"/>
      <c r="H622" s="7"/>
    </row>
    <row r="623" customFormat="false" ht="13.8" hidden="false" customHeight="false" outlineLevel="0" collapsed="false">
      <c r="A623" s="7"/>
      <c r="B623" s="8"/>
      <c r="C623" s="8"/>
      <c r="D623" s="8"/>
      <c r="E623" s="8"/>
      <c r="F623" s="7"/>
      <c r="G623" s="7"/>
      <c r="H623" s="7"/>
    </row>
    <row r="624" customFormat="false" ht="13.8" hidden="false" customHeight="false" outlineLevel="0" collapsed="false">
      <c r="A624" s="7"/>
      <c r="B624" s="8"/>
      <c r="C624" s="8"/>
      <c r="D624" s="8"/>
      <c r="E624" s="8"/>
      <c r="F624" s="7"/>
      <c r="G624" s="7"/>
      <c r="H624" s="7"/>
    </row>
    <row r="625" customFormat="false" ht="13.8" hidden="false" customHeight="false" outlineLevel="0" collapsed="false">
      <c r="A625" s="7"/>
      <c r="B625" s="8"/>
      <c r="C625" s="8"/>
      <c r="D625" s="8"/>
      <c r="E625" s="8"/>
      <c r="F625" s="7"/>
      <c r="G625" s="7"/>
      <c r="H625" s="7"/>
    </row>
    <row r="626" customFormat="false" ht="13.8" hidden="false" customHeight="false" outlineLevel="0" collapsed="false">
      <c r="A626" s="7"/>
      <c r="B626" s="8"/>
      <c r="C626" s="8"/>
      <c r="D626" s="8"/>
      <c r="E626" s="8"/>
      <c r="F626" s="7"/>
      <c r="G626" s="7"/>
      <c r="H626" s="7"/>
    </row>
    <row r="627" customFormat="false" ht="13.8" hidden="false" customHeight="false" outlineLevel="0" collapsed="false">
      <c r="A627" s="7"/>
      <c r="B627" s="8"/>
      <c r="C627" s="8"/>
      <c r="D627" s="8"/>
      <c r="E627" s="8"/>
      <c r="F627" s="7"/>
      <c r="G627" s="7"/>
      <c r="H627" s="7"/>
    </row>
    <row r="628" customFormat="false" ht="13.8" hidden="false" customHeight="false" outlineLevel="0" collapsed="false">
      <c r="A628" s="7"/>
      <c r="B628" s="8"/>
      <c r="C628" s="8"/>
      <c r="D628" s="8"/>
      <c r="E628" s="8"/>
      <c r="F628" s="7"/>
      <c r="G628" s="7"/>
      <c r="H628" s="7"/>
    </row>
    <row r="629" customFormat="false" ht="13.8" hidden="false" customHeight="false" outlineLevel="0" collapsed="false">
      <c r="A629" s="7"/>
      <c r="B629" s="8"/>
      <c r="C629" s="8"/>
      <c r="D629" s="8"/>
      <c r="E629" s="8"/>
      <c r="F629" s="7"/>
      <c r="G629" s="7"/>
      <c r="H629" s="7"/>
    </row>
    <row r="630" customFormat="false" ht="13.8" hidden="false" customHeight="false" outlineLevel="0" collapsed="false">
      <c r="A630" s="7"/>
      <c r="B630" s="8"/>
      <c r="C630" s="8"/>
      <c r="D630" s="8"/>
      <c r="E630" s="8"/>
      <c r="F630" s="7"/>
      <c r="G630" s="7"/>
      <c r="H630" s="7"/>
    </row>
    <row r="631" customFormat="false" ht="13.8" hidden="false" customHeight="false" outlineLevel="0" collapsed="false">
      <c r="A631" s="7"/>
      <c r="B631" s="8"/>
      <c r="C631" s="8"/>
      <c r="D631" s="8"/>
      <c r="E631" s="8"/>
      <c r="F631" s="7"/>
      <c r="G631" s="7"/>
      <c r="H631" s="7"/>
    </row>
    <row r="632" customFormat="false" ht="13.8" hidden="false" customHeight="false" outlineLevel="0" collapsed="false">
      <c r="A632" s="7"/>
      <c r="B632" s="8"/>
      <c r="C632" s="8"/>
      <c r="D632" s="8"/>
      <c r="E632" s="8"/>
      <c r="F632" s="7"/>
      <c r="G632" s="7"/>
      <c r="H632" s="7"/>
    </row>
    <row r="633" customFormat="false" ht="13.8" hidden="false" customHeight="false" outlineLevel="0" collapsed="false">
      <c r="A633" s="7"/>
      <c r="B633" s="8"/>
      <c r="C633" s="8"/>
      <c r="D633" s="8"/>
      <c r="E633" s="8"/>
      <c r="F633" s="7"/>
      <c r="G633" s="7"/>
      <c r="H633" s="7"/>
    </row>
    <row r="634" customFormat="false" ht="13.8" hidden="false" customHeight="false" outlineLevel="0" collapsed="false">
      <c r="A634" s="7"/>
      <c r="B634" s="8"/>
      <c r="C634" s="8"/>
      <c r="D634" s="8"/>
      <c r="E634" s="8"/>
      <c r="F634" s="7"/>
      <c r="G634" s="7"/>
      <c r="H634" s="7"/>
    </row>
    <row r="635" customFormat="false" ht="13.8" hidden="false" customHeight="false" outlineLevel="0" collapsed="false">
      <c r="A635" s="7"/>
      <c r="B635" s="8"/>
      <c r="C635" s="8"/>
      <c r="D635" s="8"/>
      <c r="E635" s="8"/>
      <c r="F635" s="7"/>
      <c r="G635" s="7"/>
      <c r="H635" s="7"/>
    </row>
    <row r="636" customFormat="false" ht="13.8" hidden="false" customHeight="false" outlineLevel="0" collapsed="false">
      <c r="A636" s="7"/>
      <c r="B636" s="8"/>
      <c r="C636" s="8"/>
      <c r="D636" s="8"/>
      <c r="E636" s="8"/>
      <c r="F636" s="7"/>
      <c r="G636" s="7"/>
      <c r="H636" s="7"/>
    </row>
    <row r="637" customFormat="false" ht="13.8" hidden="false" customHeight="false" outlineLevel="0" collapsed="false">
      <c r="A637" s="7"/>
      <c r="B637" s="8"/>
      <c r="C637" s="8"/>
      <c r="D637" s="8"/>
      <c r="E637" s="8"/>
      <c r="F637" s="7"/>
      <c r="G637" s="7"/>
      <c r="H637" s="7"/>
    </row>
    <row r="638" customFormat="false" ht="13.8" hidden="false" customHeight="false" outlineLevel="0" collapsed="false">
      <c r="A638" s="7"/>
      <c r="B638" s="8"/>
      <c r="C638" s="8"/>
      <c r="D638" s="8"/>
      <c r="E638" s="8"/>
      <c r="F638" s="7"/>
      <c r="G638" s="7"/>
      <c r="H638" s="7"/>
    </row>
    <row r="639" customFormat="false" ht="13.8" hidden="false" customHeight="false" outlineLevel="0" collapsed="false">
      <c r="A639" s="7"/>
      <c r="B639" s="8"/>
      <c r="C639" s="8"/>
      <c r="D639" s="8"/>
      <c r="E639" s="8"/>
      <c r="F639" s="7"/>
      <c r="G639" s="7"/>
      <c r="H639" s="7"/>
    </row>
    <row r="640" customFormat="false" ht="13.8" hidden="false" customHeight="false" outlineLevel="0" collapsed="false">
      <c r="A640" s="7"/>
      <c r="B640" s="8"/>
      <c r="C640" s="8"/>
      <c r="D640" s="8"/>
      <c r="E640" s="8"/>
      <c r="F640" s="7"/>
      <c r="G640" s="7"/>
      <c r="H640" s="7"/>
    </row>
    <row r="641" customFormat="false" ht="13.8" hidden="false" customHeight="false" outlineLevel="0" collapsed="false">
      <c r="A641" s="7"/>
      <c r="B641" s="8"/>
      <c r="C641" s="8"/>
      <c r="D641" s="8"/>
      <c r="E641" s="8"/>
      <c r="F641" s="7"/>
      <c r="G641" s="7"/>
      <c r="H641" s="7"/>
    </row>
    <row r="642" customFormat="false" ht="13.8" hidden="false" customHeight="false" outlineLevel="0" collapsed="false">
      <c r="A642" s="7"/>
      <c r="B642" s="8"/>
      <c r="C642" s="8"/>
      <c r="D642" s="8"/>
      <c r="E642" s="8"/>
      <c r="F642" s="7"/>
      <c r="G642" s="7"/>
      <c r="H642" s="7"/>
    </row>
    <row r="643" customFormat="false" ht="13.8" hidden="false" customHeight="false" outlineLevel="0" collapsed="false">
      <c r="A643" s="7"/>
      <c r="B643" s="8"/>
      <c r="C643" s="8"/>
      <c r="D643" s="8"/>
      <c r="E643" s="8"/>
      <c r="F643" s="7"/>
      <c r="G643" s="7"/>
      <c r="H643" s="7"/>
    </row>
    <row r="644" customFormat="false" ht="13.8" hidden="false" customHeight="false" outlineLevel="0" collapsed="false">
      <c r="A644" s="7"/>
      <c r="B644" s="8"/>
      <c r="C644" s="8"/>
      <c r="D644" s="8"/>
      <c r="E644" s="8"/>
      <c r="F644" s="7"/>
      <c r="G644" s="7"/>
      <c r="H644" s="7"/>
    </row>
    <row r="645" customFormat="false" ht="13.8" hidden="false" customHeight="false" outlineLevel="0" collapsed="false">
      <c r="A645" s="7"/>
      <c r="B645" s="8"/>
      <c r="C645" s="8"/>
      <c r="D645" s="8"/>
      <c r="E645" s="8"/>
      <c r="F645" s="7"/>
      <c r="G645" s="7"/>
      <c r="H645" s="7"/>
    </row>
    <row r="646" customFormat="false" ht="13.8" hidden="false" customHeight="false" outlineLevel="0" collapsed="false">
      <c r="A646" s="7"/>
      <c r="B646" s="8"/>
      <c r="C646" s="8"/>
      <c r="D646" s="8"/>
      <c r="E646" s="8"/>
      <c r="F646" s="7"/>
      <c r="G646" s="7"/>
      <c r="H646" s="7"/>
    </row>
    <row r="647" customFormat="false" ht="13.8" hidden="false" customHeight="false" outlineLevel="0" collapsed="false">
      <c r="A647" s="7"/>
      <c r="B647" s="8"/>
      <c r="C647" s="8"/>
      <c r="D647" s="8"/>
      <c r="E647" s="8"/>
      <c r="F647" s="7"/>
      <c r="G647" s="7"/>
      <c r="H647" s="7"/>
    </row>
    <row r="648" customFormat="false" ht="13.8" hidden="false" customHeight="false" outlineLevel="0" collapsed="false">
      <c r="A648" s="7"/>
      <c r="B648" s="8"/>
      <c r="C648" s="8"/>
      <c r="D648" s="8"/>
      <c r="E648" s="8"/>
      <c r="F648" s="7"/>
      <c r="G648" s="7"/>
      <c r="H648" s="7"/>
    </row>
    <row r="649" customFormat="false" ht="13.8" hidden="false" customHeight="false" outlineLevel="0" collapsed="false">
      <c r="A649" s="7"/>
      <c r="B649" s="8"/>
      <c r="C649" s="8"/>
      <c r="D649" s="8"/>
      <c r="E649" s="8"/>
      <c r="F649" s="7"/>
      <c r="G649" s="7"/>
      <c r="H649" s="7"/>
    </row>
    <row r="650" customFormat="false" ht="13.8" hidden="false" customHeight="false" outlineLevel="0" collapsed="false">
      <c r="A650" s="7"/>
      <c r="B650" s="8"/>
      <c r="C650" s="8"/>
      <c r="D650" s="8"/>
      <c r="E650" s="8"/>
      <c r="F650" s="7"/>
      <c r="G650" s="7"/>
      <c r="H650" s="7"/>
    </row>
    <row r="651" customFormat="false" ht="13.8" hidden="false" customHeight="false" outlineLevel="0" collapsed="false">
      <c r="A651" s="7"/>
      <c r="B651" s="8"/>
      <c r="C651" s="8"/>
      <c r="D651" s="8"/>
      <c r="E651" s="8"/>
      <c r="F651" s="7"/>
      <c r="G651" s="7"/>
      <c r="H651" s="7"/>
    </row>
    <row r="652" customFormat="false" ht="13.8" hidden="false" customHeight="false" outlineLevel="0" collapsed="false">
      <c r="A652" s="7"/>
      <c r="B652" s="8"/>
      <c r="C652" s="8"/>
      <c r="D652" s="8"/>
      <c r="E652" s="8"/>
      <c r="F652" s="7"/>
      <c r="G652" s="7"/>
      <c r="H652" s="7"/>
    </row>
    <row r="653" customFormat="false" ht="13.8" hidden="false" customHeight="false" outlineLevel="0" collapsed="false">
      <c r="A653" s="7"/>
      <c r="B653" s="8"/>
      <c r="C653" s="8"/>
      <c r="D653" s="8"/>
      <c r="E653" s="8"/>
      <c r="F653" s="7"/>
      <c r="G653" s="7"/>
      <c r="H653" s="7"/>
    </row>
    <row r="654" customFormat="false" ht="13.8" hidden="false" customHeight="false" outlineLevel="0" collapsed="false">
      <c r="A654" s="7"/>
      <c r="B654" s="8"/>
      <c r="C654" s="8"/>
      <c r="D654" s="8"/>
      <c r="E654" s="8"/>
      <c r="F654" s="7"/>
      <c r="G654" s="7"/>
      <c r="H654" s="7"/>
    </row>
    <row r="655" customFormat="false" ht="13.8" hidden="false" customHeight="false" outlineLevel="0" collapsed="false">
      <c r="A655" s="7"/>
      <c r="B655" s="8"/>
      <c r="C655" s="8"/>
      <c r="D655" s="8"/>
      <c r="E655" s="8"/>
      <c r="F655" s="7"/>
      <c r="G655" s="7"/>
      <c r="H655" s="7"/>
    </row>
    <row r="656" customFormat="false" ht="13.8" hidden="false" customHeight="false" outlineLevel="0" collapsed="false">
      <c r="A656" s="7"/>
      <c r="B656" s="8"/>
      <c r="C656" s="8"/>
      <c r="D656" s="8"/>
      <c r="E656" s="8"/>
      <c r="F656" s="7"/>
      <c r="G656" s="7"/>
      <c r="H656" s="7"/>
    </row>
    <row r="657" customFormat="false" ht="13.8" hidden="false" customHeight="false" outlineLevel="0" collapsed="false">
      <c r="A657" s="7"/>
      <c r="B657" s="8"/>
      <c r="C657" s="8"/>
      <c r="D657" s="8"/>
      <c r="E657" s="8"/>
      <c r="F657" s="7"/>
      <c r="G657" s="7"/>
      <c r="H657" s="7"/>
    </row>
    <row r="658" customFormat="false" ht="13.8" hidden="false" customHeight="false" outlineLevel="0" collapsed="false">
      <c r="A658" s="7"/>
      <c r="B658" s="8"/>
      <c r="C658" s="8"/>
      <c r="D658" s="8"/>
      <c r="E658" s="8"/>
      <c r="F658" s="7"/>
      <c r="G658" s="7"/>
      <c r="H658" s="7"/>
    </row>
    <row r="659" customFormat="false" ht="13.8" hidden="false" customHeight="false" outlineLevel="0" collapsed="false">
      <c r="A659" s="7"/>
      <c r="B659" s="8"/>
      <c r="C659" s="8"/>
      <c r="D659" s="8"/>
      <c r="E659" s="8"/>
      <c r="F659" s="7"/>
      <c r="G659" s="7"/>
      <c r="H659" s="7"/>
    </row>
    <row r="660" customFormat="false" ht="13.8" hidden="false" customHeight="false" outlineLevel="0" collapsed="false">
      <c r="A660" s="7"/>
      <c r="B660" s="8"/>
      <c r="C660" s="8"/>
      <c r="D660" s="8"/>
      <c r="E660" s="8"/>
      <c r="F660" s="7"/>
      <c r="G660" s="7"/>
      <c r="H660" s="7"/>
    </row>
    <row r="661" customFormat="false" ht="13.8" hidden="false" customHeight="false" outlineLevel="0" collapsed="false">
      <c r="A661" s="7"/>
      <c r="B661" s="8"/>
      <c r="C661" s="8"/>
      <c r="D661" s="8"/>
      <c r="E661" s="8"/>
      <c r="F661" s="7"/>
      <c r="G661" s="7"/>
      <c r="H661" s="7"/>
    </row>
    <row r="662" customFormat="false" ht="13.8" hidden="false" customHeight="false" outlineLevel="0" collapsed="false">
      <c r="A662" s="7"/>
      <c r="B662" s="8"/>
      <c r="C662" s="8"/>
      <c r="D662" s="8"/>
      <c r="E662" s="8"/>
      <c r="F662" s="7"/>
      <c r="G662" s="7"/>
      <c r="H662" s="7"/>
    </row>
    <row r="663" customFormat="false" ht="13.8" hidden="false" customHeight="false" outlineLevel="0" collapsed="false">
      <c r="A663" s="7"/>
      <c r="B663" s="8"/>
      <c r="C663" s="8"/>
      <c r="D663" s="8"/>
      <c r="E663" s="8"/>
      <c r="F663" s="7"/>
      <c r="G663" s="7"/>
      <c r="H663" s="7"/>
    </row>
    <row r="664" customFormat="false" ht="13.8" hidden="false" customHeight="false" outlineLevel="0" collapsed="false">
      <c r="A664" s="7"/>
      <c r="B664" s="8"/>
      <c r="C664" s="8"/>
      <c r="D664" s="8"/>
      <c r="E664" s="8"/>
      <c r="F664" s="7"/>
      <c r="G664" s="7"/>
      <c r="H664" s="7"/>
    </row>
    <row r="665" customFormat="false" ht="13.8" hidden="false" customHeight="false" outlineLevel="0" collapsed="false">
      <c r="A665" s="7"/>
      <c r="B665" s="8"/>
      <c r="C665" s="8"/>
      <c r="D665" s="8"/>
      <c r="E665" s="8"/>
      <c r="F665" s="7"/>
      <c r="G665" s="7"/>
      <c r="H665" s="7"/>
    </row>
    <row r="666" customFormat="false" ht="13.8" hidden="false" customHeight="false" outlineLevel="0" collapsed="false">
      <c r="A666" s="7"/>
      <c r="B666" s="8"/>
      <c r="C666" s="8"/>
      <c r="D666" s="8"/>
      <c r="E666" s="8"/>
      <c r="F666" s="7"/>
      <c r="G666" s="7"/>
      <c r="H666" s="7"/>
    </row>
    <row r="667" customFormat="false" ht="13.8" hidden="false" customHeight="false" outlineLevel="0" collapsed="false">
      <c r="A667" s="7"/>
      <c r="B667" s="8"/>
      <c r="C667" s="8"/>
      <c r="D667" s="8"/>
      <c r="E667" s="8"/>
      <c r="F667" s="7"/>
      <c r="G667" s="7"/>
      <c r="H667" s="7"/>
    </row>
    <row r="668" customFormat="false" ht="13.8" hidden="false" customHeight="false" outlineLevel="0" collapsed="false">
      <c r="A668" s="7"/>
      <c r="B668" s="8"/>
      <c r="C668" s="8"/>
      <c r="D668" s="8"/>
      <c r="E668" s="8"/>
      <c r="F668" s="7"/>
      <c r="G668" s="7"/>
      <c r="H668" s="7"/>
    </row>
    <row r="669" customFormat="false" ht="13.8" hidden="false" customHeight="false" outlineLevel="0" collapsed="false">
      <c r="A669" s="7"/>
      <c r="B669" s="8"/>
      <c r="C669" s="8"/>
      <c r="D669" s="8"/>
      <c r="E669" s="8"/>
      <c r="F669" s="7"/>
      <c r="G669" s="7"/>
      <c r="H669" s="7"/>
    </row>
    <row r="670" customFormat="false" ht="13.8" hidden="false" customHeight="false" outlineLevel="0" collapsed="false">
      <c r="A670" s="7"/>
      <c r="B670" s="8"/>
      <c r="C670" s="8"/>
      <c r="D670" s="8"/>
      <c r="E670" s="8"/>
      <c r="F670" s="7"/>
      <c r="G670" s="7"/>
      <c r="H670" s="7"/>
    </row>
    <row r="671" customFormat="false" ht="13.8" hidden="false" customHeight="false" outlineLevel="0" collapsed="false">
      <c r="A671" s="7"/>
      <c r="B671" s="8"/>
      <c r="C671" s="8"/>
      <c r="D671" s="8"/>
      <c r="E671" s="8"/>
      <c r="F671" s="7"/>
      <c r="G671" s="7"/>
      <c r="H671" s="7"/>
    </row>
    <row r="672" customFormat="false" ht="13.8" hidden="false" customHeight="false" outlineLevel="0" collapsed="false">
      <c r="A672" s="7"/>
      <c r="B672" s="8"/>
      <c r="C672" s="8"/>
      <c r="D672" s="8"/>
      <c r="E672" s="8"/>
      <c r="F672" s="7"/>
      <c r="G672" s="7"/>
      <c r="H672" s="7"/>
    </row>
    <row r="673" customFormat="false" ht="13.8" hidden="false" customHeight="false" outlineLevel="0" collapsed="false">
      <c r="A673" s="7"/>
      <c r="B673" s="8"/>
      <c r="C673" s="8"/>
      <c r="D673" s="8"/>
      <c r="E673" s="8"/>
      <c r="F673" s="7"/>
      <c r="G673" s="7"/>
      <c r="H673" s="7"/>
    </row>
    <row r="674" customFormat="false" ht="13.8" hidden="false" customHeight="false" outlineLevel="0" collapsed="false">
      <c r="A674" s="7"/>
      <c r="B674" s="8"/>
      <c r="C674" s="8"/>
      <c r="D674" s="8"/>
      <c r="E674" s="8"/>
      <c r="F674" s="7"/>
      <c r="G674" s="7"/>
      <c r="H674" s="7"/>
    </row>
    <row r="675" customFormat="false" ht="13.8" hidden="false" customHeight="false" outlineLevel="0" collapsed="false">
      <c r="A675" s="7"/>
      <c r="B675" s="8"/>
      <c r="C675" s="8"/>
      <c r="D675" s="8"/>
      <c r="E675" s="8"/>
      <c r="F675" s="7"/>
      <c r="G675" s="7"/>
      <c r="H675" s="7"/>
    </row>
    <row r="676" customFormat="false" ht="13.8" hidden="false" customHeight="false" outlineLevel="0" collapsed="false">
      <c r="A676" s="7"/>
      <c r="B676" s="8"/>
      <c r="C676" s="8"/>
      <c r="D676" s="8"/>
      <c r="E676" s="8"/>
      <c r="F676" s="7"/>
      <c r="G676" s="7"/>
      <c r="H676" s="7"/>
    </row>
    <row r="677" customFormat="false" ht="13.8" hidden="false" customHeight="false" outlineLevel="0" collapsed="false">
      <c r="A677" s="7"/>
      <c r="B677" s="8"/>
      <c r="C677" s="8"/>
      <c r="D677" s="8"/>
      <c r="E677" s="8"/>
      <c r="F677" s="7"/>
      <c r="G677" s="7"/>
      <c r="H677" s="7"/>
    </row>
    <row r="678" customFormat="false" ht="13.8" hidden="false" customHeight="false" outlineLevel="0" collapsed="false">
      <c r="A678" s="7"/>
      <c r="B678" s="8"/>
      <c r="C678" s="8"/>
      <c r="D678" s="8"/>
      <c r="E678" s="8"/>
      <c r="F678" s="7"/>
      <c r="G678" s="7"/>
      <c r="H678" s="7"/>
    </row>
    <row r="679" customFormat="false" ht="13.8" hidden="false" customHeight="false" outlineLevel="0" collapsed="false">
      <c r="A679" s="7"/>
      <c r="B679" s="8"/>
      <c r="C679" s="8"/>
      <c r="D679" s="8"/>
      <c r="E679" s="8"/>
      <c r="F679" s="7"/>
      <c r="G679" s="7"/>
      <c r="H679" s="7"/>
    </row>
    <row r="680" customFormat="false" ht="13.8" hidden="false" customHeight="false" outlineLevel="0" collapsed="false">
      <c r="A680" s="7"/>
      <c r="B680" s="8"/>
      <c r="C680" s="8"/>
      <c r="D680" s="8"/>
      <c r="E680" s="8"/>
      <c r="F680" s="7"/>
      <c r="G680" s="7"/>
      <c r="H680" s="7"/>
    </row>
    <row r="681" customFormat="false" ht="13.8" hidden="false" customHeight="false" outlineLevel="0" collapsed="false">
      <c r="A681" s="7"/>
      <c r="B681" s="8"/>
      <c r="C681" s="8"/>
      <c r="D681" s="8"/>
      <c r="E681" s="8"/>
      <c r="F681" s="7"/>
      <c r="G681" s="7"/>
      <c r="H681" s="7"/>
    </row>
    <row r="682" customFormat="false" ht="13.8" hidden="false" customHeight="false" outlineLevel="0" collapsed="false">
      <c r="A682" s="7"/>
      <c r="B682" s="8"/>
      <c r="C682" s="8"/>
      <c r="D682" s="8"/>
      <c r="E682" s="8"/>
      <c r="F682" s="7"/>
      <c r="G682" s="7"/>
      <c r="H682" s="7"/>
    </row>
    <row r="683" customFormat="false" ht="13.8" hidden="false" customHeight="false" outlineLevel="0" collapsed="false">
      <c r="A683" s="7"/>
      <c r="B683" s="8"/>
      <c r="C683" s="8"/>
      <c r="D683" s="8"/>
      <c r="E683" s="8"/>
      <c r="F683" s="7"/>
      <c r="G683" s="7"/>
      <c r="H683" s="7"/>
    </row>
    <row r="684" customFormat="false" ht="13.8" hidden="false" customHeight="false" outlineLevel="0" collapsed="false">
      <c r="A684" s="7"/>
      <c r="B684" s="8"/>
      <c r="C684" s="8"/>
      <c r="D684" s="8"/>
      <c r="E684" s="8"/>
      <c r="F684" s="7"/>
      <c r="G684" s="7"/>
      <c r="H684" s="7"/>
    </row>
    <row r="685" customFormat="false" ht="13.8" hidden="false" customHeight="false" outlineLevel="0" collapsed="false">
      <c r="A685" s="7"/>
      <c r="B685" s="8"/>
      <c r="C685" s="8"/>
      <c r="D685" s="8"/>
      <c r="E685" s="8"/>
      <c r="F685" s="7"/>
      <c r="G685" s="7"/>
      <c r="H685" s="7"/>
    </row>
    <row r="686" customFormat="false" ht="13.8" hidden="false" customHeight="false" outlineLevel="0" collapsed="false">
      <c r="A686" s="7"/>
      <c r="B686" s="8"/>
      <c r="C686" s="8"/>
      <c r="D686" s="8"/>
      <c r="E686" s="8"/>
      <c r="F686" s="7"/>
      <c r="G686" s="7"/>
      <c r="H686" s="7"/>
    </row>
    <row r="687" customFormat="false" ht="13.8" hidden="false" customHeight="false" outlineLevel="0" collapsed="false">
      <c r="A687" s="7"/>
      <c r="B687" s="8"/>
      <c r="C687" s="8"/>
      <c r="D687" s="8"/>
      <c r="E687" s="8"/>
      <c r="F687" s="7"/>
      <c r="G687" s="7"/>
      <c r="H687" s="7"/>
    </row>
    <row r="688" customFormat="false" ht="13.8" hidden="false" customHeight="false" outlineLevel="0" collapsed="false">
      <c r="A688" s="7"/>
      <c r="B688" s="8"/>
      <c r="C688" s="8"/>
      <c r="D688" s="8"/>
      <c r="E688" s="8"/>
      <c r="F688" s="7"/>
      <c r="G688" s="7"/>
      <c r="H688" s="7"/>
    </row>
    <row r="689" customFormat="false" ht="13.8" hidden="false" customHeight="false" outlineLevel="0" collapsed="false">
      <c r="A689" s="7"/>
      <c r="B689" s="8"/>
      <c r="C689" s="8"/>
      <c r="D689" s="8"/>
      <c r="E689" s="8"/>
      <c r="F689" s="7"/>
      <c r="G689" s="7"/>
      <c r="H689" s="7"/>
    </row>
    <row r="690" customFormat="false" ht="13.8" hidden="false" customHeight="false" outlineLevel="0" collapsed="false">
      <c r="A690" s="7"/>
      <c r="B690" s="8"/>
      <c r="C690" s="8"/>
      <c r="D690" s="8"/>
      <c r="E690" s="8"/>
      <c r="F690" s="7"/>
      <c r="G690" s="7"/>
      <c r="H690" s="7"/>
    </row>
    <row r="691" customFormat="false" ht="13.8" hidden="false" customHeight="false" outlineLevel="0" collapsed="false">
      <c r="A691" s="7"/>
      <c r="B691" s="8"/>
      <c r="C691" s="8"/>
      <c r="D691" s="8"/>
      <c r="E691" s="8"/>
      <c r="F691" s="7"/>
      <c r="G691" s="7"/>
      <c r="H691" s="7"/>
    </row>
    <row r="692" customFormat="false" ht="13.8" hidden="false" customHeight="false" outlineLevel="0" collapsed="false">
      <c r="A692" s="7"/>
      <c r="B692" s="8"/>
      <c r="C692" s="8"/>
      <c r="D692" s="8"/>
      <c r="E692" s="8"/>
      <c r="F692" s="7"/>
      <c r="G692" s="7"/>
      <c r="H692" s="7"/>
    </row>
    <row r="693" customFormat="false" ht="13.8" hidden="false" customHeight="false" outlineLevel="0" collapsed="false">
      <c r="A693" s="7"/>
      <c r="B693" s="8"/>
      <c r="C693" s="8"/>
      <c r="D693" s="8"/>
      <c r="E693" s="8"/>
      <c r="F693" s="7"/>
      <c r="G693" s="7"/>
      <c r="H693" s="7"/>
    </row>
    <row r="694" customFormat="false" ht="13.8" hidden="false" customHeight="false" outlineLevel="0" collapsed="false">
      <c r="A694" s="7"/>
      <c r="B694" s="8"/>
      <c r="C694" s="8"/>
      <c r="D694" s="8"/>
      <c r="E694" s="8"/>
      <c r="F694" s="7"/>
      <c r="G694" s="7"/>
      <c r="H694" s="7"/>
    </row>
    <row r="695" customFormat="false" ht="13.8" hidden="false" customHeight="false" outlineLevel="0" collapsed="false">
      <c r="A695" s="7"/>
      <c r="B695" s="8"/>
      <c r="C695" s="8"/>
      <c r="D695" s="8"/>
      <c r="E695" s="8"/>
      <c r="F695" s="7"/>
      <c r="G695" s="7"/>
      <c r="H695" s="7"/>
    </row>
    <row r="696" customFormat="false" ht="13.8" hidden="false" customHeight="false" outlineLevel="0" collapsed="false">
      <c r="A696" s="7"/>
      <c r="B696" s="8"/>
      <c r="C696" s="8"/>
      <c r="D696" s="8"/>
      <c r="E696" s="8"/>
      <c r="F696" s="7"/>
      <c r="G696" s="7"/>
      <c r="H696" s="7"/>
    </row>
    <row r="697" customFormat="false" ht="13.8" hidden="false" customHeight="false" outlineLevel="0" collapsed="false">
      <c r="A697" s="7"/>
      <c r="B697" s="8"/>
      <c r="C697" s="8"/>
      <c r="D697" s="8"/>
      <c r="E697" s="8"/>
      <c r="F697" s="7"/>
      <c r="G697" s="7"/>
      <c r="H697" s="7"/>
    </row>
    <row r="698" customFormat="false" ht="13.8" hidden="false" customHeight="false" outlineLevel="0" collapsed="false">
      <c r="A698" s="7"/>
      <c r="B698" s="8"/>
      <c r="C698" s="8"/>
      <c r="D698" s="8"/>
      <c r="E698" s="8"/>
      <c r="F698" s="7"/>
      <c r="G698" s="7"/>
      <c r="H698" s="7"/>
    </row>
    <row r="699" customFormat="false" ht="13.8" hidden="false" customHeight="false" outlineLevel="0" collapsed="false">
      <c r="A699" s="7"/>
      <c r="B699" s="8"/>
      <c r="C699" s="8"/>
      <c r="D699" s="8"/>
      <c r="E699" s="8"/>
      <c r="F699" s="7"/>
      <c r="G699" s="7"/>
      <c r="H699" s="7"/>
    </row>
    <row r="700" customFormat="false" ht="13.8" hidden="false" customHeight="false" outlineLevel="0" collapsed="false">
      <c r="A700" s="7"/>
      <c r="B700" s="8"/>
      <c r="C700" s="8"/>
      <c r="D700" s="8"/>
      <c r="E700" s="8"/>
      <c r="F700" s="7"/>
      <c r="G700" s="7"/>
      <c r="H700" s="7"/>
    </row>
    <row r="701" customFormat="false" ht="13.8" hidden="false" customHeight="false" outlineLevel="0" collapsed="false">
      <c r="A701" s="7"/>
      <c r="B701" s="8"/>
      <c r="C701" s="8"/>
      <c r="D701" s="8"/>
      <c r="E701" s="8"/>
      <c r="F701" s="7"/>
      <c r="G701" s="7"/>
      <c r="H701" s="7"/>
    </row>
    <row r="702" customFormat="false" ht="13.8" hidden="false" customHeight="false" outlineLevel="0" collapsed="false">
      <c r="A702" s="7"/>
      <c r="B702" s="8"/>
      <c r="C702" s="8"/>
      <c r="D702" s="8"/>
      <c r="E702" s="8"/>
      <c r="F702" s="7"/>
      <c r="G702" s="7"/>
      <c r="H702" s="7"/>
    </row>
    <row r="703" customFormat="false" ht="13.8" hidden="false" customHeight="false" outlineLevel="0" collapsed="false">
      <c r="A703" s="7"/>
      <c r="B703" s="8"/>
      <c r="C703" s="8"/>
      <c r="D703" s="8"/>
      <c r="E703" s="8"/>
      <c r="F703" s="7"/>
      <c r="G703" s="7"/>
      <c r="H703" s="7"/>
    </row>
    <row r="704" customFormat="false" ht="13.8" hidden="false" customHeight="false" outlineLevel="0" collapsed="false">
      <c r="A704" s="7"/>
      <c r="B704" s="8"/>
      <c r="C704" s="8"/>
      <c r="D704" s="8"/>
      <c r="E704" s="8"/>
      <c r="F704" s="7"/>
      <c r="G704" s="7"/>
      <c r="H704" s="7"/>
    </row>
    <row r="705" customFormat="false" ht="13.8" hidden="false" customHeight="false" outlineLevel="0" collapsed="false">
      <c r="A705" s="7"/>
      <c r="B705" s="8"/>
      <c r="C705" s="8"/>
      <c r="D705" s="8"/>
      <c r="E705" s="8"/>
      <c r="F705" s="7"/>
      <c r="G705" s="7"/>
      <c r="H705" s="7"/>
    </row>
    <row r="706" customFormat="false" ht="13.8" hidden="false" customHeight="false" outlineLevel="0" collapsed="false">
      <c r="A706" s="7"/>
      <c r="B706" s="8"/>
      <c r="C706" s="8"/>
      <c r="D706" s="8"/>
      <c r="E706" s="8"/>
      <c r="F706" s="7"/>
      <c r="G706" s="7"/>
      <c r="H706" s="7"/>
    </row>
    <row r="707" customFormat="false" ht="13.8" hidden="false" customHeight="false" outlineLevel="0" collapsed="false">
      <c r="A707" s="7"/>
      <c r="B707" s="8"/>
      <c r="C707" s="8"/>
      <c r="D707" s="8"/>
      <c r="E707" s="8"/>
      <c r="F707" s="7"/>
      <c r="G707" s="7"/>
      <c r="H707" s="7"/>
    </row>
    <row r="708" customFormat="false" ht="13.8" hidden="false" customHeight="false" outlineLevel="0" collapsed="false">
      <c r="A708" s="7"/>
      <c r="B708" s="8"/>
      <c r="C708" s="8"/>
      <c r="D708" s="8"/>
      <c r="E708" s="8"/>
      <c r="F708" s="7"/>
      <c r="G708" s="7"/>
      <c r="H708" s="7"/>
    </row>
    <row r="709" customFormat="false" ht="13.8" hidden="false" customHeight="false" outlineLevel="0" collapsed="false">
      <c r="A709" s="7"/>
      <c r="B709" s="8"/>
      <c r="C709" s="8"/>
      <c r="D709" s="8"/>
      <c r="E709" s="8"/>
      <c r="F709" s="7"/>
      <c r="G709" s="7"/>
      <c r="H709" s="7"/>
    </row>
    <row r="710" customFormat="false" ht="13.8" hidden="false" customHeight="false" outlineLevel="0" collapsed="false">
      <c r="A710" s="7"/>
      <c r="B710" s="8"/>
      <c r="C710" s="8"/>
      <c r="D710" s="8"/>
      <c r="E710" s="8"/>
      <c r="F710" s="7"/>
      <c r="G710" s="7"/>
      <c r="H710" s="7"/>
    </row>
    <row r="711" customFormat="false" ht="13.8" hidden="false" customHeight="false" outlineLevel="0" collapsed="false">
      <c r="A711" s="7"/>
      <c r="B711" s="8"/>
      <c r="C711" s="8"/>
      <c r="D711" s="8"/>
      <c r="E711" s="8"/>
      <c r="F711" s="7"/>
      <c r="G711" s="7"/>
      <c r="H711" s="7"/>
    </row>
    <row r="712" customFormat="false" ht="13.8" hidden="false" customHeight="false" outlineLevel="0" collapsed="false">
      <c r="A712" s="7"/>
      <c r="B712" s="8"/>
      <c r="C712" s="8"/>
      <c r="D712" s="8"/>
      <c r="E712" s="8"/>
      <c r="F712" s="7"/>
      <c r="G712" s="7"/>
      <c r="H712" s="7"/>
    </row>
    <row r="713" customFormat="false" ht="13.8" hidden="false" customHeight="false" outlineLevel="0" collapsed="false">
      <c r="A713" s="7"/>
      <c r="B713" s="8"/>
      <c r="C713" s="8"/>
      <c r="D713" s="8"/>
      <c r="E713" s="8"/>
      <c r="F713" s="7"/>
      <c r="G713" s="7"/>
      <c r="H713" s="7"/>
    </row>
    <row r="714" customFormat="false" ht="13.8" hidden="false" customHeight="false" outlineLevel="0" collapsed="false">
      <c r="A714" s="7"/>
      <c r="B714" s="8"/>
      <c r="C714" s="8"/>
      <c r="D714" s="8"/>
      <c r="E714" s="8"/>
      <c r="F714" s="7"/>
      <c r="G714" s="7"/>
      <c r="H714" s="7"/>
    </row>
    <row r="715" customFormat="false" ht="13.8" hidden="false" customHeight="false" outlineLevel="0" collapsed="false">
      <c r="A715" s="7"/>
      <c r="B715" s="8"/>
      <c r="C715" s="8"/>
      <c r="D715" s="8"/>
      <c r="E715" s="8"/>
      <c r="F715" s="7"/>
      <c r="G715" s="7"/>
      <c r="H715" s="7"/>
    </row>
    <row r="716" customFormat="false" ht="13.8" hidden="false" customHeight="false" outlineLevel="0" collapsed="false">
      <c r="A716" s="7"/>
      <c r="B716" s="8"/>
      <c r="C716" s="8"/>
      <c r="D716" s="8"/>
      <c r="E716" s="8"/>
      <c r="F716" s="7"/>
      <c r="G716" s="7"/>
      <c r="H716" s="7"/>
    </row>
    <row r="717" customFormat="false" ht="13.8" hidden="false" customHeight="false" outlineLevel="0" collapsed="false">
      <c r="A717" s="7"/>
      <c r="B717" s="8"/>
      <c r="C717" s="8"/>
      <c r="D717" s="8"/>
      <c r="E717" s="8"/>
      <c r="F717" s="7"/>
      <c r="G717" s="7"/>
      <c r="H717" s="7"/>
    </row>
    <row r="718" customFormat="false" ht="13.8" hidden="false" customHeight="false" outlineLevel="0" collapsed="false">
      <c r="A718" s="7"/>
      <c r="B718" s="8"/>
      <c r="C718" s="8"/>
      <c r="D718" s="8"/>
      <c r="E718" s="8"/>
      <c r="F718" s="7"/>
      <c r="G718" s="7"/>
      <c r="H718" s="7"/>
    </row>
    <row r="719" customFormat="false" ht="13.8" hidden="false" customHeight="false" outlineLevel="0" collapsed="false">
      <c r="A719" s="7"/>
      <c r="B719" s="8"/>
      <c r="C719" s="8"/>
      <c r="D719" s="8"/>
      <c r="E719" s="8"/>
      <c r="F719" s="7"/>
      <c r="G719" s="7"/>
      <c r="H719" s="7"/>
    </row>
    <row r="720" customFormat="false" ht="13.8" hidden="false" customHeight="false" outlineLevel="0" collapsed="false">
      <c r="A720" s="7"/>
      <c r="B720" s="8"/>
      <c r="C720" s="8"/>
      <c r="D720" s="8"/>
      <c r="E720" s="8"/>
      <c r="F720" s="7"/>
      <c r="G720" s="7"/>
      <c r="H720" s="7"/>
    </row>
    <row r="721" customFormat="false" ht="13.8" hidden="false" customHeight="false" outlineLevel="0" collapsed="false">
      <c r="A721" s="7"/>
      <c r="B721" s="8"/>
      <c r="C721" s="8"/>
      <c r="D721" s="8"/>
      <c r="E721" s="8"/>
      <c r="F721" s="7"/>
      <c r="G721" s="7"/>
      <c r="H721" s="7"/>
    </row>
    <row r="722" customFormat="false" ht="13.8" hidden="false" customHeight="false" outlineLevel="0" collapsed="false">
      <c r="A722" s="7"/>
      <c r="B722" s="8"/>
      <c r="C722" s="8"/>
      <c r="D722" s="8"/>
      <c r="E722" s="8"/>
      <c r="F722" s="7"/>
      <c r="G722" s="7"/>
      <c r="H722" s="7"/>
    </row>
    <row r="723" customFormat="false" ht="13.8" hidden="false" customHeight="false" outlineLevel="0" collapsed="false">
      <c r="A723" s="7"/>
      <c r="B723" s="8"/>
      <c r="C723" s="8"/>
      <c r="D723" s="8"/>
      <c r="E723" s="8"/>
      <c r="F723" s="7"/>
      <c r="G723" s="7"/>
      <c r="H723" s="7"/>
    </row>
    <row r="724" customFormat="false" ht="13.8" hidden="false" customHeight="false" outlineLevel="0" collapsed="false">
      <c r="A724" s="7"/>
      <c r="B724" s="8"/>
      <c r="C724" s="8"/>
      <c r="D724" s="8"/>
      <c r="E724" s="8"/>
      <c r="F724" s="7"/>
      <c r="G724" s="7"/>
      <c r="H724" s="7"/>
    </row>
    <row r="725" customFormat="false" ht="13.8" hidden="false" customHeight="false" outlineLevel="0" collapsed="false">
      <c r="A725" s="7"/>
      <c r="B725" s="8"/>
      <c r="C725" s="8"/>
      <c r="D725" s="8"/>
      <c r="E725" s="8"/>
      <c r="F725" s="7"/>
      <c r="G725" s="7"/>
      <c r="H725" s="7"/>
    </row>
    <row r="726" customFormat="false" ht="13.8" hidden="false" customHeight="false" outlineLevel="0" collapsed="false">
      <c r="A726" s="7"/>
      <c r="B726" s="8"/>
      <c r="C726" s="8"/>
      <c r="D726" s="8"/>
      <c r="E726" s="8"/>
      <c r="F726" s="7"/>
      <c r="G726" s="7"/>
      <c r="H726" s="7"/>
    </row>
    <row r="727" customFormat="false" ht="13.8" hidden="false" customHeight="false" outlineLevel="0" collapsed="false">
      <c r="A727" s="7"/>
      <c r="B727" s="8"/>
      <c r="C727" s="8"/>
      <c r="D727" s="8"/>
      <c r="E727" s="8"/>
      <c r="F727" s="7"/>
      <c r="G727" s="7"/>
      <c r="H727" s="7"/>
    </row>
    <row r="728" customFormat="false" ht="13.8" hidden="false" customHeight="false" outlineLevel="0" collapsed="false">
      <c r="A728" s="7"/>
      <c r="B728" s="8"/>
      <c r="C728" s="8"/>
      <c r="D728" s="8"/>
      <c r="E728" s="8"/>
      <c r="F728" s="7"/>
      <c r="G728" s="7"/>
      <c r="H728" s="7"/>
    </row>
    <row r="729" customFormat="false" ht="13.8" hidden="false" customHeight="false" outlineLevel="0" collapsed="false">
      <c r="A729" s="7"/>
      <c r="B729" s="8"/>
      <c r="C729" s="8"/>
      <c r="D729" s="8"/>
      <c r="E729" s="8"/>
      <c r="F729" s="7"/>
      <c r="G729" s="7"/>
      <c r="H729" s="7"/>
    </row>
    <row r="730" customFormat="false" ht="13.8" hidden="false" customHeight="false" outlineLevel="0" collapsed="false">
      <c r="A730" s="7"/>
      <c r="B730" s="8"/>
      <c r="C730" s="8"/>
      <c r="D730" s="8"/>
      <c r="E730" s="8"/>
      <c r="F730" s="7"/>
      <c r="G730" s="7"/>
      <c r="H730" s="7"/>
    </row>
    <row r="731" customFormat="false" ht="13.8" hidden="false" customHeight="false" outlineLevel="0" collapsed="false">
      <c r="A731" s="7"/>
      <c r="B731" s="8"/>
      <c r="C731" s="8"/>
      <c r="D731" s="8"/>
      <c r="E731" s="8"/>
      <c r="F731" s="7"/>
      <c r="G731" s="7"/>
      <c r="H731" s="7"/>
    </row>
    <row r="732" customFormat="false" ht="13.8" hidden="false" customHeight="false" outlineLevel="0" collapsed="false">
      <c r="A732" s="7"/>
      <c r="B732" s="8"/>
      <c r="C732" s="8"/>
      <c r="D732" s="8"/>
      <c r="E732" s="8"/>
      <c r="F732" s="7"/>
      <c r="G732" s="7"/>
      <c r="H732" s="7"/>
    </row>
    <row r="733" customFormat="false" ht="13.8" hidden="false" customHeight="false" outlineLevel="0" collapsed="false">
      <c r="A733" s="7"/>
      <c r="B733" s="8"/>
      <c r="C733" s="8"/>
      <c r="D733" s="8"/>
      <c r="E733" s="8"/>
      <c r="F733" s="7"/>
      <c r="G733" s="7"/>
      <c r="H733" s="7"/>
    </row>
    <row r="734" customFormat="false" ht="13.8" hidden="false" customHeight="false" outlineLevel="0" collapsed="false">
      <c r="A734" s="7"/>
      <c r="B734" s="8"/>
      <c r="C734" s="8"/>
      <c r="D734" s="8"/>
      <c r="E734" s="8"/>
      <c r="F734" s="7"/>
      <c r="G734" s="7"/>
      <c r="H734" s="7"/>
    </row>
    <row r="735" customFormat="false" ht="13.8" hidden="false" customHeight="false" outlineLevel="0" collapsed="false">
      <c r="A735" s="7"/>
      <c r="B735" s="8"/>
      <c r="C735" s="8"/>
      <c r="D735" s="8"/>
      <c r="E735" s="8"/>
      <c r="F735" s="7"/>
      <c r="G735" s="7"/>
      <c r="H735" s="7"/>
    </row>
    <row r="736" customFormat="false" ht="13.8" hidden="false" customHeight="false" outlineLevel="0" collapsed="false">
      <c r="A736" s="7"/>
      <c r="B736" s="8"/>
      <c r="C736" s="8"/>
      <c r="D736" s="8"/>
      <c r="E736" s="8"/>
      <c r="F736" s="7"/>
      <c r="G736" s="7"/>
      <c r="H736" s="7"/>
    </row>
    <row r="737" customFormat="false" ht="13.8" hidden="false" customHeight="false" outlineLevel="0" collapsed="false">
      <c r="A737" s="7"/>
      <c r="B737" s="8"/>
      <c r="C737" s="8"/>
      <c r="D737" s="8"/>
      <c r="E737" s="8"/>
      <c r="F737" s="7"/>
      <c r="G737" s="7"/>
      <c r="H737" s="7"/>
    </row>
    <row r="738" customFormat="false" ht="13.8" hidden="false" customHeight="false" outlineLevel="0" collapsed="false">
      <c r="A738" s="7"/>
      <c r="B738" s="8"/>
      <c r="C738" s="8"/>
      <c r="D738" s="8"/>
      <c r="E738" s="8"/>
      <c r="F738" s="7"/>
      <c r="G738" s="7"/>
      <c r="H738" s="7"/>
    </row>
    <row r="739" customFormat="false" ht="13.8" hidden="false" customHeight="false" outlineLevel="0" collapsed="false">
      <c r="A739" s="7"/>
      <c r="B739" s="8"/>
      <c r="C739" s="8"/>
      <c r="D739" s="8"/>
      <c r="E739" s="8"/>
      <c r="F739" s="7"/>
      <c r="G739" s="7"/>
      <c r="H739" s="7"/>
    </row>
    <row r="740" customFormat="false" ht="13.8" hidden="false" customHeight="false" outlineLevel="0" collapsed="false">
      <c r="A740" s="7"/>
      <c r="B740" s="8"/>
      <c r="C740" s="8"/>
      <c r="D740" s="8"/>
      <c r="E740" s="8"/>
      <c r="F740" s="7"/>
      <c r="G740" s="7"/>
      <c r="H740" s="7"/>
    </row>
    <row r="741" customFormat="false" ht="13.8" hidden="false" customHeight="false" outlineLevel="0" collapsed="false">
      <c r="A741" s="7"/>
      <c r="B741" s="8"/>
      <c r="C741" s="8"/>
      <c r="D741" s="8"/>
      <c r="E741" s="8"/>
      <c r="F741" s="7"/>
      <c r="G741" s="7"/>
      <c r="H741" s="7"/>
    </row>
    <row r="742" customFormat="false" ht="13.8" hidden="false" customHeight="false" outlineLevel="0" collapsed="false">
      <c r="A742" s="7"/>
      <c r="B742" s="8"/>
      <c r="C742" s="8"/>
      <c r="D742" s="8"/>
      <c r="E742" s="8"/>
      <c r="F742" s="7"/>
      <c r="G742" s="7"/>
      <c r="H742" s="7"/>
    </row>
    <row r="743" customFormat="false" ht="13.8" hidden="false" customHeight="false" outlineLevel="0" collapsed="false">
      <c r="A743" s="7"/>
      <c r="B743" s="8"/>
      <c r="C743" s="8"/>
      <c r="D743" s="8"/>
      <c r="E743" s="8"/>
      <c r="F743" s="7"/>
      <c r="G743" s="7"/>
      <c r="H743" s="7"/>
    </row>
    <row r="744" customFormat="false" ht="13.8" hidden="false" customHeight="false" outlineLevel="0" collapsed="false">
      <c r="A744" s="7"/>
      <c r="B744" s="8"/>
      <c r="C744" s="8"/>
      <c r="D744" s="8"/>
      <c r="E744" s="8"/>
      <c r="F744" s="7"/>
      <c r="G744" s="7"/>
      <c r="H744" s="7"/>
    </row>
    <row r="745" customFormat="false" ht="13.8" hidden="false" customHeight="false" outlineLevel="0" collapsed="false">
      <c r="A745" s="7"/>
      <c r="B745" s="8"/>
      <c r="C745" s="8"/>
      <c r="D745" s="8"/>
      <c r="E745" s="8"/>
      <c r="F745" s="7"/>
      <c r="G745" s="7"/>
      <c r="H745" s="7"/>
    </row>
    <row r="746" customFormat="false" ht="13.8" hidden="false" customHeight="false" outlineLevel="0" collapsed="false">
      <c r="A746" s="7"/>
      <c r="B746" s="8"/>
      <c r="C746" s="8"/>
      <c r="D746" s="8"/>
      <c r="E746" s="8"/>
      <c r="F746" s="7"/>
      <c r="G746" s="7"/>
      <c r="H746" s="7"/>
    </row>
    <row r="747" customFormat="false" ht="13.8" hidden="false" customHeight="false" outlineLevel="0" collapsed="false">
      <c r="A747" s="7"/>
      <c r="B747" s="8"/>
      <c r="C747" s="8"/>
      <c r="D747" s="8"/>
      <c r="E747" s="8"/>
      <c r="F747" s="7"/>
      <c r="G747" s="7"/>
      <c r="H747" s="7"/>
    </row>
    <row r="748" customFormat="false" ht="13.8" hidden="false" customHeight="false" outlineLevel="0" collapsed="false">
      <c r="A748" s="7"/>
      <c r="B748" s="8"/>
      <c r="C748" s="8"/>
      <c r="D748" s="8"/>
      <c r="E748" s="8"/>
      <c r="F748" s="7"/>
      <c r="G748" s="7"/>
      <c r="H748" s="7"/>
    </row>
    <row r="749" customFormat="false" ht="13.8" hidden="false" customHeight="false" outlineLevel="0" collapsed="false">
      <c r="A749" s="7"/>
      <c r="B749" s="8"/>
      <c r="C749" s="8"/>
      <c r="D749" s="8"/>
      <c r="E749" s="8"/>
      <c r="F749" s="7"/>
      <c r="G749" s="7"/>
      <c r="H749" s="7"/>
    </row>
    <row r="750" customFormat="false" ht="13.8" hidden="false" customHeight="false" outlineLevel="0" collapsed="false">
      <c r="A750" s="7"/>
      <c r="B750" s="8"/>
      <c r="C750" s="8"/>
      <c r="D750" s="8"/>
      <c r="E750" s="8"/>
      <c r="F750" s="7"/>
      <c r="G750" s="7"/>
      <c r="H750" s="7"/>
    </row>
    <row r="751" customFormat="false" ht="13.8" hidden="false" customHeight="false" outlineLevel="0" collapsed="false">
      <c r="A751" s="7"/>
      <c r="B751" s="8"/>
      <c r="C751" s="8"/>
      <c r="D751" s="8"/>
      <c r="E751" s="8"/>
      <c r="F751" s="7"/>
      <c r="G751" s="7"/>
      <c r="H751" s="7"/>
    </row>
    <row r="752" customFormat="false" ht="13.8" hidden="false" customHeight="false" outlineLevel="0" collapsed="false">
      <c r="A752" s="7"/>
      <c r="B752" s="8"/>
      <c r="C752" s="8"/>
      <c r="D752" s="8"/>
      <c r="E752" s="8"/>
      <c r="F752" s="7"/>
      <c r="G752" s="7"/>
      <c r="H752" s="7"/>
    </row>
    <row r="753" customFormat="false" ht="13.8" hidden="false" customHeight="false" outlineLevel="0" collapsed="false">
      <c r="A753" s="7"/>
      <c r="B753" s="8"/>
      <c r="C753" s="8"/>
      <c r="D753" s="8"/>
      <c r="E753" s="8"/>
      <c r="F753" s="7"/>
      <c r="G753" s="7"/>
      <c r="H753" s="7"/>
    </row>
    <row r="754" customFormat="false" ht="13.8" hidden="false" customHeight="false" outlineLevel="0" collapsed="false">
      <c r="A754" s="7"/>
      <c r="B754" s="8"/>
      <c r="C754" s="8"/>
      <c r="D754" s="8"/>
      <c r="E754" s="8"/>
      <c r="F754" s="7"/>
      <c r="G754" s="7"/>
      <c r="H754" s="7"/>
    </row>
    <row r="755" customFormat="false" ht="13.8" hidden="false" customHeight="false" outlineLevel="0" collapsed="false">
      <c r="A755" s="7"/>
      <c r="B755" s="8"/>
      <c r="C755" s="8"/>
      <c r="D755" s="8"/>
      <c r="E755" s="8"/>
      <c r="F755" s="7"/>
      <c r="G755" s="7"/>
      <c r="H755" s="7"/>
    </row>
    <row r="756" customFormat="false" ht="13.8" hidden="false" customHeight="false" outlineLevel="0" collapsed="false">
      <c r="A756" s="7"/>
      <c r="B756" s="8"/>
      <c r="C756" s="8"/>
      <c r="D756" s="8"/>
      <c r="E756" s="8"/>
      <c r="F756" s="7"/>
      <c r="G756" s="7"/>
      <c r="H756" s="7"/>
    </row>
    <row r="757" customFormat="false" ht="13.8" hidden="false" customHeight="false" outlineLevel="0" collapsed="false">
      <c r="A757" s="7"/>
      <c r="B757" s="8"/>
      <c r="C757" s="8"/>
      <c r="D757" s="8"/>
      <c r="E757" s="8"/>
      <c r="F757" s="7"/>
      <c r="G757" s="7"/>
      <c r="H757" s="7"/>
    </row>
    <row r="758" customFormat="false" ht="13.8" hidden="false" customHeight="false" outlineLevel="0" collapsed="false">
      <c r="A758" s="7"/>
      <c r="B758" s="8"/>
      <c r="C758" s="8"/>
      <c r="D758" s="8"/>
      <c r="E758" s="8"/>
      <c r="F758" s="7"/>
      <c r="G758" s="7"/>
      <c r="H758" s="7"/>
    </row>
    <row r="759" customFormat="false" ht="13.8" hidden="false" customHeight="false" outlineLevel="0" collapsed="false">
      <c r="A759" s="7"/>
      <c r="B759" s="8"/>
      <c r="C759" s="8"/>
      <c r="D759" s="8"/>
      <c r="E759" s="8"/>
      <c r="F759" s="7"/>
      <c r="G759" s="7"/>
      <c r="H759" s="7"/>
    </row>
    <row r="760" customFormat="false" ht="13.8" hidden="false" customHeight="false" outlineLevel="0" collapsed="false">
      <c r="A760" s="7"/>
      <c r="B760" s="8"/>
      <c r="C760" s="8"/>
      <c r="D760" s="8"/>
      <c r="E760" s="8"/>
      <c r="F760" s="7"/>
      <c r="G760" s="7"/>
      <c r="H760" s="7"/>
    </row>
    <row r="761" customFormat="false" ht="13.8" hidden="false" customHeight="false" outlineLevel="0" collapsed="false">
      <c r="A761" s="7"/>
      <c r="B761" s="8"/>
      <c r="C761" s="8"/>
      <c r="D761" s="8"/>
      <c r="E761" s="8"/>
      <c r="F761" s="7"/>
      <c r="G761" s="7"/>
      <c r="H761" s="7"/>
    </row>
    <row r="762" customFormat="false" ht="13.8" hidden="false" customHeight="false" outlineLevel="0" collapsed="false">
      <c r="A762" s="7"/>
      <c r="B762" s="8"/>
      <c r="C762" s="8"/>
      <c r="D762" s="8"/>
      <c r="E762" s="8"/>
      <c r="F762" s="7"/>
      <c r="G762" s="7"/>
      <c r="H762" s="7"/>
    </row>
    <row r="763" customFormat="false" ht="13.8" hidden="false" customHeight="false" outlineLevel="0" collapsed="false">
      <c r="A763" s="7"/>
      <c r="B763" s="8"/>
      <c r="C763" s="8"/>
      <c r="D763" s="8"/>
      <c r="E763" s="8"/>
      <c r="F763" s="7"/>
      <c r="G763" s="7"/>
      <c r="H763" s="7"/>
    </row>
    <row r="764" customFormat="false" ht="13.8" hidden="false" customHeight="false" outlineLevel="0" collapsed="false">
      <c r="A764" s="7"/>
      <c r="B764" s="8"/>
      <c r="C764" s="8"/>
      <c r="D764" s="8"/>
      <c r="E764" s="8"/>
      <c r="F764" s="7"/>
      <c r="G764" s="7"/>
      <c r="H764" s="7"/>
    </row>
    <row r="765" customFormat="false" ht="13.8" hidden="false" customHeight="false" outlineLevel="0" collapsed="false">
      <c r="A765" s="7"/>
      <c r="B765" s="8"/>
      <c r="C765" s="8"/>
      <c r="D765" s="8"/>
      <c r="E765" s="8"/>
      <c r="F765" s="7"/>
      <c r="G765" s="7"/>
      <c r="H765" s="7"/>
    </row>
    <row r="766" customFormat="false" ht="13.8" hidden="false" customHeight="false" outlineLevel="0" collapsed="false">
      <c r="A766" s="7"/>
      <c r="B766" s="8"/>
      <c r="C766" s="8"/>
      <c r="D766" s="8"/>
      <c r="E766" s="8"/>
      <c r="F766" s="7"/>
      <c r="G766" s="7"/>
      <c r="H766" s="7"/>
    </row>
    <row r="767" customFormat="false" ht="13.8" hidden="false" customHeight="false" outlineLevel="0" collapsed="false">
      <c r="A767" s="7"/>
      <c r="B767" s="8"/>
      <c r="C767" s="8"/>
      <c r="D767" s="8"/>
      <c r="E767" s="8"/>
      <c r="F767" s="7"/>
      <c r="G767" s="7"/>
      <c r="H767" s="7"/>
    </row>
    <row r="768" customFormat="false" ht="13.8" hidden="false" customHeight="false" outlineLevel="0" collapsed="false">
      <c r="A768" s="7"/>
      <c r="B768" s="8"/>
      <c r="C768" s="8"/>
      <c r="D768" s="8"/>
      <c r="E768" s="8"/>
      <c r="F768" s="7"/>
      <c r="G768" s="7"/>
      <c r="H768" s="7"/>
    </row>
    <row r="769" customFormat="false" ht="13.8" hidden="false" customHeight="false" outlineLevel="0" collapsed="false">
      <c r="A769" s="7"/>
      <c r="B769" s="8"/>
      <c r="C769" s="8"/>
      <c r="D769" s="8"/>
      <c r="E769" s="8"/>
      <c r="F769" s="7"/>
      <c r="G769" s="7"/>
      <c r="H769" s="7"/>
    </row>
    <row r="770" customFormat="false" ht="13.8" hidden="false" customHeight="false" outlineLevel="0" collapsed="false">
      <c r="A770" s="7"/>
      <c r="B770" s="8"/>
      <c r="C770" s="8"/>
      <c r="D770" s="8"/>
      <c r="E770" s="8"/>
      <c r="F770" s="7"/>
      <c r="G770" s="7"/>
      <c r="H770" s="7"/>
    </row>
    <row r="771" customFormat="false" ht="13.8" hidden="false" customHeight="false" outlineLevel="0" collapsed="false">
      <c r="A771" s="7"/>
      <c r="B771" s="8"/>
      <c r="C771" s="8"/>
      <c r="D771" s="8"/>
      <c r="E771" s="8"/>
      <c r="F771" s="7"/>
      <c r="G771" s="7"/>
      <c r="H771" s="7"/>
    </row>
    <row r="772" customFormat="false" ht="13.8" hidden="false" customHeight="false" outlineLevel="0" collapsed="false">
      <c r="A772" s="7"/>
      <c r="B772" s="8"/>
      <c r="C772" s="8"/>
      <c r="D772" s="8"/>
      <c r="E772" s="8"/>
      <c r="F772" s="7"/>
      <c r="G772" s="7"/>
      <c r="H772" s="7"/>
    </row>
    <row r="773" customFormat="false" ht="13.8" hidden="false" customHeight="false" outlineLevel="0" collapsed="false">
      <c r="A773" s="7"/>
      <c r="B773" s="8"/>
      <c r="C773" s="8"/>
      <c r="D773" s="8"/>
      <c r="E773" s="8"/>
      <c r="F773" s="7"/>
      <c r="G773" s="7"/>
      <c r="H773" s="7"/>
    </row>
    <row r="774" customFormat="false" ht="13.8" hidden="false" customHeight="false" outlineLevel="0" collapsed="false">
      <c r="A774" s="7"/>
      <c r="B774" s="8"/>
      <c r="C774" s="8"/>
      <c r="D774" s="8"/>
      <c r="E774" s="8"/>
      <c r="F774" s="7"/>
      <c r="G774" s="7"/>
      <c r="H774" s="7"/>
    </row>
    <row r="775" customFormat="false" ht="13.8" hidden="false" customHeight="false" outlineLevel="0" collapsed="false">
      <c r="A775" s="7"/>
      <c r="B775" s="8"/>
      <c r="C775" s="8"/>
      <c r="D775" s="8"/>
      <c r="E775" s="8"/>
      <c r="F775" s="7"/>
      <c r="G775" s="7"/>
      <c r="H775" s="7"/>
    </row>
    <row r="776" customFormat="false" ht="13.8" hidden="false" customHeight="false" outlineLevel="0" collapsed="false">
      <c r="A776" s="7"/>
      <c r="B776" s="8"/>
      <c r="C776" s="8"/>
      <c r="D776" s="8"/>
      <c r="E776" s="8"/>
      <c r="F776" s="7"/>
      <c r="G776" s="7"/>
      <c r="H776" s="7"/>
    </row>
    <row r="777" customFormat="false" ht="13.8" hidden="false" customHeight="false" outlineLevel="0" collapsed="false">
      <c r="A777" s="7"/>
      <c r="B777" s="8"/>
      <c r="C777" s="8"/>
      <c r="D777" s="8"/>
      <c r="E777" s="8"/>
      <c r="F777" s="7"/>
      <c r="G777" s="7"/>
      <c r="H777" s="7"/>
    </row>
    <row r="778" customFormat="false" ht="13.8" hidden="false" customHeight="false" outlineLevel="0" collapsed="false">
      <c r="A778" s="7"/>
      <c r="B778" s="8"/>
      <c r="C778" s="8"/>
      <c r="D778" s="8"/>
      <c r="E778" s="8"/>
      <c r="F778" s="7"/>
      <c r="G778" s="7"/>
      <c r="H778" s="7"/>
    </row>
    <row r="779" customFormat="false" ht="13.8" hidden="false" customHeight="false" outlineLevel="0" collapsed="false">
      <c r="A779" s="7"/>
      <c r="B779" s="8"/>
      <c r="C779" s="8"/>
      <c r="D779" s="8"/>
      <c r="E779" s="8"/>
      <c r="F779" s="7"/>
      <c r="G779" s="7"/>
      <c r="H779" s="7"/>
    </row>
    <row r="780" customFormat="false" ht="13.8" hidden="false" customHeight="false" outlineLevel="0" collapsed="false">
      <c r="A780" s="7"/>
      <c r="B780" s="8"/>
      <c r="C780" s="8"/>
      <c r="D780" s="8"/>
      <c r="E780" s="8"/>
      <c r="F780" s="7"/>
      <c r="G780" s="7"/>
      <c r="H780" s="7"/>
    </row>
    <row r="781" customFormat="false" ht="13.8" hidden="false" customHeight="false" outlineLevel="0" collapsed="false">
      <c r="A781" s="7"/>
      <c r="B781" s="8"/>
      <c r="C781" s="8"/>
      <c r="D781" s="8"/>
      <c r="E781" s="8"/>
      <c r="F781" s="7"/>
      <c r="G781" s="7"/>
      <c r="H781" s="7"/>
    </row>
    <row r="782" customFormat="false" ht="13.8" hidden="false" customHeight="false" outlineLevel="0" collapsed="false">
      <c r="A782" s="7"/>
      <c r="B782" s="8"/>
      <c r="C782" s="8"/>
      <c r="D782" s="8"/>
      <c r="E782" s="8"/>
      <c r="F782" s="7"/>
      <c r="G782" s="7"/>
      <c r="H782" s="7"/>
    </row>
    <row r="783" customFormat="false" ht="13.8" hidden="false" customHeight="false" outlineLevel="0" collapsed="false">
      <c r="A783" s="7"/>
      <c r="B783" s="8"/>
      <c r="C783" s="8"/>
      <c r="D783" s="8"/>
      <c r="E783" s="8"/>
      <c r="F783" s="7"/>
      <c r="G783" s="7"/>
      <c r="H783" s="7"/>
    </row>
    <row r="784" customFormat="false" ht="13.8" hidden="false" customHeight="false" outlineLevel="0" collapsed="false">
      <c r="A784" s="7"/>
      <c r="B784" s="8"/>
      <c r="C784" s="8"/>
      <c r="D784" s="8"/>
      <c r="E784" s="8"/>
      <c r="F784" s="7"/>
      <c r="G784" s="7"/>
      <c r="H784" s="7"/>
    </row>
    <row r="785" customFormat="false" ht="13.8" hidden="false" customHeight="false" outlineLevel="0" collapsed="false">
      <c r="A785" s="7"/>
      <c r="B785" s="8"/>
      <c r="C785" s="8"/>
      <c r="D785" s="8"/>
      <c r="E785" s="8"/>
      <c r="F785" s="7"/>
      <c r="G785" s="7"/>
      <c r="H785" s="7"/>
    </row>
    <row r="786" customFormat="false" ht="13.8" hidden="false" customHeight="false" outlineLevel="0" collapsed="false">
      <c r="A786" s="7"/>
      <c r="B786" s="8"/>
      <c r="C786" s="8"/>
      <c r="D786" s="8"/>
      <c r="E786" s="8"/>
      <c r="F786" s="7"/>
      <c r="G786" s="7"/>
      <c r="H786" s="7"/>
    </row>
    <row r="787" customFormat="false" ht="13.8" hidden="false" customHeight="false" outlineLevel="0" collapsed="false">
      <c r="A787" s="7"/>
      <c r="B787" s="8"/>
      <c r="C787" s="8"/>
      <c r="D787" s="8"/>
      <c r="E787" s="8"/>
      <c r="F787" s="7"/>
      <c r="G787" s="7"/>
      <c r="H787" s="7"/>
    </row>
    <row r="788" customFormat="false" ht="13.8" hidden="false" customHeight="false" outlineLevel="0" collapsed="false">
      <c r="A788" s="7"/>
      <c r="B788" s="8"/>
      <c r="C788" s="8"/>
      <c r="D788" s="8"/>
      <c r="E788" s="8"/>
      <c r="F788" s="7"/>
      <c r="G788" s="7"/>
      <c r="H788" s="7"/>
    </row>
    <row r="789" customFormat="false" ht="13.8" hidden="false" customHeight="false" outlineLevel="0" collapsed="false">
      <c r="A789" s="7"/>
      <c r="B789" s="8"/>
      <c r="C789" s="8"/>
      <c r="D789" s="8"/>
      <c r="E789" s="8"/>
      <c r="F789" s="7"/>
      <c r="G789" s="7"/>
      <c r="H789" s="7"/>
    </row>
    <row r="790" customFormat="false" ht="13.8" hidden="false" customHeight="false" outlineLevel="0" collapsed="false">
      <c r="A790" s="7"/>
      <c r="B790" s="8"/>
      <c r="C790" s="8"/>
      <c r="D790" s="8"/>
      <c r="E790" s="8"/>
      <c r="F790" s="7"/>
      <c r="G790" s="7"/>
      <c r="H790" s="7"/>
    </row>
    <row r="791" customFormat="false" ht="13.8" hidden="false" customHeight="false" outlineLevel="0" collapsed="false">
      <c r="A791" s="7"/>
      <c r="B791" s="8"/>
      <c r="C791" s="8"/>
      <c r="D791" s="8"/>
      <c r="E791" s="8"/>
      <c r="F791" s="7"/>
      <c r="G791" s="7"/>
      <c r="H791" s="7"/>
    </row>
    <row r="792" customFormat="false" ht="13.8" hidden="false" customHeight="false" outlineLevel="0" collapsed="false">
      <c r="A792" s="7"/>
      <c r="B792" s="8"/>
      <c r="C792" s="8"/>
      <c r="D792" s="8"/>
      <c r="E792" s="8"/>
      <c r="F792" s="7"/>
      <c r="G792" s="7"/>
      <c r="H792" s="7"/>
    </row>
    <row r="793" customFormat="false" ht="13.8" hidden="false" customHeight="false" outlineLevel="0" collapsed="false">
      <c r="A793" s="7"/>
      <c r="B793" s="8"/>
      <c r="C793" s="8"/>
      <c r="D793" s="8"/>
      <c r="E793" s="8"/>
      <c r="F793" s="7"/>
      <c r="G793" s="7"/>
      <c r="H793" s="7"/>
    </row>
    <row r="794" customFormat="false" ht="13.8" hidden="false" customHeight="false" outlineLevel="0" collapsed="false">
      <c r="A794" s="7"/>
      <c r="B794" s="8"/>
      <c r="C794" s="8"/>
      <c r="D794" s="8"/>
      <c r="E794" s="8"/>
      <c r="F794" s="7"/>
      <c r="G794" s="7"/>
      <c r="H794" s="7"/>
    </row>
    <row r="795" customFormat="false" ht="13.8" hidden="false" customHeight="false" outlineLevel="0" collapsed="false">
      <c r="A795" s="7"/>
      <c r="B795" s="8"/>
      <c r="C795" s="8"/>
      <c r="D795" s="8"/>
      <c r="E795" s="8"/>
      <c r="F795" s="7"/>
      <c r="G795" s="7"/>
      <c r="H795" s="7"/>
    </row>
    <row r="796" customFormat="false" ht="13.8" hidden="false" customHeight="false" outlineLevel="0" collapsed="false">
      <c r="A796" s="7"/>
      <c r="B796" s="8"/>
      <c r="C796" s="8"/>
      <c r="D796" s="8"/>
      <c r="E796" s="8"/>
      <c r="F796" s="7"/>
      <c r="G796" s="7"/>
      <c r="H796" s="7"/>
    </row>
    <row r="797" customFormat="false" ht="13.8" hidden="false" customHeight="false" outlineLevel="0" collapsed="false">
      <c r="A797" s="7"/>
      <c r="B797" s="8"/>
      <c r="C797" s="8"/>
      <c r="D797" s="8"/>
      <c r="E797" s="8"/>
      <c r="F797" s="7"/>
      <c r="G797" s="7"/>
      <c r="H797" s="7"/>
    </row>
    <row r="798" customFormat="false" ht="13.8" hidden="false" customHeight="false" outlineLevel="0" collapsed="false">
      <c r="A798" s="7"/>
      <c r="B798" s="8"/>
      <c r="C798" s="8"/>
      <c r="D798" s="8"/>
      <c r="E798" s="8"/>
      <c r="F798" s="7"/>
      <c r="G798" s="7"/>
      <c r="H798" s="7"/>
    </row>
    <row r="799" customFormat="false" ht="13.8" hidden="false" customHeight="false" outlineLevel="0" collapsed="false">
      <c r="A799" s="7"/>
      <c r="B799" s="8"/>
      <c r="C799" s="8"/>
      <c r="D799" s="8"/>
      <c r="E799" s="8"/>
      <c r="F799" s="7"/>
      <c r="G799" s="7"/>
      <c r="H799" s="7"/>
    </row>
    <row r="800" customFormat="false" ht="13.8" hidden="false" customHeight="false" outlineLevel="0" collapsed="false">
      <c r="A800" s="7"/>
      <c r="B800" s="8"/>
      <c r="C800" s="8"/>
      <c r="D800" s="8"/>
      <c r="E800" s="8"/>
      <c r="F800" s="7"/>
      <c r="G800" s="7"/>
      <c r="H800" s="7"/>
    </row>
    <row r="801" customFormat="false" ht="13.8" hidden="false" customHeight="false" outlineLevel="0" collapsed="false">
      <c r="A801" s="7"/>
      <c r="B801" s="8"/>
      <c r="C801" s="8"/>
      <c r="D801" s="8"/>
      <c r="E801" s="8"/>
      <c r="F801" s="7"/>
      <c r="G801" s="7"/>
      <c r="H801" s="7"/>
    </row>
    <row r="802" customFormat="false" ht="13.8" hidden="false" customHeight="false" outlineLevel="0" collapsed="false">
      <c r="A802" s="7"/>
      <c r="B802" s="8"/>
      <c r="C802" s="8"/>
      <c r="D802" s="8"/>
      <c r="E802" s="8"/>
      <c r="F802" s="7"/>
      <c r="G802" s="7"/>
      <c r="H802" s="7"/>
    </row>
    <row r="803" customFormat="false" ht="13.8" hidden="false" customHeight="false" outlineLevel="0" collapsed="false">
      <c r="A803" s="7"/>
      <c r="B803" s="8"/>
      <c r="C803" s="8"/>
      <c r="D803" s="8"/>
      <c r="E803" s="8"/>
      <c r="F803" s="7"/>
      <c r="G803" s="7"/>
      <c r="H803" s="7"/>
    </row>
    <row r="804" customFormat="false" ht="13.8" hidden="false" customHeight="false" outlineLevel="0" collapsed="false">
      <c r="A804" s="7"/>
      <c r="B804" s="8"/>
      <c r="C804" s="8"/>
      <c r="D804" s="8"/>
      <c r="E804" s="8"/>
      <c r="F804" s="7"/>
      <c r="G804" s="7"/>
      <c r="H804" s="7"/>
    </row>
    <row r="805" customFormat="false" ht="13.8" hidden="false" customHeight="false" outlineLevel="0" collapsed="false">
      <c r="A805" s="7"/>
      <c r="B805" s="8"/>
      <c r="C805" s="8"/>
      <c r="D805" s="8"/>
      <c r="E805" s="8"/>
      <c r="F805" s="7"/>
      <c r="G805" s="7"/>
      <c r="H805" s="7"/>
    </row>
    <row r="806" customFormat="false" ht="13.8" hidden="false" customHeight="false" outlineLevel="0" collapsed="false">
      <c r="A806" s="7"/>
      <c r="B806" s="8"/>
      <c r="C806" s="8"/>
      <c r="D806" s="8"/>
      <c r="E806" s="8"/>
      <c r="F806" s="7"/>
      <c r="G806" s="7"/>
      <c r="H806" s="7"/>
    </row>
    <row r="807" customFormat="false" ht="13.8" hidden="false" customHeight="false" outlineLevel="0" collapsed="false">
      <c r="A807" s="7"/>
      <c r="B807" s="8"/>
      <c r="C807" s="8"/>
      <c r="D807" s="8"/>
      <c r="E807" s="8"/>
      <c r="F807" s="7"/>
      <c r="G807" s="7"/>
      <c r="H807" s="7"/>
    </row>
    <row r="808" customFormat="false" ht="13.8" hidden="false" customHeight="false" outlineLevel="0" collapsed="false">
      <c r="A808" s="7"/>
      <c r="B808" s="8"/>
      <c r="C808" s="8"/>
      <c r="D808" s="8"/>
      <c r="E808" s="8"/>
      <c r="F808" s="7"/>
      <c r="G808" s="7"/>
      <c r="H808" s="7"/>
    </row>
    <row r="809" customFormat="false" ht="13.8" hidden="false" customHeight="false" outlineLevel="0" collapsed="false">
      <c r="A809" s="7"/>
      <c r="B809" s="8"/>
      <c r="C809" s="8"/>
      <c r="D809" s="8"/>
      <c r="E809" s="8"/>
      <c r="F809" s="7"/>
      <c r="G809" s="7"/>
      <c r="H809" s="7"/>
    </row>
    <row r="810" customFormat="false" ht="13.8" hidden="false" customHeight="false" outlineLevel="0" collapsed="false">
      <c r="A810" s="7"/>
      <c r="B810" s="8"/>
      <c r="C810" s="8"/>
      <c r="D810" s="8"/>
      <c r="E810" s="8"/>
      <c r="F810" s="7"/>
      <c r="G810" s="7"/>
      <c r="H810" s="7"/>
    </row>
    <row r="811" customFormat="false" ht="13.8" hidden="false" customHeight="false" outlineLevel="0" collapsed="false">
      <c r="A811" s="7"/>
      <c r="B811" s="8"/>
      <c r="C811" s="8"/>
      <c r="D811" s="8"/>
      <c r="E811" s="8"/>
      <c r="F811" s="7"/>
      <c r="G811" s="7"/>
      <c r="H811" s="7"/>
    </row>
    <row r="812" customFormat="false" ht="13.8" hidden="false" customHeight="false" outlineLevel="0" collapsed="false">
      <c r="A812" s="7"/>
      <c r="B812" s="8"/>
      <c r="C812" s="8"/>
      <c r="D812" s="8"/>
      <c r="E812" s="8"/>
      <c r="F812" s="7"/>
      <c r="G812" s="7"/>
      <c r="H812" s="7"/>
    </row>
    <row r="813" customFormat="false" ht="13.8" hidden="false" customHeight="false" outlineLevel="0" collapsed="false">
      <c r="A813" s="7"/>
      <c r="B813" s="8"/>
      <c r="C813" s="8"/>
      <c r="D813" s="8"/>
      <c r="E813" s="8"/>
      <c r="F813" s="7"/>
      <c r="G813" s="7"/>
      <c r="H813" s="7"/>
    </row>
    <row r="814" customFormat="false" ht="13.8" hidden="false" customHeight="false" outlineLevel="0" collapsed="false">
      <c r="A814" s="7"/>
      <c r="B814" s="8"/>
      <c r="C814" s="8"/>
      <c r="D814" s="8"/>
      <c r="E814" s="8"/>
      <c r="F814" s="7"/>
      <c r="G814" s="7"/>
      <c r="H814" s="7"/>
    </row>
    <row r="815" customFormat="false" ht="13.8" hidden="false" customHeight="false" outlineLevel="0" collapsed="false">
      <c r="A815" s="7"/>
      <c r="B815" s="8"/>
      <c r="C815" s="8"/>
      <c r="D815" s="8"/>
      <c r="E815" s="8"/>
      <c r="F815" s="7"/>
      <c r="G815" s="7"/>
      <c r="H815" s="7"/>
    </row>
    <row r="816" customFormat="false" ht="13.8" hidden="false" customHeight="false" outlineLevel="0" collapsed="false">
      <c r="A816" s="7"/>
      <c r="B816" s="8"/>
      <c r="C816" s="8"/>
      <c r="D816" s="8"/>
      <c r="E816" s="8"/>
      <c r="F816" s="7"/>
      <c r="G816" s="7"/>
      <c r="H816" s="7"/>
    </row>
    <row r="817" customFormat="false" ht="13.8" hidden="false" customHeight="false" outlineLevel="0" collapsed="false">
      <c r="A817" s="7"/>
      <c r="B817" s="8"/>
      <c r="C817" s="8"/>
      <c r="D817" s="8"/>
      <c r="E817" s="8"/>
      <c r="F817" s="7"/>
      <c r="G817" s="7"/>
      <c r="H817" s="7"/>
    </row>
    <row r="818" customFormat="false" ht="13.8" hidden="false" customHeight="false" outlineLevel="0" collapsed="false">
      <c r="A818" s="7"/>
      <c r="B818" s="8"/>
      <c r="C818" s="8"/>
      <c r="D818" s="8"/>
      <c r="E818" s="8"/>
      <c r="F818" s="7"/>
      <c r="G818" s="7"/>
      <c r="H818" s="7"/>
    </row>
    <row r="819" customFormat="false" ht="13.8" hidden="false" customHeight="false" outlineLevel="0" collapsed="false">
      <c r="A819" s="7"/>
      <c r="B819" s="8"/>
      <c r="C819" s="8"/>
      <c r="D819" s="8"/>
      <c r="E819" s="8"/>
      <c r="F819" s="7"/>
      <c r="G819" s="7"/>
      <c r="H819" s="7"/>
    </row>
    <row r="820" customFormat="false" ht="13.8" hidden="false" customHeight="false" outlineLevel="0" collapsed="false">
      <c r="A820" s="7"/>
      <c r="B820" s="8"/>
      <c r="C820" s="8"/>
      <c r="D820" s="8"/>
      <c r="E820" s="8"/>
      <c r="F820" s="7"/>
      <c r="G820" s="7"/>
      <c r="H820" s="7"/>
    </row>
    <row r="821" customFormat="false" ht="13.8" hidden="false" customHeight="false" outlineLevel="0" collapsed="false">
      <c r="A821" s="7"/>
      <c r="B821" s="8"/>
      <c r="C821" s="8"/>
      <c r="D821" s="8"/>
      <c r="E821" s="8"/>
      <c r="F821" s="7"/>
      <c r="G821" s="7"/>
      <c r="H821" s="7"/>
    </row>
    <row r="822" customFormat="false" ht="13.8" hidden="false" customHeight="false" outlineLevel="0" collapsed="false">
      <c r="A822" s="7"/>
      <c r="B822" s="8"/>
      <c r="C822" s="8"/>
      <c r="D822" s="8"/>
      <c r="E822" s="8"/>
      <c r="F822" s="7"/>
      <c r="G822" s="7"/>
      <c r="H822" s="7"/>
    </row>
    <row r="823" customFormat="false" ht="13.8" hidden="false" customHeight="false" outlineLevel="0" collapsed="false">
      <c r="A823" s="7"/>
      <c r="B823" s="8"/>
      <c r="C823" s="8"/>
      <c r="D823" s="8"/>
      <c r="E823" s="8"/>
      <c r="F823" s="7"/>
      <c r="G823" s="7"/>
      <c r="H823" s="7"/>
    </row>
    <row r="824" customFormat="false" ht="13.8" hidden="false" customHeight="false" outlineLevel="0" collapsed="false">
      <c r="A824" s="7"/>
      <c r="B824" s="8"/>
      <c r="C824" s="8"/>
      <c r="D824" s="8"/>
      <c r="E824" s="8"/>
      <c r="F824" s="7"/>
      <c r="G824" s="7"/>
      <c r="H824" s="7"/>
    </row>
    <row r="825" customFormat="false" ht="13.8" hidden="false" customHeight="false" outlineLevel="0" collapsed="false">
      <c r="A825" s="7"/>
      <c r="B825" s="8"/>
      <c r="C825" s="8"/>
      <c r="D825" s="8"/>
      <c r="E825" s="8"/>
      <c r="F825" s="7"/>
      <c r="G825" s="7"/>
      <c r="H825" s="7"/>
    </row>
    <row r="826" customFormat="false" ht="13.8" hidden="false" customHeight="false" outlineLevel="0" collapsed="false">
      <c r="A826" s="7"/>
      <c r="B826" s="8"/>
      <c r="C826" s="8"/>
      <c r="D826" s="8"/>
      <c r="E826" s="8"/>
      <c r="F826" s="7"/>
      <c r="G826" s="7"/>
      <c r="H826" s="7"/>
    </row>
    <row r="827" customFormat="false" ht="13.8" hidden="false" customHeight="false" outlineLevel="0" collapsed="false">
      <c r="A827" s="7"/>
      <c r="B827" s="8"/>
      <c r="C827" s="8"/>
      <c r="D827" s="8"/>
      <c r="E827" s="8"/>
      <c r="F827" s="7"/>
      <c r="G827" s="7"/>
      <c r="H827" s="7"/>
    </row>
    <row r="828" customFormat="false" ht="13.8" hidden="false" customHeight="false" outlineLevel="0" collapsed="false">
      <c r="A828" s="7"/>
      <c r="B828" s="8"/>
      <c r="C828" s="8"/>
      <c r="D828" s="8"/>
      <c r="E828" s="8"/>
      <c r="F828" s="7"/>
      <c r="G828" s="7"/>
      <c r="H828" s="7"/>
    </row>
    <row r="829" customFormat="false" ht="13.8" hidden="false" customHeight="false" outlineLevel="0" collapsed="false">
      <c r="A829" s="7"/>
      <c r="B829" s="8"/>
      <c r="C829" s="8"/>
      <c r="D829" s="8"/>
      <c r="E829" s="8"/>
      <c r="F829" s="7"/>
      <c r="G829" s="7"/>
      <c r="H829" s="7"/>
    </row>
    <row r="830" customFormat="false" ht="13.8" hidden="false" customHeight="false" outlineLevel="0" collapsed="false">
      <c r="A830" s="7"/>
      <c r="B830" s="8"/>
      <c r="C830" s="8"/>
      <c r="D830" s="8"/>
      <c r="E830" s="8"/>
      <c r="F830" s="7"/>
      <c r="G830" s="7"/>
      <c r="H830" s="7"/>
    </row>
    <row r="831" customFormat="false" ht="13.8" hidden="false" customHeight="false" outlineLevel="0" collapsed="false">
      <c r="A831" s="7"/>
      <c r="B831" s="8"/>
      <c r="C831" s="8"/>
      <c r="D831" s="8"/>
      <c r="E831" s="8"/>
      <c r="F831" s="7"/>
      <c r="G831" s="7"/>
      <c r="H831" s="7"/>
    </row>
    <row r="832" customFormat="false" ht="13.8" hidden="false" customHeight="false" outlineLevel="0" collapsed="false">
      <c r="A832" s="7"/>
      <c r="B832" s="8"/>
      <c r="C832" s="8"/>
      <c r="D832" s="8"/>
      <c r="E832" s="8"/>
      <c r="F832" s="7"/>
      <c r="G832" s="7"/>
      <c r="H832" s="7"/>
    </row>
    <row r="833" customFormat="false" ht="13.8" hidden="false" customHeight="false" outlineLevel="0" collapsed="false">
      <c r="A833" s="7"/>
      <c r="B833" s="8"/>
      <c r="C833" s="8"/>
      <c r="D833" s="8"/>
      <c r="E833" s="8"/>
      <c r="F833" s="7"/>
      <c r="G833" s="7"/>
      <c r="H833" s="7"/>
    </row>
    <row r="834" customFormat="false" ht="13.8" hidden="false" customHeight="false" outlineLevel="0" collapsed="false">
      <c r="A834" s="7"/>
      <c r="B834" s="8"/>
      <c r="C834" s="8"/>
      <c r="D834" s="8"/>
      <c r="E834" s="8"/>
      <c r="F834" s="7"/>
      <c r="G834" s="7"/>
      <c r="H834" s="7"/>
    </row>
    <row r="835" customFormat="false" ht="13.8" hidden="false" customHeight="false" outlineLevel="0" collapsed="false">
      <c r="A835" s="7"/>
      <c r="B835" s="8"/>
      <c r="C835" s="8"/>
      <c r="D835" s="8"/>
      <c r="E835" s="8"/>
      <c r="F835" s="7"/>
      <c r="G835" s="7"/>
      <c r="H835" s="7"/>
    </row>
    <row r="836" customFormat="false" ht="13.8" hidden="false" customHeight="false" outlineLevel="0" collapsed="false">
      <c r="A836" s="7"/>
      <c r="B836" s="8"/>
      <c r="C836" s="8"/>
      <c r="D836" s="8"/>
      <c r="E836" s="8"/>
      <c r="F836" s="7"/>
      <c r="G836" s="7"/>
      <c r="H836" s="7"/>
    </row>
    <row r="837" customFormat="false" ht="13.8" hidden="false" customHeight="false" outlineLevel="0" collapsed="false">
      <c r="A837" s="7"/>
      <c r="B837" s="8"/>
      <c r="C837" s="8"/>
      <c r="D837" s="8"/>
      <c r="E837" s="8"/>
      <c r="F837" s="7"/>
      <c r="G837" s="7"/>
      <c r="H837" s="7"/>
    </row>
    <row r="838" customFormat="false" ht="13.8" hidden="false" customHeight="false" outlineLevel="0" collapsed="false">
      <c r="A838" s="7"/>
      <c r="B838" s="8"/>
      <c r="C838" s="8"/>
      <c r="D838" s="8"/>
      <c r="E838" s="8"/>
      <c r="F838" s="7"/>
      <c r="G838" s="7"/>
      <c r="H838" s="7"/>
    </row>
    <row r="839" customFormat="false" ht="13.8" hidden="false" customHeight="false" outlineLevel="0" collapsed="false">
      <c r="A839" s="7"/>
      <c r="B839" s="8"/>
      <c r="C839" s="8"/>
      <c r="D839" s="8"/>
      <c r="E839" s="8"/>
      <c r="F839" s="7"/>
      <c r="G839" s="7"/>
      <c r="H839" s="7"/>
    </row>
    <row r="840" customFormat="false" ht="13.8" hidden="false" customHeight="false" outlineLevel="0" collapsed="false">
      <c r="A840" s="7"/>
      <c r="B840" s="8"/>
      <c r="C840" s="8"/>
      <c r="D840" s="8"/>
      <c r="E840" s="8"/>
      <c r="F840" s="7"/>
      <c r="G840" s="7"/>
      <c r="H840" s="7"/>
    </row>
    <row r="841" customFormat="false" ht="13.8" hidden="false" customHeight="false" outlineLevel="0" collapsed="false">
      <c r="A841" s="7"/>
      <c r="B841" s="8"/>
      <c r="C841" s="8"/>
      <c r="D841" s="8"/>
      <c r="E841" s="8"/>
      <c r="F841" s="7"/>
      <c r="G841" s="7"/>
      <c r="H841" s="7"/>
    </row>
    <row r="842" customFormat="false" ht="13.8" hidden="false" customHeight="false" outlineLevel="0" collapsed="false">
      <c r="A842" s="7"/>
      <c r="B842" s="8"/>
      <c r="C842" s="8"/>
      <c r="D842" s="8"/>
      <c r="E842" s="8"/>
      <c r="F842" s="7"/>
      <c r="G842" s="7"/>
      <c r="H842" s="7"/>
    </row>
    <row r="843" customFormat="false" ht="13.8" hidden="false" customHeight="false" outlineLevel="0" collapsed="false">
      <c r="A843" s="7"/>
      <c r="B843" s="8"/>
      <c r="C843" s="8"/>
      <c r="D843" s="8"/>
      <c r="E843" s="8"/>
      <c r="F843" s="7"/>
      <c r="G843" s="7"/>
      <c r="H843" s="7"/>
    </row>
    <row r="844" customFormat="false" ht="13.8" hidden="false" customHeight="false" outlineLevel="0" collapsed="false">
      <c r="A844" s="7"/>
      <c r="B844" s="8"/>
      <c r="C844" s="8"/>
      <c r="D844" s="8"/>
      <c r="E844" s="8"/>
      <c r="F844" s="7"/>
      <c r="G844" s="7"/>
      <c r="H844" s="7"/>
    </row>
    <row r="845" customFormat="false" ht="13.8" hidden="false" customHeight="false" outlineLevel="0" collapsed="false">
      <c r="A845" s="7"/>
      <c r="B845" s="8"/>
      <c r="C845" s="8"/>
      <c r="D845" s="8"/>
      <c r="E845" s="8"/>
      <c r="F845" s="7"/>
      <c r="G845" s="7"/>
      <c r="H845" s="7"/>
    </row>
    <row r="846" customFormat="false" ht="13.8" hidden="false" customHeight="false" outlineLevel="0" collapsed="false">
      <c r="A846" s="7"/>
      <c r="B846" s="8"/>
      <c r="C846" s="8"/>
      <c r="D846" s="8"/>
      <c r="E846" s="8"/>
      <c r="F846" s="7"/>
      <c r="G846" s="7"/>
      <c r="H846" s="7"/>
    </row>
    <row r="847" customFormat="false" ht="13.8" hidden="false" customHeight="false" outlineLevel="0" collapsed="false">
      <c r="A847" s="7"/>
      <c r="B847" s="8"/>
      <c r="C847" s="8"/>
      <c r="D847" s="8"/>
      <c r="E847" s="8"/>
      <c r="F847" s="7"/>
      <c r="G847" s="7"/>
      <c r="H847" s="7"/>
    </row>
    <row r="848" customFormat="false" ht="13.8" hidden="false" customHeight="false" outlineLevel="0" collapsed="false">
      <c r="A848" s="7"/>
      <c r="B848" s="8"/>
      <c r="C848" s="8"/>
      <c r="D848" s="8"/>
      <c r="E848" s="8"/>
      <c r="F848" s="7"/>
      <c r="G848" s="7"/>
      <c r="H848" s="7"/>
    </row>
    <row r="849" customFormat="false" ht="13.8" hidden="false" customHeight="false" outlineLevel="0" collapsed="false">
      <c r="A849" s="7"/>
      <c r="B849" s="8"/>
      <c r="C849" s="8"/>
      <c r="D849" s="8"/>
      <c r="E849" s="8"/>
      <c r="F849" s="7"/>
      <c r="G849" s="7"/>
      <c r="H849" s="7"/>
    </row>
    <row r="850" customFormat="false" ht="13.8" hidden="false" customHeight="false" outlineLevel="0" collapsed="false">
      <c r="A850" s="7"/>
      <c r="B850" s="8"/>
      <c r="C850" s="8"/>
      <c r="D850" s="8"/>
      <c r="E850" s="8"/>
      <c r="F850" s="7"/>
      <c r="G850" s="7"/>
      <c r="H850" s="7"/>
    </row>
    <row r="851" customFormat="false" ht="13.8" hidden="false" customHeight="false" outlineLevel="0" collapsed="false">
      <c r="A851" s="7"/>
      <c r="B851" s="8"/>
      <c r="C851" s="8"/>
      <c r="D851" s="8"/>
      <c r="E851" s="8"/>
      <c r="F851" s="7"/>
      <c r="G851" s="7"/>
      <c r="H851" s="7"/>
    </row>
    <row r="852" customFormat="false" ht="13.8" hidden="false" customHeight="false" outlineLevel="0" collapsed="false">
      <c r="A852" s="7"/>
      <c r="B852" s="8"/>
      <c r="C852" s="8"/>
      <c r="D852" s="8"/>
      <c r="E852" s="8"/>
      <c r="F852" s="7"/>
      <c r="G852" s="7"/>
      <c r="H852" s="7"/>
    </row>
    <row r="853" customFormat="false" ht="13.8" hidden="false" customHeight="false" outlineLevel="0" collapsed="false">
      <c r="A853" s="7"/>
      <c r="B853" s="8"/>
      <c r="C853" s="8"/>
      <c r="D853" s="8"/>
      <c r="E853" s="8"/>
      <c r="F853" s="7"/>
      <c r="G853" s="7"/>
      <c r="H853" s="7"/>
    </row>
    <row r="854" customFormat="false" ht="13.8" hidden="false" customHeight="false" outlineLevel="0" collapsed="false">
      <c r="A854" s="7"/>
      <c r="B854" s="8"/>
      <c r="C854" s="8"/>
      <c r="D854" s="8"/>
      <c r="E854" s="8"/>
      <c r="F854" s="7"/>
      <c r="G854" s="7"/>
      <c r="H854" s="7"/>
    </row>
    <row r="855" customFormat="false" ht="13.8" hidden="false" customHeight="false" outlineLevel="0" collapsed="false">
      <c r="A855" s="7"/>
      <c r="B855" s="8"/>
      <c r="C855" s="8"/>
      <c r="D855" s="8"/>
      <c r="E855" s="8"/>
      <c r="F855" s="7"/>
      <c r="G855" s="7"/>
      <c r="H855" s="7"/>
    </row>
    <row r="856" customFormat="false" ht="13.8" hidden="false" customHeight="false" outlineLevel="0" collapsed="false">
      <c r="A856" s="7"/>
      <c r="B856" s="8"/>
      <c r="C856" s="8"/>
      <c r="D856" s="8"/>
      <c r="E856" s="8"/>
      <c r="F856" s="7"/>
      <c r="G856" s="7"/>
      <c r="H856" s="7"/>
    </row>
    <row r="857" customFormat="false" ht="13.8" hidden="false" customHeight="false" outlineLevel="0" collapsed="false">
      <c r="A857" s="7"/>
      <c r="B857" s="8"/>
      <c r="C857" s="8"/>
      <c r="D857" s="8"/>
      <c r="E857" s="8"/>
      <c r="F857" s="7"/>
      <c r="G857" s="7"/>
      <c r="H857" s="7"/>
    </row>
    <row r="858" customFormat="false" ht="13.8" hidden="false" customHeight="false" outlineLevel="0" collapsed="false">
      <c r="A858" s="7"/>
      <c r="B858" s="8"/>
      <c r="C858" s="8"/>
      <c r="D858" s="8"/>
      <c r="E858" s="8"/>
      <c r="F858" s="7"/>
      <c r="G858" s="7"/>
      <c r="H858" s="7"/>
    </row>
    <row r="859" customFormat="false" ht="13.8" hidden="false" customHeight="false" outlineLevel="0" collapsed="false">
      <c r="A859" s="7"/>
      <c r="B859" s="8"/>
      <c r="C859" s="8"/>
      <c r="D859" s="8"/>
      <c r="E859" s="8"/>
      <c r="F859" s="7"/>
      <c r="G859" s="7"/>
      <c r="H859" s="7"/>
    </row>
    <row r="860" customFormat="false" ht="13.8" hidden="false" customHeight="false" outlineLevel="0" collapsed="false">
      <c r="A860" s="7"/>
      <c r="B860" s="8"/>
      <c r="C860" s="8"/>
      <c r="D860" s="8"/>
      <c r="E860" s="8"/>
      <c r="F860" s="7"/>
      <c r="G860" s="7"/>
      <c r="H860" s="7"/>
    </row>
    <row r="861" customFormat="false" ht="13.8" hidden="false" customHeight="false" outlineLevel="0" collapsed="false">
      <c r="A861" s="7"/>
      <c r="B861" s="8"/>
      <c r="C861" s="8"/>
      <c r="D861" s="8"/>
      <c r="E861" s="8"/>
      <c r="F861" s="7"/>
      <c r="G861" s="7"/>
      <c r="H861" s="7"/>
    </row>
    <row r="862" customFormat="false" ht="13.8" hidden="false" customHeight="false" outlineLevel="0" collapsed="false">
      <c r="A862" s="7"/>
      <c r="B862" s="8"/>
      <c r="C862" s="8"/>
      <c r="D862" s="8"/>
      <c r="E862" s="8"/>
      <c r="F862" s="7"/>
      <c r="G862" s="7"/>
      <c r="H862" s="7"/>
    </row>
    <row r="863" customFormat="false" ht="13.8" hidden="false" customHeight="false" outlineLevel="0" collapsed="false">
      <c r="A863" s="7"/>
      <c r="B863" s="8"/>
      <c r="C863" s="8"/>
      <c r="D863" s="8"/>
      <c r="E863" s="8"/>
      <c r="F863" s="7"/>
      <c r="G863" s="7"/>
      <c r="H863" s="7"/>
    </row>
    <row r="864" customFormat="false" ht="13.8" hidden="false" customHeight="false" outlineLevel="0" collapsed="false">
      <c r="A864" s="7"/>
      <c r="B864" s="8"/>
      <c r="C864" s="8"/>
      <c r="D864" s="8"/>
      <c r="E864" s="8"/>
      <c r="F864" s="7"/>
      <c r="G864" s="7"/>
      <c r="H864" s="7"/>
    </row>
    <row r="865" customFormat="false" ht="13.8" hidden="false" customHeight="false" outlineLevel="0" collapsed="false">
      <c r="A865" s="7"/>
      <c r="B865" s="8"/>
      <c r="C865" s="8"/>
      <c r="D865" s="8"/>
      <c r="E865" s="8"/>
      <c r="F865" s="7"/>
      <c r="G865" s="7"/>
      <c r="H865" s="7"/>
    </row>
    <row r="866" customFormat="false" ht="13.8" hidden="false" customHeight="false" outlineLevel="0" collapsed="false">
      <c r="A866" s="7"/>
      <c r="B866" s="8"/>
      <c r="C866" s="8"/>
      <c r="D866" s="8"/>
      <c r="E866" s="8"/>
      <c r="F866" s="7"/>
      <c r="G866" s="7"/>
      <c r="H866" s="7"/>
    </row>
    <row r="867" customFormat="false" ht="13.8" hidden="false" customHeight="false" outlineLevel="0" collapsed="false">
      <c r="A867" s="7"/>
      <c r="B867" s="8"/>
      <c r="C867" s="8"/>
      <c r="D867" s="8"/>
      <c r="E867" s="8"/>
      <c r="F867" s="7"/>
      <c r="G867" s="7"/>
      <c r="H867" s="7"/>
    </row>
    <row r="868" customFormat="false" ht="13.8" hidden="false" customHeight="false" outlineLevel="0" collapsed="false">
      <c r="A868" s="7"/>
      <c r="B868" s="8"/>
      <c r="C868" s="8"/>
      <c r="D868" s="8"/>
      <c r="E868" s="8"/>
      <c r="F868" s="7"/>
      <c r="G868" s="7"/>
      <c r="H868" s="7"/>
    </row>
    <row r="869" customFormat="false" ht="13.8" hidden="false" customHeight="false" outlineLevel="0" collapsed="false">
      <c r="A869" s="7"/>
      <c r="B869" s="8"/>
      <c r="C869" s="8"/>
      <c r="D869" s="8"/>
      <c r="E869" s="8"/>
      <c r="F869" s="7"/>
      <c r="G869" s="7"/>
      <c r="H869" s="7"/>
    </row>
    <row r="870" customFormat="false" ht="13.8" hidden="false" customHeight="false" outlineLevel="0" collapsed="false">
      <c r="A870" s="7"/>
      <c r="B870" s="8"/>
      <c r="C870" s="8"/>
      <c r="D870" s="8"/>
      <c r="E870" s="8"/>
      <c r="F870" s="7"/>
      <c r="G870" s="7"/>
      <c r="H870" s="7"/>
    </row>
    <row r="871" customFormat="false" ht="13.8" hidden="false" customHeight="false" outlineLevel="0" collapsed="false">
      <c r="A871" s="7"/>
      <c r="B871" s="8"/>
      <c r="C871" s="8"/>
      <c r="D871" s="8"/>
      <c r="E871" s="8"/>
      <c r="F871" s="7"/>
      <c r="G871" s="7"/>
      <c r="H871" s="7"/>
    </row>
    <row r="872" customFormat="false" ht="13.8" hidden="false" customHeight="false" outlineLevel="0" collapsed="false">
      <c r="A872" s="7"/>
      <c r="B872" s="8"/>
      <c r="C872" s="8"/>
      <c r="D872" s="8"/>
      <c r="E872" s="8"/>
      <c r="F872" s="7"/>
      <c r="G872" s="7"/>
      <c r="H872" s="7"/>
    </row>
    <row r="873" customFormat="false" ht="13.8" hidden="false" customHeight="false" outlineLevel="0" collapsed="false">
      <c r="A873" s="7"/>
      <c r="B873" s="8"/>
      <c r="C873" s="8"/>
      <c r="D873" s="8"/>
      <c r="E873" s="8"/>
      <c r="F873" s="7"/>
      <c r="G873" s="7"/>
      <c r="H873" s="7"/>
    </row>
    <row r="874" customFormat="false" ht="13.8" hidden="false" customHeight="false" outlineLevel="0" collapsed="false">
      <c r="A874" s="7"/>
      <c r="B874" s="8"/>
      <c r="C874" s="8"/>
      <c r="D874" s="8"/>
      <c r="E874" s="8"/>
      <c r="F874" s="7"/>
      <c r="G874" s="7"/>
      <c r="H874" s="7"/>
    </row>
    <row r="875" customFormat="false" ht="13.8" hidden="false" customHeight="false" outlineLevel="0" collapsed="false">
      <c r="A875" s="7"/>
      <c r="B875" s="8"/>
      <c r="C875" s="8"/>
      <c r="D875" s="8"/>
      <c r="E875" s="8"/>
      <c r="F875" s="7"/>
      <c r="G875" s="7"/>
      <c r="H875" s="7"/>
    </row>
    <row r="876" customFormat="false" ht="13.8" hidden="false" customHeight="false" outlineLevel="0" collapsed="false">
      <c r="A876" s="7"/>
      <c r="B876" s="8"/>
      <c r="C876" s="8"/>
      <c r="D876" s="8"/>
      <c r="E876" s="8"/>
      <c r="F876" s="7"/>
      <c r="G876" s="7"/>
      <c r="H876" s="7"/>
    </row>
    <row r="877" customFormat="false" ht="13.8" hidden="false" customHeight="false" outlineLevel="0" collapsed="false">
      <c r="A877" s="7"/>
      <c r="B877" s="8"/>
      <c r="C877" s="8"/>
      <c r="D877" s="8"/>
      <c r="E877" s="8"/>
      <c r="F877" s="7"/>
      <c r="G877" s="7"/>
      <c r="H877" s="7"/>
    </row>
    <row r="878" customFormat="false" ht="13.8" hidden="false" customHeight="false" outlineLevel="0" collapsed="false">
      <c r="A878" s="7"/>
      <c r="B878" s="8"/>
      <c r="C878" s="8"/>
      <c r="D878" s="8"/>
      <c r="E878" s="8"/>
      <c r="F878" s="7"/>
      <c r="G878" s="7"/>
      <c r="H878" s="7"/>
    </row>
    <row r="879" customFormat="false" ht="13.8" hidden="false" customHeight="false" outlineLevel="0" collapsed="false">
      <c r="A879" s="7"/>
      <c r="B879" s="8"/>
      <c r="C879" s="8"/>
      <c r="D879" s="8"/>
      <c r="E879" s="8"/>
      <c r="F879" s="7"/>
      <c r="G879" s="7"/>
      <c r="H879" s="7"/>
    </row>
    <row r="880" customFormat="false" ht="13.8" hidden="false" customHeight="false" outlineLevel="0" collapsed="false">
      <c r="A880" s="7"/>
      <c r="B880" s="8"/>
      <c r="C880" s="8"/>
      <c r="D880" s="8"/>
      <c r="E880" s="8"/>
      <c r="F880" s="7"/>
      <c r="G880" s="7"/>
      <c r="H880" s="7"/>
    </row>
    <row r="881" customFormat="false" ht="13.8" hidden="false" customHeight="false" outlineLevel="0" collapsed="false">
      <c r="A881" s="7"/>
      <c r="B881" s="8"/>
      <c r="C881" s="8"/>
      <c r="D881" s="8"/>
      <c r="E881" s="8"/>
      <c r="F881" s="7"/>
      <c r="G881" s="7"/>
      <c r="H881" s="7"/>
    </row>
    <row r="882" customFormat="false" ht="13.8" hidden="false" customHeight="false" outlineLevel="0" collapsed="false">
      <c r="A882" s="7"/>
      <c r="B882" s="8"/>
      <c r="C882" s="8"/>
      <c r="D882" s="8"/>
      <c r="E882" s="8"/>
      <c r="F882" s="7"/>
      <c r="G882" s="7"/>
      <c r="H882" s="7"/>
    </row>
    <row r="883" customFormat="false" ht="13.8" hidden="false" customHeight="false" outlineLevel="0" collapsed="false">
      <c r="A883" s="7"/>
      <c r="B883" s="8"/>
      <c r="C883" s="8"/>
      <c r="D883" s="8"/>
      <c r="E883" s="8"/>
      <c r="F883" s="7"/>
      <c r="G883" s="7"/>
      <c r="H883" s="7"/>
    </row>
    <row r="884" customFormat="false" ht="13.8" hidden="false" customHeight="false" outlineLevel="0" collapsed="false">
      <c r="A884" s="7"/>
      <c r="B884" s="8"/>
      <c r="C884" s="8"/>
      <c r="D884" s="8"/>
      <c r="E884" s="8"/>
      <c r="F884" s="7"/>
      <c r="G884" s="7"/>
      <c r="H884" s="7"/>
    </row>
    <row r="885" customFormat="false" ht="13.8" hidden="false" customHeight="false" outlineLevel="0" collapsed="false">
      <c r="A885" s="7"/>
      <c r="B885" s="8"/>
      <c r="C885" s="8"/>
      <c r="D885" s="8"/>
      <c r="E885" s="8"/>
      <c r="F885" s="7"/>
      <c r="G885" s="7"/>
      <c r="H885" s="7"/>
    </row>
    <row r="886" customFormat="false" ht="13.8" hidden="false" customHeight="false" outlineLevel="0" collapsed="false">
      <c r="A886" s="7"/>
      <c r="B886" s="8"/>
      <c r="C886" s="8"/>
      <c r="D886" s="8"/>
      <c r="E886" s="8"/>
      <c r="F886" s="7"/>
      <c r="G886" s="7"/>
      <c r="H886" s="7"/>
    </row>
    <row r="887" customFormat="false" ht="13.8" hidden="false" customHeight="false" outlineLevel="0" collapsed="false">
      <c r="A887" s="7"/>
      <c r="B887" s="8"/>
      <c r="C887" s="8"/>
      <c r="D887" s="8"/>
      <c r="E887" s="8"/>
      <c r="F887" s="7"/>
      <c r="G887" s="7"/>
      <c r="H887" s="7"/>
    </row>
    <row r="888" customFormat="false" ht="13.8" hidden="false" customHeight="false" outlineLevel="0" collapsed="false">
      <c r="A888" s="7"/>
      <c r="B888" s="8"/>
      <c r="C888" s="8"/>
      <c r="D888" s="8"/>
      <c r="E888" s="8"/>
      <c r="F888" s="7"/>
      <c r="G888" s="7"/>
      <c r="H888" s="7"/>
    </row>
    <row r="889" customFormat="false" ht="13.8" hidden="false" customHeight="false" outlineLevel="0" collapsed="false">
      <c r="A889" s="7"/>
      <c r="B889" s="8"/>
      <c r="C889" s="8"/>
      <c r="D889" s="8"/>
      <c r="E889" s="8"/>
      <c r="F889" s="7"/>
      <c r="G889" s="7"/>
      <c r="H889" s="7"/>
    </row>
    <row r="890" customFormat="false" ht="13.8" hidden="false" customHeight="false" outlineLevel="0" collapsed="false">
      <c r="A890" s="7"/>
      <c r="B890" s="8"/>
      <c r="C890" s="8"/>
      <c r="D890" s="8"/>
      <c r="E890" s="8"/>
      <c r="F890" s="7"/>
      <c r="G890" s="7"/>
      <c r="H890" s="7"/>
    </row>
    <row r="891" customFormat="false" ht="13.8" hidden="false" customHeight="false" outlineLevel="0" collapsed="false">
      <c r="A891" s="7"/>
      <c r="B891" s="8"/>
      <c r="C891" s="8"/>
      <c r="D891" s="8"/>
      <c r="E891" s="8"/>
      <c r="F891" s="7"/>
      <c r="G891" s="7"/>
      <c r="H891" s="7"/>
    </row>
    <row r="892" customFormat="false" ht="13.8" hidden="false" customHeight="false" outlineLevel="0" collapsed="false">
      <c r="A892" s="7"/>
      <c r="B892" s="8"/>
      <c r="C892" s="8"/>
      <c r="D892" s="8"/>
      <c r="E892" s="8"/>
      <c r="F892" s="7"/>
      <c r="G892" s="7"/>
      <c r="H892" s="7"/>
    </row>
    <row r="893" customFormat="false" ht="13.8" hidden="false" customHeight="false" outlineLevel="0" collapsed="false">
      <c r="A893" s="7"/>
      <c r="B893" s="8"/>
      <c r="C893" s="8"/>
      <c r="D893" s="8"/>
      <c r="E893" s="8"/>
      <c r="F893" s="7"/>
      <c r="G893" s="7"/>
      <c r="H893" s="7"/>
    </row>
    <row r="894" customFormat="false" ht="13.8" hidden="false" customHeight="false" outlineLevel="0" collapsed="false">
      <c r="A894" s="7"/>
      <c r="B894" s="8"/>
      <c r="C894" s="8"/>
      <c r="D894" s="8"/>
      <c r="E894" s="8"/>
      <c r="F894" s="7"/>
      <c r="G894" s="7"/>
      <c r="H894" s="7"/>
    </row>
    <row r="895" customFormat="false" ht="13.8" hidden="false" customHeight="false" outlineLevel="0" collapsed="false">
      <c r="A895" s="7"/>
      <c r="B895" s="8"/>
      <c r="C895" s="8"/>
      <c r="D895" s="8"/>
      <c r="E895" s="8"/>
      <c r="F895" s="7"/>
      <c r="G895" s="7"/>
      <c r="H895" s="7"/>
    </row>
    <row r="896" customFormat="false" ht="13.8" hidden="false" customHeight="false" outlineLevel="0" collapsed="false">
      <c r="A896" s="7"/>
      <c r="B896" s="8"/>
      <c r="C896" s="8"/>
      <c r="D896" s="8"/>
      <c r="E896" s="8"/>
      <c r="F896" s="7"/>
      <c r="G896" s="7"/>
      <c r="H896" s="7"/>
    </row>
    <row r="897" customFormat="false" ht="13.8" hidden="false" customHeight="false" outlineLevel="0" collapsed="false">
      <c r="A897" s="7"/>
      <c r="B897" s="8"/>
      <c r="C897" s="8"/>
      <c r="D897" s="8"/>
      <c r="E897" s="8"/>
      <c r="F897" s="7"/>
      <c r="G897" s="7"/>
      <c r="H897" s="7"/>
    </row>
    <row r="898" customFormat="false" ht="13.8" hidden="false" customHeight="false" outlineLevel="0" collapsed="false">
      <c r="A898" s="7"/>
      <c r="B898" s="8"/>
      <c r="C898" s="8"/>
      <c r="D898" s="8"/>
      <c r="E898" s="8"/>
      <c r="F898" s="7"/>
      <c r="G898" s="7"/>
      <c r="H898" s="7"/>
    </row>
    <row r="899" customFormat="false" ht="13.8" hidden="false" customHeight="false" outlineLevel="0" collapsed="false">
      <c r="A899" s="7"/>
      <c r="B899" s="8"/>
      <c r="C899" s="8"/>
      <c r="D899" s="8"/>
      <c r="E899" s="8"/>
      <c r="F899" s="7"/>
      <c r="G899" s="7"/>
      <c r="H899" s="7"/>
    </row>
    <row r="900" customFormat="false" ht="13.8" hidden="false" customHeight="false" outlineLevel="0" collapsed="false">
      <c r="A900" s="7"/>
      <c r="B900" s="8"/>
      <c r="C900" s="8"/>
      <c r="D900" s="8"/>
      <c r="E900" s="8"/>
      <c r="F900" s="7"/>
      <c r="G900" s="7"/>
      <c r="H900" s="7"/>
    </row>
    <row r="901" customFormat="false" ht="13.8" hidden="false" customHeight="false" outlineLevel="0" collapsed="false">
      <c r="A901" s="7"/>
      <c r="B901" s="8"/>
      <c r="C901" s="8"/>
      <c r="D901" s="8"/>
      <c r="E901" s="8"/>
      <c r="F901" s="7"/>
      <c r="G901" s="7"/>
      <c r="H901" s="7"/>
    </row>
    <row r="902" customFormat="false" ht="13.8" hidden="false" customHeight="false" outlineLevel="0" collapsed="false">
      <c r="A902" s="7"/>
      <c r="B902" s="8"/>
      <c r="C902" s="8"/>
      <c r="D902" s="8"/>
      <c r="E902" s="8"/>
      <c r="F902" s="7"/>
      <c r="G902" s="7"/>
      <c r="H902" s="7"/>
    </row>
    <row r="903" customFormat="false" ht="13.8" hidden="false" customHeight="false" outlineLevel="0" collapsed="false">
      <c r="A903" s="7"/>
      <c r="B903" s="8"/>
      <c r="C903" s="8"/>
      <c r="D903" s="8"/>
      <c r="E903" s="8"/>
      <c r="F903" s="7"/>
      <c r="G903" s="7"/>
      <c r="H903" s="7"/>
    </row>
    <row r="904" customFormat="false" ht="13.8" hidden="false" customHeight="false" outlineLevel="0" collapsed="false">
      <c r="A904" s="7"/>
      <c r="B904" s="8"/>
      <c r="C904" s="8"/>
      <c r="D904" s="8"/>
      <c r="E904" s="8"/>
      <c r="F904" s="7"/>
      <c r="G904" s="7"/>
      <c r="H904" s="7"/>
    </row>
    <row r="905" customFormat="false" ht="13.8" hidden="false" customHeight="false" outlineLevel="0" collapsed="false">
      <c r="A905" s="7"/>
      <c r="B905" s="8"/>
      <c r="C905" s="8"/>
      <c r="D905" s="8"/>
      <c r="E905" s="8"/>
      <c r="F905" s="7"/>
      <c r="G905" s="7"/>
      <c r="H905" s="7"/>
    </row>
    <row r="906" customFormat="false" ht="13.8" hidden="false" customHeight="false" outlineLevel="0" collapsed="false">
      <c r="A906" s="7"/>
      <c r="B906" s="8"/>
      <c r="C906" s="8"/>
      <c r="D906" s="8"/>
      <c r="E906" s="8"/>
      <c r="F906" s="7"/>
      <c r="G906" s="7"/>
      <c r="H906" s="7"/>
    </row>
    <row r="907" customFormat="false" ht="13.8" hidden="false" customHeight="false" outlineLevel="0" collapsed="false">
      <c r="A907" s="7"/>
      <c r="B907" s="8"/>
      <c r="C907" s="8"/>
      <c r="D907" s="8"/>
      <c r="E907" s="8"/>
      <c r="F907" s="7"/>
      <c r="G907" s="7"/>
      <c r="H907" s="7"/>
    </row>
    <row r="908" customFormat="false" ht="13.8" hidden="false" customHeight="false" outlineLevel="0" collapsed="false">
      <c r="A908" s="7"/>
      <c r="B908" s="8"/>
      <c r="C908" s="8"/>
      <c r="D908" s="8"/>
      <c r="E908" s="8"/>
      <c r="F908" s="7"/>
      <c r="G908" s="7"/>
      <c r="H908" s="7"/>
    </row>
    <row r="909" customFormat="false" ht="13.8" hidden="false" customHeight="false" outlineLevel="0" collapsed="false">
      <c r="A909" s="7"/>
      <c r="B909" s="8"/>
      <c r="C909" s="8"/>
      <c r="D909" s="8"/>
      <c r="E909" s="8"/>
      <c r="F909" s="7"/>
      <c r="G909" s="7"/>
      <c r="H909" s="7"/>
    </row>
    <row r="910" customFormat="false" ht="13.8" hidden="false" customHeight="false" outlineLevel="0" collapsed="false">
      <c r="A910" s="7"/>
      <c r="B910" s="8"/>
      <c r="C910" s="8"/>
      <c r="D910" s="8"/>
      <c r="E910" s="8"/>
      <c r="F910" s="7"/>
      <c r="G910" s="7"/>
      <c r="H910" s="7"/>
    </row>
    <row r="911" customFormat="false" ht="13.8" hidden="false" customHeight="false" outlineLevel="0" collapsed="false">
      <c r="A911" s="7"/>
      <c r="B911" s="8"/>
      <c r="C911" s="8"/>
      <c r="D911" s="8"/>
      <c r="E911" s="8"/>
      <c r="F911" s="7"/>
      <c r="G911" s="7"/>
      <c r="H911" s="7"/>
    </row>
    <row r="912" customFormat="false" ht="13.8" hidden="false" customHeight="false" outlineLevel="0" collapsed="false">
      <c r="A912" s="7"/>
      <c r="B912" s="8"/>
      <c r="C912" s="8"/>
      <c r="D912" s="8"/>
      <c r="E912" s="8"/>
      <c r="F912" s="7"/>
      <c r="G912" s="7"/>
      <c r="H912" s="7"/>
    </row>
    <row r="913" customFormat="false" ht="13.8" hidden="false" customHeight="false" outlineLevel="0" collapsed="false">
      <c r="A913" s="7"/>
      <c r="B913" s="8"/>
      <c r="C913" s="8"/>
      <c r="D913" s="8"/>
      <c r="E913" s="8"/>
      <c r="F913" s="7"/>
      <c r="G913" s="7"/>
      <c r="H913" s="7"/>
    </row>
    <row r="914" customFormat="false" ht="13.8" hidden="false" customHeight="false" outlineLevel="0" collapsed="false">
      <c r="A914" s="7"/>
      <c r="B914" s="8"/>
      <c r="C914" s="8"/>
      <c r="D914" s="8"/>
      <c r="E914" s="8"/>
      <c r="F914" s="7"/>
      <c r="G914" s="7"/>
      <c r="H914" s="7"/>
    </row>
    <row r="915" customFormat="false" ht="13.8" hidden="false" customHeight="false" outlineLevel="0" collapsed="false">
      <c r="A915" s="7"/>
      <c r="B915" s="8"/>
      <c r="C915" s="8"/>
      <c r="D915" s="8"/>
      <c r="E915" s="8"/>
      <c r="F915" s="7"/>
      <c r="G915" s="7"/>
      <c r="H915" s="7"/>
    </row>
    <row r="916" customFormat="false" ht="13.8" hidden="false" customHeight="false" outlineLevel="0" collapsed="false">
      <c r="A916" s="7"/>
      <c r="B916" s="8"/>
      <c r="C916" s="8"/>
      <c r="D916" s="8"/>
      <c r="E916" s="8"/>
      <c r="F916" s="7"/>
      <c r="G916" s="7"/>
      <c r="H916" s="7"/>
    </row>
    <row r="917" customFormat="false" ht="13.8" hidden="false" customHeight="false" outlineLevel="0" collapsed="false">
      <c r="A917" s="7"/>
      <c r="B917" s="8"/>
      <c r="C917" s="8"/>
      <c r="D917" s="8"/>
      <c r="E917" s="8"/>
      <c r="F917" s="7"/>
      <c r="G917" s="7"/>
      <c r="H917" s="7"/>
    </row>
    <row r="918" customFormat="false" ht="13.8" hidden="false" customHeight="false" outlineLevel="0" collapsed="false">
      <c r="A918" s="7"/>
      <c r="B918" s="8"/>
      <c r="C918" s="8"/>
      <c r="D918" s="8"/>
      <c r="E918" s="8"/>
      <c r="F918" s="7"/>
      <c r="G918" s="7"/>
      <c r="H918" s="7"/>
    </row>
    <row r="919" customFormat="false" ht="13.8" hidden="false" customHeight="false" outlineLevel="0" collapsed="false">
      <c r="A919" s="7"/>
      <c r="B919" s="8"/>
      <c r="C919" s="8"/>
      <c r="D919" s="8"/>
      <c r="E919" s="8"/>
      <c r="F919" s="7"/>
      <c r="G919" s="7"/>
      <c r="H919" s="7"/>
    </row>
    <row r="920" customFormat="false" ht="13.8" hidden="false" customHeight="false" outlineLevel="0" collapsed="false">
      <c r="A920" s="7"/>
      <c r="B920" s="8"/>
      <c r="C920" s="8"/>
      <c r="D920" s="8"/>
      <c r="E920" s="8"/>
      <c r="F920" s="7"/>
      <c r="G920" s="7"/>
      <c r="H920" s="7"/>
    </row>
    <row r="921" customFormat="false" ht="13.8" hidden="false" customHeight="false" outlineLevel="0" collapsed="false">
      <c r="A921" s="7"/>
      <c r="B921" s="8"/>
      <c r="C921" s="8"/>
      <c r="D921" s="8"/>
      <c r="E921" s="8"/>
      <c r="F921" s="7"/>
      <c r="G921" s="7"/>
      <c r="H921" s="7"/>
    </row>
    <row r="922" customFormat="false" ht="13.8" hidden="false" customHeight="false" outlineLevel="0" collapsed="false">
      <c r="A922" s="7"/>
      <c r="B922" s="8"/>
      <c r="C922" s="8"/>
      <c r="D922" s="8"/>
      <c r="E922" s="8"/>
      <c r="F922" s="7"/>
      <c r="G922" s="7"/>
      <c r="H922" s="7"/>
    </row>
    <row r="923" customFormat="false" ht="13.8" hidden="false" customHeight="false" outlineLevel="0" collapsed="false">
      <c r="A923" s="7"/>
      <c r="B923" s="8"/>
      <c r="C923" s="8"/>
      <c r="D923" s="8"/>
      <c r="E923" s="8"/>
      <c r="F923" s="7"/>
      <c r="G923" s="7"/>
      <c r="H923" s="7"/>
    </row>
    <row r="924" customFormat="false" ht="13.8" hidden="false" customHeight="false" outlineLevel="0" collapsed="false">
      <c r="A924" s="7"/>
      <c r="B924" s="8"/>
      <c r="C924" s="8"/>
      <c r="D924" s="8"/>
      <c r="E924" s="8"/>
      <c r="F924" s="7"/>
      <c r="G924" s="7"/>
      <c r="H924" s="7"/>
    </row>
    <row r="925" customFormat="false" ht="13.8" hidden="false" customHeight="false" outlineLevel="0" collapsed="false">
      <c r="A925" s="7"/>
      <c r="B925" s="8"/>
      <c r="C925" s="8"/>
      <c r="D925" s="8"/>
      <c r="E925" s="8"/>
      <c r="F925" s="7"/>
      <c r="G925" s="7"/>
      <c r="H925" s="7"/>
    </row>
    <row r="926" customFormat="false" ht="13.8" hidden="false" customHeight="false" outlineLevel="0" collapsed="false">
      <c r="A926" s="7"/>
      <c r="B926" s="8"/>
      <c r="C926" s="8"/>
      <c r="D926" s="8"/>
      <c r="E926" s="8"/>
      <c r="F926" s="7"/>
      <c r="G926" s="7"/>
      <c r="H926" s="7"/>
    </row>
    <row r="927" customFormat="false" ht="13.8" hidden="false" customHeight="false" outlineLevel="0" collapsed="false">
      <c r="A927" s="7"/>
      <c r="B927" s="8"/>
      <c r="C927" s="8"/>
      <c r="D927" s="8"/>
      <c r="E927" s="8"/>
      <c r="F927" s="7"/>
      <c r="G927" s="7"/>
      <c r="H927" s="7"/>
    </row>
    <row r="928" customFormat="false" ht="13.8" hidden="false" customHeight="false" outlineLevel="0" collapsed="false">
      <c r="A928" s="7"/>
      <c r="B928" s="8"/>
      <c r="C928" s="8"/>
      <c r="D928" s="8"/>
      <c r="E928" s="8"/>
      <c r="F928" s="7"/>
      <c r="G928" s="7"/>
      <c r="H928" s="7"/>
    </row>
    <row r="929" customFormat="false" ht="13.8" hidden="false" customHeight="false" outlineLevel="0" collapsed="false">
      <c r="A929" s="7"/>
      <c r="B929" s="8"/>
      <c r="C929" s="8"/>
      <c r="D929" s="8"/>
      <c r="E929" s="8"/>
      <c r="F929" s="7"/>
      <c r="G929" s="7"/>
      <c r="H929" s="7"/>
    </row>
    <row r="930" customFormat="false" ht="13.8" hidden="false" customHeight="false" outlineLevel="0" collapsed="false">
      <c r="A930" s="7"/>
      <c r="B930" s="8"/>
      <c r="C930" s="8"/>
      <c r="D930" s="8"/>
      <c r="E930" s="8"/>
      <c r="F930" s="7"/>
      <c r="G930" s="7"/>
      <c r="H930" s="7"/>
    </row>
    <row r="931" customFormat="false" ht="13.8" hidden="false" customHeight="false" outlineLevel="0" collapsed="false">
      <c r="A931" s="7"/>
      <c r="B931" s="8"/>
      <c r="C931" s="8"/>
      <c r="D931" s="8"/>
      <c r="E931" s="8"/>
      <c r="F931" s="7"/>
      <c r="G931" s="7"/>
      <c r="H931" s="7"/>
    </row>
    <row r="932" customFormat="false" ht="13.8" hidden="false" customHeight="false" outlineLevel="0" collapsed="false">
      <c r="A932" s="7"/>
      <c r="B932" s="8"/>
      <c r="C932" s="8"/>
      <c r="D932" s="8"/>
      <c r="E932" s="8"/>
      <c r="F932" s="7"/>
      <c r="G932" s="7"/>
      <c r="H932" s="7"/>
    </row>
    <row r="933" customFormat="false" ht="13.8" hidden="false" customHeight="false" outlineLevel="0" collapsed="false">
      <c r="A933" s="7"/>
      <c r="B933" s="8"/>
      <c r="C933" s="8"/>
      <c r="D933" s="8"/>
      <c r="E933" s="8"/>
      <c r="F933" s="7"/>
      <c r="G933" s="7"/>
      <c r="H933" s="7"/>
    </row>
    <row r="934" customFormat="false" ht="13.8" hidden="false" customHeight="false" outlineLevel="0" collapsed="false">
      <c r="A934" s="7"/>
      <c r="B934" s="8"/>
      <c r="C934" s="8"/>
      <c r="D934" s="8"/>
      <c r="E934" s="8"/>
      <c r="F934" s="7"/>
      <c r="G934" s="7"/>
      <c r="H934" s="7"/>
    </row>
    <row r="935" customFormat="false" ht="13.8" hidden="false" customHeight="false" outlineLevel="0" collapsed="false">
      <c r="A935" s="7"/>
      <c r="B935" s="8"/>
      <c r="C935" s="8"/>
      <c r="D935" s="8"/>
      <c r="E935" s="8"/>
      <c r="F935" s="7"/>
      <c r="G935" s="7"/>
      <c r="H935" s="7"/>
    </row>
    <row r="936" customFormat="false" ht="13.8" hidden="false" customHeight="false" outlineLevel="0" collapsed="false">
      <c r="A936" s="7"/>
      <c r="B936" s="8"/>
      <c r="C936" s="8"/>
      <c r="D936" s="8"/>
      <c r="E936" s="8"/>
      <c r="F936" s="7"/>
      <c r="G936" s="7"/>
      <c r="H936" s="7"/>
    </row>
    <row r="937" customFormat="false" ht="13.8" hidden="false" customHeight="false" outlineLevel="0" collapsed="false">
      <c r="A937" s="7"/>
      <c r="B937" s="8"/>
      <c r="C937" s="8"/>
      <c r="D937" s="8"/>
      <c r="E937" s="8"/>
      <c r="F937" s="7"/>
      <c r="G937" s="7"/>
      <c r="H937" s="7"/>
    </row>
    <row r="938" customFormat="false" ht="13.8" hidden="false" customHeight="false" outlineLevel="0" collapsed="false">
      <c r="A938" s="7"/>
      <c r="B938" s="8"/>
      <c r="C938" s="8"/>
      <c r="D938" s="8"/>
      <c r="E938" s="8"/>
      <c r="F938" s="7"/>
      <c r="G938" s="7"/>
      <c r="H938" s="7"/>
    </row>
    <row r="939" customFormat="false" ht="13.8" hidden="false" customHeight="false" outlineLevel="0" collapsed="false">
      <c r="A939" s="7"/>
      <c r="B939" s="8"/>
      <c r="C939" s="8"/>
      <c r="D939" s="8"/>
      <c r="E939" s="8"/>
      <c r="F939" s="7"/>
      <c r="G939" s="7"/>
      <c r="H939" s="7"/>
    </row>
    <row r="940" customFormat="false" ht="13.8" hidden="false" customHeight="false" outlineLevel="0" collapsed="false">
      <c r="A940" s="7"/>
      <c r="B940" s="8"/>
      <c r="C940" s="8"/>
      <c r="D940" s="8"/>
      <c r="E940" s="8"/>
      <c r="F940" s="7"/>
      <c r="G940" s="7"/>
      <c r="H940" s="7"/>
    </row>
    <row r="941" customFormat="false" ht="13.8" hidden="false" customHeight="false" outlineLevel="0" collapsed="false">
      <c r="A941" s="7"/>
      <c r="B941" s="8"/>
      <c r="C941" s="8"/>
      <c r="D941" s="8"/>
      <c r="E941" s="8"/>
      <c r="F941" s="7"/>
      <c r="G941" s="7"/>
      <c r="H941" s="7"/>
    </row>
    <row r="942" customFormat="false" ht="13.8" hidden="false" customHeight="false" outlineLevel="0" collapsed="false">
      <c r="A942" s="7"/>
      <c r="B942" s="8"/>
      <c r="C942" s="8"/>
      <c r="D942" s="8"/>
      <c r="E942" s="8"/>
      <c r="F942" s="7"/>
      <c r="G942" s="7"/>
      <c r="H942" s="7"/>
    </row>
    <row r="943" customFormat="false" ht="13.8" hidden="false" customHeight="false" outlineLevel="0" collapsed="false">
      <c r="A943" s="7"/>
      <c r="B943" s="8"/>
      <c r="C943" s="8"/>
      <c r="D943" s="8"/>
      <c r="E943" s="8"/>
      <c r="F943" s="7"/>
      <c r="G943" s="7"/>
      <c r="H943" s="7"/>
    </row>
    <row r="944" customFormat="false" ht="13.8" hidden="false" customHeight="false" outlineLevel="0" collapsed="false">
      <c r="A944" s="7"/>
      <c r="B944" s="8"/>
      <c r="C944" s="8"/>
      <c r="D944" s="8"/>
      <c r="E944" s="8"/>
      <c r="F944" s="7"/>
      <c r="G944" s="7"/>
      <c r="H944" s="7"/>
    </row>
    <row r="945" customFormat="false" ht="13.8" hidden="false" customHeight="false" outlineLevel="0" collapsed="false">
      <c r="A945" s="7"/>
      <c r="B945" s="8"/>
      <c r="C945" s="8"/>
      <c r="D945" s="8"/>
      <c r="E945" s="8"/>
      <c r="F945" s="7"/>
      <c r="G945" s="7"/>
      <c r="H945" s="7"/>
    </row>
    <row r="946" customFormat="false" ht="13.8" hidden="false" customHeight="false" outlineLevel="0" collapsed="false">
      <c r="A946" s="7"/>
      <c r="B946" s="8"/>
      <c r="C946" s="8"/>
      <c r="D946" s="8"/>
      <c r="E946" s="8"/>
      <c r="F946" s="7"/>
      <c r="G946" s="7"/>
      <c r="H946" s="7"/>
    </row>
    <row r="947" customFormat="false" ht="13.8" hidden="false" customHeight="false" outlineLevel="0" collapsed="false">
      <c r="A947" s="7"/>
      <c r="B947" s="8"/>
      <c r="C947" s="8"/>
      <c r="D947" s="8"/>
      <c r="E947" s="8"/>
      <c r="F947" s="7"/>
      <c r="G947" s="7"/>
      <c r="H947" s="7"/>
    </row>
    <row r="948" customFormat="false" ht="13.8" hidden="false" customHeight="false" outlineLevel="0" collapsed="false">
      <c r="A948" s="7"/>
      <c r="B948" s="8"/>
      <c r="C948" s="8"/>
      <c r="D948" s="8"/>
      <c r="E948" s="8"/>
      <c r="F948" s="7"/>
      <c r="G948" s="7"/>
      <c r="H948" s="7"/>
    </row>
    <row r="949" customFormat="false" ht="13.8" hidden="false" customHeight="false" outlineLevel="0" collapsed="false">
      <c r="A949" s="7"/>
      <c r="B949" s="8"/>
      <c r="C949" s="8"/>
      <c r="D949" s="8"/>
      <c r="E949" s="8"/>
      <c r="F949" s="7"/>
      <c r="G949" s="7"/>
      <c r="H949" s="7"/>
    </row>
    <row r="950" customFormat="false" ht="13.8" hidden="false" customHeight="false" outlineLevel="0" collapsed="false">
      <c r="A950" s="7"/>
      <c r="B950" s="8"/>
      <c r="C950" s="8"/>
      <c r="D950" s="8"/>
      <c r="E950" s="8"/>
      <c r="F950" s="7"/>
      <c r="G950" s="7"/>
      <c r="H950" s="7"/>
    </row>
    <row r="951" customFormat="false" ht="13.8" hidden="false" customHeight="false" outlineLevel="0" collapsed="false">
      <c r="A951" s="7"/>
      <c r="B951" s="8"/>
      <c r="C951" s="8"/>
      <c r="D951" s="8"/>
      <c r="E951" s="8"/>
      <c r="F951" s="7"/>
      <c r="G951" s="7"/>
      <c r="H951" s="7"/>
    </row>
    <row r="952" customFormat="false" ht="13.8" hidden="false" customHeight="false" outlineLevel="0" collapsed="false">
      <c r="A952" s="7"/>
      <c r="B952" s="8"/>
      <c r="C952" s="8"/>
      <c r="D952" s="8"/>
      <c r="E952" s="8"/>
      <c r="F952" s="7"/>
      <c r="G952" s="7"/>
      <c r="H952" s="7"/>
    </row>
    <row r="953" customFormat="false" ht="13.8" hidden="false" customHeight="false" outlineLevel="0" collapsed="false">
      <c r="A953" s="7"/>
      <c r="B953" s="8"/>
      <c r="C953" s="8"/>
      <c r="D953" s="8"/>
      <c r="E953" s="8"/>
      <c r="F953" s="7"/>
      <c r="G953" s="7"/>
      <c r="H953" s="7"/>
    </row>
    <row r="954" customFormat="false" ht="13.8" hidden="false" customHeight="false" outlineLevel="0" collapsed="false">
      <c r="A954" s="7"/>
      <c r="B954" s="8"/>
      <c r="C954" s="8"/>
      <c r="D954" s="8"/>
      <c r="E954" s="8"/>
      <c r="F954" s="7"/>
      <c r="G954" s="7"/>
      <c r="H954" s="7"/>
    </row>
    <row r="955" customFormat="false" ht="13.8" hidden="false" customHeight="false" outlineLevel="0" collapsed="false">
      <c r="A955" s="7"/>
      <c r="B955" s="8"/>
      <c r="C955" s="8"/>
      <c r="D955" s="8"/>
      <c r="E955" s="8"/>
      <c r="F955" s="7"/>
      <c r="G955" s="7"/>
      <c r="H955" s="7"/>
    </row>
    <row r="956" customFormat="false" ht="13.8" hidden="false" customHeight="false" outlineLevel="0" collapsed="false">
      <c r="A956" s="7"/>
      <c r="B956" s="8"/>
      <c r="C956" s="8"/>
      <c r="D956" s="8"/>
      <c r="E956" s="8"/>
      <c r="F956" s="7"/>
      <c r="G956" s="7"/>
      <c r="H956" s="7"/>
    </row>
    <row r="957" customFormat="false" ht="13.8" hidden="false" customHeight="false" outlineLevel="0" collapsed="false">
      <c r="A957" s="7"/>
      <c r="B957" s="8"/>
      <c r="C957" s="8"/>
      <c r="D957" s="8"/>
      <c r="E957" s="8"/>
      <c r="F957" s="7"/>
      <c r="G957" s="7"/>
      <c r="H957" s="7"/>
    </row>
    <row r="958" customFormat="false" ht="13.8" hidden="false" customHeight="false" outlineLevel="0" collapsed="false">
      <c r="A958" s="7"/>
      <c r="B958" s="8"/>
      <c r="C958" s="8"/>
      <c r="D958" s="8"/>
      <c r="E958" s="8"/>
      <c r="F958" s="7"/>
      <c r="G958" s="7"/>
      <c r="H958" s="7"/>
    </row>
    <row r="959" customFormat="false" ht="13.8" hidden="false" customHeight="false" outlineLevel="0" collapsed="false">
      <c r="A959" s="7"/>
      <c r="B959" s="8"/>
      <c r="C959" s="8"/>
      <c r="D959" s="8"/>
      <c r="E959" s="8"/>
      <c r="F959" s="7"/>
      <c r="G959" s="7"/>
      <c r="H959" s="7"/>
    </row>
    <row r="960" customFormat="false" ht="13.8" hidden="false" customHeight="false" outlineLevel="0" collapsed="false">
      <c r="A960" s="7"/>
      <c r="B960" s="8"/>
      <c r="C960" s="8"/>
      <c r="D960" s="8"/>
      <c r="E960" s="8"/>
      <c r="F960" s="7"/>
      <c r="G960" s="7"/>
      <c r="H960" s="7"/>
    </row>
    <row r="961" customFormat="false" ht="13.8" hidden="false" customHeight="false" outlineLevel="0" collapsed="false">
      <c r="A961" s="7"/>
      <c r="B961" s="8"/>
      <c r="C961" s="8"/>
      <c r="D961" s="8"/>
      <c r="E961" s="8"/>
      <c r="F961" s="7"/>
      <c r="G961" s="7"/>
      <c r="H961" s="7"/>
    </row>
    <row r="962" customFormat="false" ht="13.8" hidden="false" customHeight="false" outlineLevel="0" collapsed="false">
      <c r="A962" s="7"/>
      <c r="B962" s="8"/>
      <c r="C962" s="8"/>
      <c r="D962" s="8"/>
      <c r="E962" s="8"/>
      <c r="F962" s="7"/>
      <c r="G962" s="7"/>
      <c r="H962" s="7"/>
    </row>
    <row r="963" customFormat="false" ht="13.8" hidden="false" customHeight="false" outlineLevel="0" collapsed="false">
      <c r="A963" s="7"/>
      <c r="B963" s="8"/>
      <c r="C963" s="8"/>
      <c r="D963" s="8"/>
      <c r="E963" s="8"/>
      <c r="F963" s="7"/>
      <c r="G963" s="7"/>
      <c r="H963" s="7"/>
    </row>
    <row r="964" customFormat="false" ht="13.8" hidden="false" customHeight="false" outlineLevel="0" collapsed="false">
      <c r="A964" s="7"/>
      <c r="B964" s="8"/>
      <c r="C964" s="8"/>
      <c r="D964" s="8"/>
      <c r="E964" s="8"/>
      <c r="F964" s="7"/>
      <c r="G964" s="7"/>
      <c r="H964" s="7"/>
    </row>
    <row r="965" customFormat="false" ht="13.8" hidden="false" customHeight="false" outlineLevel="0" collapsed="false">
      <c r="A965" s="7"/>
      <c r="B965" s="8"/>
      <c r="C965" s="8"/>
      <c r="D965" s="8"/>
      <c r="E965" s="8"/>
      <c r="F965" s="7"/>
      <c r="G965" s="7"/>
      <c r="H965" s="7"/>
    </row>
    <row r="966" customFormat="false" ht="13.8" hidden="false" customHeight="false" outlineLevel="0" collapsed="false">
      <c r="A966" s="7"/>
      <c r="B966" s="8"/>
      <c r="C966" s="8"/>
      <c r="D966" s="8"/>
      <c r="E966" s="8"/>
      <c r="F966" s="7"/>
      <c r="G966" s="7"/>
      <c r="H966" s="7"/>
    </row>
    <row r="967" customFormat="false" ht="13.8" hidden="false" customHeight="false" outlineLevel="0" collapsed="false">
      <c r="A967" s="7"/>
      <c r="B967" s="8"/>
      <c r="C967" s="8"/>
      <c r="D967" s="8"/>
      <c r="E967" s="8"/>
      <c r="F967" s="7"/>
      <c r="G967" s="7"/>
      <c r="H967" s="7"/>
    </row>
    <row r="968" customFormat="false" ht="13.8" hidden="false" customHeight="false" outlineLevel="0" collapsed="false">
      <c r="A968" s="7"/>
      <c r="B968" s="8"/>
      <c r="C968" s="8"/>
      <c r="D968" s="8"/>
      <c r="E968" s="8"/>
      <c r="F968" s="7"/>
      <c r="G968" s="7"/>
      <c r="H968" s="7"/>
    </row>
    <row r="969" customFormat="false" ht="13.8" hidden="false" customHeight="false" outlineLevel="0" collapsed="false">
      <c r="A969" s="7"/>
      <c r="B969" s="8"/>
      <c r="C969" s="8"/>
      <c r="D969" s="8"/>
      <c r="E969" s="8"/>
      <c r="F969" s="7"/>
      <c r="G969" s="7"/>
      <c r="H969" s="7"/>
    </row>
    <row r="970" customFormat="false" ht="13.8" hidden="false" customHeight="false" outlineLevel="0" collapsed="false">
      <c r="A970" s="7"/>
      <c r="B970" s="8"/>
      <c r="C970" s="8"/>
      <c r="D970" s="8"/>
      <c r="E970" s="8"/>
      <c r="F970" s="7"/>
      <c r="G970" s="7"/>
      <c r="H970" s="7"/>
    </row>
    <row r="971" customFormat="false" ht="13.8" hidden="false" customHeight="false" outlineLevel="0" collapsed="false">
      <c r="A971" s="7"/>
      <c r="B971" s="8"/>
      <c r="C971" s="8"/>
      <c r="D971" s="8"/>
      <c r="E971" s="8"/>
      <c r="F971" s="7"/>
      <c r="G971" s="7"/>
      <c r="H971" s="7"/>
    </row>
    <row r="972" customFormat="false" ht="13.8" hidden="false" customHeight="false" outlineLevel="0" collapsed="false">
      <c r="A972" s="7"/>
      <c r="B972" s="8"/>
      <c r="C972" s="8"/>
      <c r="D972" s="8"/>
      <c r="E972" s="8"/>
      <c r="F972" s="7"/>
      <c r="G972" s="7"/>
      <c r="H972" s="7"/>
    </row>
    <row r="973" customFormat="false" ht="13.8" hidden="false" customHeight="false" outlineLevel="0" collapsed="false">
      <c r="A973" s="7"/>
      <c r="B973" s="8"/>
      <c r="C973" s="8"/>
      <c r="D973" s="8"/>
      <c r="E973" s="8"/>
      <c r="F973" s="7"/>
      <c r="G973" s="7"/>
      <c r="H973" s="7"/>
    </row>
    <row r="974" customFormat="false" ht="13.8" hidden="false" customHeight="false" outlineLevel="0" collapsed="false">
      <c r="A974" s="7"/>
      <c r="B974" s="8"/>
      <c r="C974" s="8"/>
      <c r="D974" s="8"/>
      <c r="E974" s="8"/>
      <c r="F974" s="7"/>
      <c r="G974" s="7"/>
      <c r="H974" s="7"/>
    </row>
    <row r="975" customFormat="false" ht="13.8" hidden="false" customHeight="false" outlineLevel="0" collapsed="false">
      <c r="A975" s="7"/>
      <c r="B975" s="8"/>
      <c r="C975" s="8"/>
      <c r="D975" s="8"/>
      <c r="E975" s="8"/>
      <c r="F975" s="7"/>
      <c r="G975" s="7"/>
      <c r="H975" s="7"/>
    </row>
    <row r="976" customFormat="false" ht="13.8" hidden="false" customHeight="false" outlineLevel="0" collapsed="false">
      <c r="A976" s="7"/>
      <c r="B976" s="8"/>
      <c r="C976" s="8"/>
      <c r="D976" s="8"/>
      <c r="E976" s="8"/>
      <c r="F976" s="7"/>
      <c r="G976" s="7"/>
      <c r="H976" s="7"/>
    </row>
    <row r="977" customFormat="false" ht="13.8" hidden="false" customHeight="false" outlineLevel="0" collapsed="false">
      <c r="A977" s="7"/>
      <c r="B977" s="8"/>
      <c r="C977" s="8"/>
      <c r="D977" s="8"/>
      <c r="E977" s="8"/>
      <c r="F977" s="7"/>
      <c r="G977" s="7"/>
      <c r="H977" s="7"/>
    </row>
    <row r="978" customFormat="false" ht="13.8" hidden="false" customHeight="false" outlineLevel="0" collapsed="false">
      <c r="A978" s="7"/>
      <c r="B978" s="8"/>
      <c r="C978" s="8"/>
      <c r="D978" s="8"/>
      <c r="E978" s="8"/>
      <c r="F978" s="7"/>
      <c r="G978" s="7"/>
      <c r="H978" s="7"/>
    </row>
    <row r="979" customFormat="false" ht="13.8" hidden="false" customHeight="false" outlineLevel="0" collapsed="false">
      <c r="A979" s="7"/>
      <c r="B979" s="8"/>
      <c r="C979" s="8"/>
      <c r="D979" s="8"/>
      <c r="E979" s="8"/>
      <c r="F979" s="7"/>
      <c r="G979" s="7"/>
      <c r="H979" s="7"/>
    </row>
    <row r="980" customFormat="false" ht="13.8" hidden="false" customHeight="false" outlineLevel="0" collapsed="false">
      <c r="A980" s="7"/>
      <c r="B980" s="8"/>
      <c r="C980" s="8"/>
      <c r="D980" s="8"/>
      <c r="E980" s="8"/>
      <c r="F980" s="7"/>
      <c r="G980" s="7"/>
      <c r="H980" s="7"/>
    </row>
    <row r="981" customFormat="false" ht="13.8" hidden="false" customHeight="false" outlineLevel="0" collapsed="false">
      <c r="A981" s="7"/>
      <c r="B981" s="8"/>
      <c r="C981" s="8"/>
      <c r="D981" s="8"/>
      <c r="E981" s="8"/>
      <c r="F981" s="7"/>
      <c r="G981" s="7"/>
      <c r="H981" s="7"/>
    </row>
    <row r="982" customFormat="false" ht="13.8" hidden="false" customHeight="false" outlineLevel="0" collapsed="false">
      <c r="A982" s="7"/>
      <c r="B982" s="8"/>
      <c r="C982" s="8"/>
      <c r="D982" s="8"/>
      <c r="E982" s="8"/>
      <c r="F982" s="7"/>
      <c r="G982" s="7"/>
      <c r="H982" s="7"/>
    </row>
    <row r="983" customFormat="false" ht="13.8" hidden="false" customHeight="false" outlineLevel="0" collapsed="false">
      <c r="A983" s="7"/>
      <c r="B983" s="8"/>
      <c r="C983" s="8"/>
      <c r="D983" s="8"/>
      <c r="E983" s="8"/>
      <c r="F983" s="7"/>
      <c r="G983" s="7"/>
      <c r="H983" s="7"/>
    </row>
    <row r="984" customFormat="false" ht="13.8" hidden="false" customHeight="false" outlineLevel="0" collapsed="false">
      <c r="A984" s="7"/>
      <c r="B984" s="8"/>
      <c r="C984" s="8"/>
      <c r="D984" s="8"/>
      <c r="E984" s="8"/>
      <c r="F984" s="7"/>
      <c r="G984" s="7"/>
      <c r="H984" s="7"/>
    </row>
    <row r="985" customFormat="false" ht="13.8" hidden="false" customHeight="false" outlineLevel="0" collapsed="false">
      <c r="A985" s="7"/>
      <c r="B985" s="8"/>
      <c r="C985" s="8"/>
      <c r="D985" s="8"/>
      <c r="E985" s="8"/>
      <c r="F985" s="7"/>
      <c r="G985" s="7"/>
      <c r="H985" s="7"/>
    </row>
    <row r="986" customFormat="false" ht="13.8" hidden="false" customHeight="false" outlineLevel="0" collapsed="false">
      <c r="A986" s="7"/>
      <c r="B986" s="8"/>
      <c r="C986" s="8"/>
      <c r="D986" s="8"/>
      <c r="E986" s="8"/>
      <c r="F986" s="7"/>
      <c r="G986" s="7"/>
      <c r="H986" s="7"/>
    </row>
    <row r="987" customFormat="false" ht="13.8" hidden="false" customHeight="false" outlineLevel="0" collapsed="false">
      <c r="A987" s="7"/>
      <c r="B987" s="8"/>
      <c r="C987" s="8"/>
      <c r="D987" s="8"/>
      <c r="E987" s="8"/>
      <c r="F987" s="7"/>
      <c r="G987" s="7"/>
      <c r="H987" s="7"/>
    </row>
    <row r="988" customFormat="false" ht="13.8" hidden="false" customHeight="false" outlineLevel="0" collapsed="false">
      <c r="A988" s="7"/>
      <c r="B988" s="8"/>
      <c r="C988" s="8"/>
      <c r="D988" s="8"/>
      <c r="E988" s="8"/>
      <c r="F988" s="7"/>
      <c r="G988" s="7"/>
      <c r="H988" s="7"/>
    </row>
    <row r="989" customFormat="false" ht="13.8" hidden="false" customHeight="false" outlineLevel="0" collapsed="false">
      <c r="A989" s="7"/>
      <c r="B989" s="8"/>
      <c r="C989" s="8"/>
      <c r="D989" s="8"/>
      <c r="E989" s="8"/>
      <c r="F989" s="7"/>
      <c r="G989" s="7"/>
      <c r="H989" s="7"/>
    </row>
    <row r="990" customFormat="false" ht="13.8" hidden="false" customHeight="false" outlineLevel="0" collapsed="false">
      <c r="A990" s="7"/>
      <c r="B990" s="8"/>
      <c r="C990" s="8"/>
      <c r="D990" s="8"/>
      <c r="E990" s="8"/>
      <c r="F990" s="7"/>
      <c r="G990" s="7"/>
      <c r="H990" s="7"/>
    </row>
    <row r="991" customFormat="false" ht="13.8" hidden="false" customHeight="false" outlineLevel="0" collapsed="false">
      <c r="A991" s="7"/>
      <c r="B991" s="8"/>
      <c r="C991" s="8"/>
      <c r="D991" s="8"/>
      <c r="E991" s="8"/>
      <c r="F991" s="7"/>
      <c r="G991" s="7"/>
      <c r="H991" s="7"/>
    </row>
    <row r="992" customFormat="false" ht="13.8" hidden="false" customHeight="false" outlineLevel="0" collapsed="false">
      <c r="A992" s="7"/>
      <c r="B992" s="8"/>
      <c r="C992" s="8"/>
      <c r="D992" s="8"/>
      <c r="E992" s="8"/>
      <c r="F992" s="7"/>
      <c r="G992" s="7"/>
      <c r="H992" s="7"/>
    </row>
    <row r="993" customFormat="false" ht="13.8" hidden="false" customHeight="false" outlineLevel="0" collapsed="false">
      <c r="A993" s="7"/>
      <c r="B993" s="8"/>
      <c r="C993" s="8"/>
      <c r="D993" s="8"/>
      <c r="E993" s="8"/>
      <c r="F993" s="7"/>
      <c r="G993" s="7"/>
      <c r="H993" s="7"/>
    </row>
    <row r="994" customFormat="false" ht="13.8" hidden="false" customHeight="false" outlineLevel="0" collapsed="false">
      <c r="A994" s="7"/>
      <c r="B994" s="8"/>
      <c r="C994" s="8"/>
      <c r="D994" s="8"/>
      <c r="E994" s="8"/>
      <c r="F994" s="7"/>
      <c r="G994" s="7"/>
      <c r="H994" s="7"/>
    </row>
    <row r="995" customFormat="false" ht="13.8" hidden="false" customHeight="false" outlineLevel="0" collapsed="false">
      <c r="A995" s="7"/>
      <c r="B995" s="8"/>
      <c r="C995" s="8"/>
      <c r="D995" s="8"/>
      <c r="E995" s="8"/>
      <c r="F995" s="7"/>
      <c r="G995" s="7"/>
      <c r="H995" s="7"/>
    </row>
    <row r="996" customFormat="false" ht="13.8" hidden="false" customHeight="false" outlineLevel="0" collapsed="false">
      <c r="A996" s="7"/>
      <c r="B996" s="8"/>
      <c r="C996" s="8"/>
      <c r="D996" s="8"/>
      <c r="E996" s="8"/>
      <c r="F996" s="7"/>
      <c r="G996" s="7"/>
      <c r="H996" s="7"/>
    </row>
    <row r="997" customFormat="false" ht="13.8" hidden="false" customHeight="false" outlineLevel="0" collapsed="false">
      <c r="A997" s="7"/>
      <c r="B997" s="8"/>
      <c r="C997" s="8"/>
      <c r="D997" s="8"/>
      <c r="E997" s="8"/>
      <c r="F997" s="7"/>
      <c r="G997" s="7"/>
      <c r="H997" s="7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51.29"/>
    <col collapsed="false" customWidth="true" hidden="true" outlineLevel="0" max="3" min="3" style="0" width="14.14"/>
    <col collapsed="false" customWidth="true" hidden="true" outlineLevel="0" max="4" min="4" style="0" width="13.7"/>
    <col collapsed="false" customWidth="true" hidden="true" outlineLevel="0" max="5" min="5" style="0" width="11.71"/>
    <col collapsed="false" customWidth="true" hidden="true" outlineLevel="0" max="6" min="6" style="0" width="14.69"/>
    <col collapsed="false" customWidth="true" hidden="true" outlineLevel="0" max="7" min="7" style="0" width="17.59"/>
    <col collapsed="false" customWidth="true" hidden="true" outlineLevel="0" max="8" min="8" style="0" width="22.43"/>
    <col collapsed="false" customWidth="true" hidden="true" outlineLevel="0" max="9" min="9" style="0" width="9.13"/>
    <col collapsed="false" customWidth="true" hidden="true" outlineLevel="0" max="10" min="10" style="0" width="13.29"/>
    <col collapsed="false" customWidth="true" hidden="true" outlineLevel="0" max="11" min="11" style="0" width="9.59"/>
    <col collapsed="false" customWidth="true" hidden="true" outlineLevel="0" max="12" min="12" style="0" width="8.57"/>
    <col collapsed="false" customWidth="true" hidden="true" outlineLevel="0" max="13" min="13" style="0" width="32"/>
    <col collapsed="false" customWidth="true" hidden="true" outlineLevel="0" max="14" min="14" style="0" width="92"/>
    <col collapsed="false" customWidth="true" hidden="true" outlineLevel="0" max="15" min="15" style="0" width="60.86"/>
    <col collapsed="false" customWidth="true" hidden="true" outlineLevel="0" max="16" min="16" style="0" width="52.86"/>
    <col collapsed="false" customWidth="true" hidden="true" outlineLevel="0" max="17" min="17" style="0" width="12.86"/>
    <col collapsed="false" customWidth="true" hidden="true" outlineLevel="0" max="18" min="18" style="0" width="14.01"/>
    <col collapsed="false" customWidth="true" hidden="true" outlineLevel="0" max="19" min="19" style="0" width="5.14"/>
    <col collapsed="false" customWidth="true" hidden="true" outlineLevel="0" max="20" min="20" style="0" width="36.57"/>
    <col collapsed="false" customWidth="true" hidden="true" outlineLevel="0" max="21" min="21" style="0" width="80.86"/>
    <col collapsed="false" customWidth="true" hidden="true" outlineLevel="0" max="22" min="22" style="0" width="16.57"/>
    <col collapsed="false" customWidth="true" hidden="false" outlineLevel="0" max="23" min="23" style="0" width="8"/>
    <col collapsed="false" customWidth="true" hidden="true" outlineLevel="0" max="24" min="24" style="0" width="21.71"/>
    <col collapsed="false" customWidth="true" hidden="true" outlineLevel="0" max="25" min="25" style="0" width="25"/>
    <col collapsed="false" customWidth="true" hidden="true" outlineLevel="0" max="26" min="26" style="0" width="18"/>
    <col collapsed="false" customWidth="true" hidden="true" outlineLevel="0" max="27" min="27" style="0" width="14.57"/>
    <col collapsed="false" customWidth="true" hidden="true" outlineLevel="0" max="28" min="28" style="0" width="17.86"/>
    <col collapsed="false" customWidth="true" hidden="true" outlineLevel="0" max="29" min="29" style="0" width="20.98"/>
    <col collapsed="false" customWidth="true" hidden="true" outlineLevel="0" max="30" min="30" style="0" width="16.57"/>
    <col collapsed="false" customWidth="true" hidden="true" outlineLevel="0" max="31" min="31" style="0" width="9.71"/>
    <col collapsed="false" customWidth="true" hidden="true" outlineLevel="0" max="32" min="32" style="0" width="18.43"/>
    <col collapsed="false" customWidth="true" hidden="false" outlineLevel="0" max="33" min="33" style="0" width="49.87"/>
    <col collapsed="false" customWidth="true" hidden="false" outlineLevel="0" max="34" min="34" style="0" width="10.99"/>
    <col collapsed="false" customWidth="true" hidden="true" outlineLevel="0" max="35" min="35" style="0" width="28.57"/>
    <col collapsed="false" customWidth="true" hidden="true" outlineLevel="0" max="36" min="36" style="0" width="24.71"/>
    <col collapsed="false" customWidth="true" hidden="true" outlineLevel="0" max="37" min="37" style="0" width="11.86"/>
    <col collapsed="false" customWidth="true" hidden="true" outlineLevel="0" max="38" min="38" style="0" width="23.88"/>
    <col collapsed="false" customWidth="true" hidden="true" outlineLevel="0" max="39" min="39" style="0" width="21.14"/>
    <col collapsed="false" customWidth="true" hidden="true" outlineLevel="0" max="40" min="40" style="0" width="19.43"/>
    <col collapsed="false" customWidth="true" hidden="true" outlineLevel="0" max="41" min="41" style="0" width="11.14"/>
    <col collapsed="false" customWidth="true" hidden="true" outlineLevel="0" max="42" min="42" style="0" width="13.7"/>
    <col collapsed="false" customWidth="true" hidden="false" outlineLevel="0" max="43" min="43" style="0" width="37.57"/>
    <col collapsed="false" customWidth="true" hidden="true" outlineLevel="0" max="51" min="44" style="0" width="31.86"/>
  </cols>
  <sheetData>
    <row r="1" customFormat="false" ht="18.75" hidden="false" customHeight="true" outlineLevel="0" collapsed="false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10"/>
      <c r="AR1" s="11"/>
      <c r="AS1" s="11"/>
      <c r="AT1" s="12"/>
      <c r="AU1" s="12"/>
      <c r="AV1" s="11"/>
      <c r="AW1" s="11"/>
      <c r="AX1" s="11"/>
      <c r="AY1" s="11"/>
    </row>
    <row r="2" customFormat="false" ht="18.75" hidden="false" customHeight="true" outlineLevel="0" collapsed="false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0"/>
      <c r="AR2" s="11"/>
      <c r="AS2" s="11"/>
      <c r="AT2" s="11"/>
      <c r="AU2" s="11"/>
      <c r="AV2" s="11"/>
      <c r="AW2" s="11"/>
      <c r="AX2" s="11"/>
      <c r="AY2" s="11"/>
    </row>
    <row r="3" customFormat="false" ht="18.75" hidden="false" customHeight="true" outlineLevel="0" collapsed="false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0"/>
      <c r="AR3" s="11"/>
      <c r="AS3" s="11"/>
      <c r="AT3" s="11"/>
      <c r="AU3" s="11"/>
      <c r="AV3" s="11"/>
      <c r="AW3" s="11"/>
      <c r="AX3" s="11"/>
      <c r="AY3" s="11"/>
    </row>
    <row r="4" customFormat="false" ht="28.5" hidden="false" customHeight="true" outlineLevel="0" collapsed="false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15" t="s">
        <v>32</v>
      </c>
      <c r="AC4" s="15" t="s">
        <v>33</v>
      </c>
      <c r="AD4" s="15" t="s">
        <v>34</v>
      </c>
      <c r="AE4" s="15" t="s">
        <v>35</v>
      </c>
      <c r="AF4" s="15" t="s">
        <v>36</v>
      </c>
      <c r="AG4" s="15" t="s">
        <v>37</v>
      </c>
      <c r="AH4" s="15" t="s">
        <v>38</v>
      </c>
      <c r="AI4" s="15" t="s">
        <v>39</v>
      </c>
      <c r="AJ4" s="15" t="s">
        <v>40</v>
      </c>
      <c r="AK4" s="15" t="s">
        <v>41</v>
      </c>
      <c r="AL4" s="16" t="s">
        <v>42</v>
      </c>
      <c r="AM4" s="16" t="s">
        <v>43</v>
      </c>
      <c r="AN4" s="15" t="s">
        <v>44</v>
      </c>
      <c r="AO4" s="15" t="s">
        <v>45</v>
      </c>
      <c r="AP4" s="15" t="s">
        <v>46</v>
      </c>
      <c r="AQ4" s="17" t="s">
        <v>47</v>
      </c>
      <c r="AR4" s="18" t="s">
        <v>48</v>
      </c>
      <c r="AS4" s="15" t="s">
        <v>49</v>
      </c>
      <c r="AT4" s="18" t="s">
        <v>50</v>
      </c>
      <c r="AU4" s="15" t="s">
        <v>51</v>
      </c>
      <c r="AV4" s="19" t="s">
        <v>52</v>
      </c>
      <c r="AW4" s="20" t="s">
        <v>53</v>
      </c>
      <c r="AX4" s="21" t="s">
        <v>54</v>
      </c>
      <c r="AY4" s="20" t="s">
        <v>55</v>
      </c>
    </row>
    <row r="5" customFormat="false" ht="15" hidden="false" customHeight="false" outlineLevel="0" collapsed="false">
      <c r="A5" s="22" t="n">
        <v>1</v>
      </c>
      <c r="B5" s="23" t="s">
        <v>56</v>
      </c>
      <c r="C5" s="22" t="n">
        <v>4909648</v>
      </c>
      <c r="D5" s="22" t="n">
        <v>18414486487</v>
      </c>
      <c r="E5" s="22" t="s">
        <v>57</v>
      </c>
      <c r="F5" s="22" t="s">
        <v>58</v>
      </c>
      <c r="G5" s="22" t="s">
        <v>59</v>
      </c>
      <c r="H5" s="22" t="s">
        <v>60</v>
      </c>
      <c r="I5" s="22"/>
      <c r="J5" s="22" t="s">
        <v>61</v>
      </c>
      <c r="K5" s="22" t="n">
        <v>74375250</v>
      </c>
      <c r="L5" s="22" t="s">
        <v>62</v>
      </c>
      <c r="M5" s="22" t="s">
        <v>63</v>
      </c>
      <c r="N5" s="24" t="s">
        <v>64</v>
      </c>
      <c r="O5" s="22" t="s">
        <v>65</v>
      </c>
      <c r="P5" s="22" t="s">
        <v>66</v>
      </c>
      <c r="Q5" s="22" t="s">
        <v>67</v>
      </c>
      <c r="R5" s="22" t="s">
        <v>68</v>
      </c>
      <c r="S5" s="22" t="s">
        <v>61</v>
      </c>
      <c r="T5" s="22"/>
      <c r="U5" s="22" t="s">
        <v>69</v>
      </c>
      <c r="V5" s="22" t="s">
        <v>70</v>
      </c>
      <c r="W5" s="22" t="s">
        <v>71</v>
      </c>
      <c r="X5" s="25" t="n">
        <v>41791</v>
      </c>
      <c r="Y5" s="25" t="n">
        <v>45627</v>
      </c>
      <c r="Z5" s="22" t="s">
        <v>72</v>
      </c>
      <c r="AA5" s="22" t="s">
        <v>73</v>
      </c>
      <c r="AB5" s="22" t="s">
        <v>74</v>
      </c>
      <c r="AC5" s="22"/>
      <c r="AD5" s="22" t="n">
        <v>0</v>
      </c>
      <c r="AE5" s="22"/>
      <c r="AF5" s="22"/>
      <c r="AG5" s="22" t="s">
        <v>75</v>
      </c>
      <c r="AH5" s="22"/>
      <c r="AI5" s="22" t="n">
        <v>10</v>
      </c>
      <c r="AJ5" s="22" t="n">
        <v>30</v>
      </c>
      <c r="AK5" s="22" t="s">
        <v>76</v>
      </c>
      <c r="AL5" s="26" t="n">
        <v>21343</v>
      </c>
      <c r="AM5" s="26" t="n">
        <v>45003.0402777778</v>
      </c>
      <c r="AN5" s="25" t="n">
        <v>45003.3958333333</v>
      </c>
      <c r="AO5" s="22" t="n">
        <v>7</v>
      </c>
      <c r="AP5" s="22" t="n">
        <v>40</v>
      </c>
      <c r="AQ5" s="22" t="s">
        <v>0</v>
      </c>
      <c r="AR5" s="23" t="s">
        <v>77</v>
      </c>
      <c r="AS5" s="23" t="s">
        <v>78</v>
      </c>
      <c r="AT5" s="23"/>
      <c r="AU5" s="23"/>
      <c r="AV5" s="23"/>
      <c r="AW5" s="23"/>
      <c r="AX5" s="23"/>
      <c r="AY5" s="23"/>
    </row>
    <row r="6" customFormat="false" ht="15" hidden="false" customHeight="false" outlineLevel="0" collapsed="false">
      <c r="A6" s="22" t="n">
        <v>2</v>
      </c>
      <c r="B6" s="23" t="s">
        <v>79</v>
      </c>
      <c r="C6" s="22"/>
      <c r="D6" s="22" t="s">
        <v>80</v>
      </c>
      <c r="E6" s="22" t="s">
        <v>81</v>
      </c>
      <c r="F6" s="22" t="s">
        <v>82</v>
      </c>
      <c r="G6" s="22" t="s">
        <v>59</v>
      </c>
      <c r="H6" s="22" t="s">
        <v>60</v>
      </c>
      <c r="I6" s="22"/>
      <c r="J6" s="22" t="s">
        <v>61</v>
      </c>
      <c r="K6" s="22" t="s">
        <v>83</v>
      </c>
      <c r="L6" s="22" t="s">
        <v>62</v>
      </c>
      <c r="M6" s="22" t="s">
        <v>84</v>
      </c>
      <c r="N6" s="22" t="s">
        <v>85</v>
      </c>
      <c r="O6" s="22" t="s">
        <v>86</v>
      </c>
      <c r="P6" s="22" t="s">
        <v>87</v>
      </c>
      <c r="Q6" s="22" t="s">
        <v>88</v>
      </c>
      <c r="R6" s="22" t="s">
        <v>89</v>
      </c>
      <c r="S6" s="22" t="s">
        <v>61</v>
      </c>
      <c r="T6" s="22"/>
      <c r="U6" s="22" t="s">
        <v>90</v>
      </c>
      <c r="V6" s="22" t="s">
        <v>70</v>
      </c>
      <c r="W6" s="22" t="s">
        <v>71</v>
      </c>
      <c r="X6" s="25" t="n">
        <v>38384</v>
      </c>
      <c r="Y6" s="25" t="n">
        <v>45627</v>
      </c>
      <c r="Z6" s="22" t="s">
        <v>72</v>
      </c>
      <c r="AA6" s="22" t="s">
        <v>91</v>
      </c>
      <c r="AB6" s="22" t="s">
        <v>74</v>
      </c>
      <c r="AC6" s="22"/>
      <c r="AD6" s="22" t="n">
        <v>0</v>
      </c>
      <c r="AE6" s="22"/>
      <c r="AF6" s="22"/>
      <c r="AG6" s="22" t="s">
        <v>75</v>
      </c>
      <c r="AH6" s="22"/>
      <c r="AI6" s="22" t="n">
        <v>10</v>
      </c>
      <c r="AJ6" s="22" t="n">
        <v>30</v>
      </c>
      <c r="AK6" s="22" t="s">
        <v>61</v>
      </c>
      <c r="AL6" s="26" t="n">
        <v>25394</v>
      </c>
      <c r="AM6" s="26" t="n">
        <v>45001.9827931713</v>
      </c>
      <c r="AN6" s="25" t="n">
        <v>45001.9861921296</v>
      </c>
      <c r="AO6" s="22" t="n">
        <v>7</v>
      </c>
      <c r="AP6" s="22" t="n">
        <v>40</v>
      </c>
      <c r="AQ6" s="22" t="s">
        <v>0</v>
      </c>
      <c r="AR6" s="23" t="s">
        <v>92</v>
      </c>
      <c r="AS6" s="23" t="s">
        <v>78</v>
      </c>
      <c r="AT6" s="23"/>
      <c r="AU6" s="23"/>
      <c r="AV6" s="23"/>
      <c r="AW6" s="23"/>
      <c r="AX6" s="23"/>
      <c r="AY6" s="23"/>
    </row>
    <row r="7" customFormat="false" ht="15" hidden="false" customHeight="false" outlineLevel="0" collapsed="false">
      <c r="A7" s="22" t="n">
        <v>3</v>
      </c>
      <c r="B7" s="23" t="s">
        <v>93</v>
      </c>
      <c r="C7" s="22"/>
      <c r="D7" s="22" t="s">
        <v>94</v>
      </c>
      <c r="E7" s="22" t="s">
        <v>81</v>
      </c>
      <c r="F7" s="22" t="s">
        <v>95</v>
      </c>
      <c r="G7" s="22" t="s">
        <v>59</v>
      </c>
      <c r="H7" s="22" t="s">
        <v>96</v>
      </c>
      <c r="I7" s="22"/>
      <c r="J7" s="22" t="s">
        <v>61</v>
      </c>
      <c r="K7" s="22" t="s">
        <v>97</v>
      </c>
      <c r="L7" s="22" t="s">
        <v>62</v>
      </c>
      <c r="M7" s="22" t="s">
        <v>84</v>
      </c>
      <c r="N7" s="22" t="s">
        <v>98</v>
      </c>
      <c r="O7" s="22" t="s">
        <v>65</v>
      </c>
      <c r="P7" s="22" t="s">
        <v>99</v>
      </c>
      <c r="Q7" s="22"/>
      <c r="R7" s="22" t="s">
        <v>100</v>
      </c>
      <c r="S7" s="22" t="s">
        <v>61</v>
      </c>
      <c r="T7" s="22"/>
      <c r="U7" s="22" t="s">
        <v>101</v>
      </c>
      <c r="V7" s="22" t="s">
        <v>70</v>
      </c>
      <c r="W7" s="22" t="s">
        <v>71</v>
      </c>
      <c r="X7" s="25" t="n">
        <v>41671</v>
      </c>
      <c r="Y7" s="25" t="n">
        <v>45474</v>
      </c>
      <c r="Z7" s="22" t="s">
        <v>72</v>
      </c>
      <c r="AA7" s="22" t="s">
        <v>91</v>
      </c>
      <c r="AB7" s="22" t="s">
        <v>74</v>
      </c>
      <c r="AC7" s="22"/>
      <c r="AD7" s="22" t="n">
        <v>0</v>
      </c>
      <c r="AE7" s="22"/>
      <c r="AF7" s="22"/>
      <c r="AG7" s="22" t="s">
        <v>75</v>
      </c>
      <c r="AH7" s="22"/>
      <c r="AI7" s="22" t="n">
        <v>10</v>
      </c>
      <c r="AJ7" s="22" t="n">
        <v>30</v>
      </c>
      <c r="AK7" s="22" t="s">
        <v>76</v>
      </c>
      <c r="AL7" s="26" t="n">
        <v>27738</v>
      </c>
      <c r="AM7" s="26" t="n">
        <v>45000.4751390741</v>
      </c>
      <c r="AN7" s="25" t="n">
        <v>45005.5451967593</v>
      </c>
      <c r="AO7" s="22" t="n">
        <v>9</v>
      </c>
      <c r="AP7" s="22" t="n">
        <v>40</v>
      </c>
      <c r="AQ7" s="22" t="s">
        <v>1</v>
      </c>
      <c r="AR7" s="23" t="s">
        <v>102</v>
      </c>
      <c r="AS7" s="23" t="s">
        <v>103</v>
      </c>
      <c r="AT7" s="23"/>
      <c r="AU7" s="23"/>
      <c r="AV7" s="23"/>
      <c r="AW7" s="23"/>
      <c r="AX7" s="23"/>
      <c r="AY7" s="23"/>
    </row>
    <row r="8" customFormat="false" ht="15" hidden="false" customHeight="false" outlineLevel="0" collapsed="false">
      <c r="A8" s="22" t="n">
        <v>4</v>
      </c>
      <c r="B8" s="23" t="s">
        <v>104</v>
      </c>
      <c r="C8" s="22" t="s">
        <v>105</v>
      </c>
      <c r="D8" s="22" t="s">
        <v>106</v>
      </c>
      <c r="E8" s="22" t="s">
        <v>81</v>
      </c>
      <c r="F8" s="22" t="s">
        <v>107</v>
      </c>
      <c r="G8" s="22" t="s">
        <v>59</v>
      </c>
      <c r="H8" s="22" t="s">
        <v>96</v>
      </c>
      <c r="I8" s="22"/>
      <c r="J8" s="22" t="s">
        <v>61</v>
      </c>
      <c r="K8" s="22" t="s">
        <v>108</v>
      </c>
      <c r="L8" s="22" t="s">
        <v>62</v>
      </c>
      <c r="M8" s="22" t="s">
        <v>63</v>
      </c>
      <c r="N8" s="22" t="s">
        <v>109</v>
      </c>
      <c r="O8" s="22" t="s">
        <v>110</v>
      </c>
      <c r="P8" s="22" t="s">
        <v>111</v>
      </c>
      <c r="Q8" s="22"/>
      <c r="R8" s="22" t="s">
        <v>112</v>
      </c>
      <c r="S8" s="22" t="s">
        <v>61</v>
      </c>
      <c r="T8" s="22"/>
      <c r="U8" s="22" t="s">
        <v>113</v>
      </c>
      <c r="V8" s="22" t="s">
        <v>70</v>
      </c>
      <c r="W8" s="22" t="s">
        <v>71</v>
      </c>
      <c r="X8" s="25" t="n">
        <v>43313</v>
      </c>
      <c r="Y8" s="25" t="n">
        <v>45627</v>
      </c>
      <c r="Z8" s="22" t="s">
        <v>72</v>
      </c>
      <c r="AA8" s="22" t="s">
        <v>91</v>
      </c>
      <c r="AB8" s="22" t="s">
        <v>74</v>
      </c>
      <c r="AC8" s="22"/>
      <c r="AD8" s="22" t="n">
        <v>0</v>
      </c>
      <c r="AE8" s="22"/>
      <c r="AF8" s="22"/>
      <c r="AG8" s="22" t="s">
        <v>75</v>
      </c>
      <c r="AH8" s="22"/>
      <c r="AI8" s="22" t="n">
        <v>10</v>
      </c>
      <c r="AJ8" s="22" t="n">
        <v>30</v>
      </c>
      <c r="AK8" s="22" t="s">
        <v>61</v>
      </c>
      <c r="AL8" s="26" t="n">
        <v>27947</v>
      </c>
      <c r="AM8" s="26" t="n">
        <v>45008.8560919676</v>
      </c>
      <c r="AN8" s="25" t="n">
        <v>45008.9034027778</v>
      </c>
      <c r="AO8" s="22" t="n">
        <v>7</v>
      </c>
      <c r="AP8" s="22" t="n">
        <v>40</v>
      </c>
      <c r="AQ8" s="22" t="s">
        <v>0</v>
      </c>
      <c r="AR8" s="27" t="s">
        <v>114</v>
      </c>
      <c r="AS8" s="27" t="s">
        <v>115</v>
      </c>
      <c r="AT8" s="27" t="s">
        <v>116</v>
      </c>
      <c r="AU8" s="23" t="s">
        <v>78</v>
      </c>
      <c r="AV8" s="27"/>
      <c r="AW8" s="27"/>
      <c r="AX8" s="27"/>
      <c r="AY8" s="27"/>
    </row>
    <row r="9" customFormat="false" ht="15" hidden="false" customHeight="false" outlineLevel="0" collapsed="false">
      <c r="A9" s="22" t="n">
        <v>5</v>
      </c>
      <c r="B9" s="23" t="s">
        <v>117</v>
      </c>
      <c r="C9" s="22" t="s">
        <v>118</v>
      </c>
      <c r="D9" s="22" t="s">
        <v>119</v>
      </c>
      <c r="E9" s="22" t="s">
        <v>81</v>
      </c>
      <c r="F9" s="22" t="s">
        <v>107</v>
      </c>
      <c r="G9" s="22" t="s">
        <v>59</v>
      </c>
      <c r="H9" s="22" t="s">
        <v>60</v>
      </c>
      <c r="I9" s="22"/>
      <c r="J9" s="22" t="s">
        <v>61</v>
      </c>
      <c r="K9" s="22" t="s">
        <v>120</v>
      </c>
      <c r="L9" s="22" t="s">
        <v>62</v>
      </c>
      <c r="M9" s="22" t="s">
        <v>63</v>
      </c>
      <c r="N9" s="22" t="s">
        <v>121</v>
      </c>
      <c r="O9" s="22" t="s">
        <v>122</v>
      </c>
      <c r="P9" s="22" t="s">
        <v>123</v>
      </c>
      <c r="Q9" s="22"/>
      <c r="R9" s="22" t="s">
        <v>124</v>
      </c>
      <c r="S9" s="22" t="s">
        <v>61</v>
      </c>
      <c r="T9" s="22"/>
      <c r="U9" s="22" t="s">
        <v>125</v>
      </c>
      <c r="V9" s="22" t="s">
        <v>70</v>
      </c>
      <c r="W9" s="22" t="s">
        <v>71</v>
      </c>
      <c r="X9" s="25" t="n">
        <v>44958</v>
      </c>
      <c r="Y9" s="25" t="n">
        <v>46174</v>
      </c>
      <c r="Z9" s="22" t="s">
        <v>72</v>
      </c>
      <c r="AA9" s="22" t="s">
        <v>91</v>
      </c>
      <c r="AB9" s="22" t="s">
        <v>74</v>
      </c>
      <c r="AC9" s="22"/>
      <c r="AD9" s="22" t="n">
        <v>0</v>
      </c>
      <c r="AE9" s="22"/>
      <c r="AF9" s="22"/>
      <c r="AG9" s="22" t="s">
        <v>75</v>
      </c>
      <c r="AH9" s="22"/>
      <c r="AI9" s="22" t="n">
        <v>10</v>
      </c>
      <c r="AJ9" s="22" t="n">
        <v>30</v>
      </c>
      <c r="AK9" s="22" t="s">
        <v>61</v>
      </c>
      <c r="AL9" s="26" t="n">
        <v>28251</v>
      </c>
      <c r="AM9" s="26" t="n">
        <v>45002.7978835995</v>
      </c>
      <c r="AN9" s="25" t="n">
        <v>45002.8003356482</v>
      </c>
      <c r="AO9" s="22" t="n">
        <v>5</v>
      </c>
      <c r="AP9" s="22" t="n">
        <v>40</v>
      </c>
      <c r="AQ9" s="22" t="s">
        <v>1</v>
      </c>
      <c r="AR9" s="23" t="s">
        <v>126</v>
      </c>
      <c r="AS9" s="23" t="s">
        <v>127</v>
      </c>
      <c r="AT9" s="23"/>
      <c r="AU9" s="23"/>
      <c r="AV9" s="23"/>
      <c r="AW9" s="23"/>
      <c r="AX9" s="23"/>
      <c r="AY9" s="23"/>
    </row>
    <row r="10" customFormat="false" ht="15" hidden="false" customHeight="false" outlineLevel="0" collapsed="false">
      <c r="A10" s="22" t="n">
        <v>6</v>
      </c>
      <c r="B10" s="23" t="s">
        <v>128</v>
      </c>
      <c r="C10" s="22" t="s">
        <v>129</v>
      </c>
      <c r="D10" s="22" t="s">
        <v>130</v>
      </c>
      <c r="E10" s="22" t="s">
        <v>81</v>
      </c>
      <c r="F10" s="22" t="s">
        <v>82</v>
      </c>
      <c r="G10" s="22" t="s">
        <v>59</v>
      </c>
      <c r="H10" s="22" t="s">
        <v>60</v>
      </c>
      <c r="I10" s="22"/>
      <c r="J10" s="22" t="s">
        <v>61</v>
      </c>
      <c r="K10" s="22" t="s">
        <v>131</v>
      </c>
      <c r="L10" s="22" t="s">
        <v>62</v>
      </c>
      <c r="M10" s="22" t="s">
        <v>63</v>
      </c>
      <c r="N10" s="22" t="s">
        <v>132</v>
      </c>
      <c r="O10" s="22" t="s">
        <v>133</v>
      </c>
      <c r="P10" s="22" t="s">
        <v>134</v>
      </c>
      <c r="Q10" s="22" t="s">
        <v>135</v>
      </c>
      <c r="R10" s="22" t="s">
        <v>136</v>
      </c>
      <c r="S10" s="22" t="s">
        <v>61</v>
      </c>
      <c r="T10" s="22"/>
      <c r="U10" s="22" t="s">
        <v>137</v>
      </c>
      <c r="V10" s="22" t="s">
        <v>70</v>
      </c>
      <c r="W10" s="22" t="s">
        <v>71</v>
      </c>
      <c r="X10" s="25" t="n">
        <v>44682</v>
      </c>
      <c r="Y10" s="25" t="n">
        <v>45992</v>
      </c>
      <c r="Z10" s="22" t="s">
        <v>72</v>
      </c>
      <c r="AA10" s="22" t="s">
        <v>91</v>
      </c>
      <c r="AB10" s="22" t="s">
        <v>74</v>
      </c>
      <c r="AC10" s="22"/>
      <c r="AD10" s="22" t="n">
        <v>0</v>
      </c>
      <c r="AE10" s="22"/>
      <c r="AF10" s="22"/>
      <c r="AG10" s="22" t="s">
        <v>75</v>
      </c>
      <c r="AH10" s="22"/>
      <c r="AI10" s="22" t="n">
        <v>10</v>
      </c>
      <c r="AJ10" s="22" t="n">
        <v>30</v>
      </c>
      <c r="AK10" s="22" t="s">
        <v>76</v>
      </c>
      <c r="AL10" s="26" t="n">
        <v>28824</v>
      </c>
      <c r="AM10" s="26" t="n">
        <v>45000.4547658796</v>
      </c>
      <c r="AN10" s="25" t="n">
        <v>45000.4563773148</v>
      </c>
      <c r="AO10" s="22" t="n">
        <v>5</v>
      </c>
      <c r="AP10" s="22" t="n">
        <v>40</v>
      </c>
      <c r="AQ10" s="22" t="s">
        <v>1</v>
      </c>
      <c r="AR10" s="23" t="s">
        <v>138</v>
      </c>
      <c r="AS10" s="23" t="s">
        <v>139</v>
      </c>
      <c r="AT10" s="23"/>
      <c r="AU10" s="23"/>
      <c r="AV10" s="23"/>
      <c r="AW10" s="23"/>
      <c r="AX10" s="23"/>
      <c r="AY10" s="23"/>
    </row>
    <row r="11" customFormat="false" ht="15" hidden="false" customHeight="false" outlineLevel="0" collapsed="false">
      <c r="A11" s="22" t="n">
        <v>7</v>
      </c>
      <c r="B11" s="23" t="s">
        <v>140</v>
      </c>
      <c r="C11" s="22"/>
      <c r="D11" s="22" t="s">
        <v>141</v>
      </c>
      <c r="E11" s="22" t="s">
        <v>57</v>
      </c>
      <c r="F11" s="22" t="s">
        <v>95</v>
      </c>
      <c r="G11" s="22" t="s">
        <v>59</v>
      </c>
      <c r="H11" s="22" t="s">
        <v>60</v>
      </c>
      <c r="I11" s="22"/>
      <c r="J11" s="22" t="s">
        <v>61</v>
      </c>
      <c r="K11" s="22" t="s">
        <v>142</v>
      </c>
      <c r="L11" s="22" t="s">
        <v>62</v>
      </c>
      <c r="M11" s="22" t="s">
        <v>63</v>
      </c>
      <c r="N11" s="22" t="s">
        <v>143</v>
      </c>
      <c r="O11" s="22" t="s">
        <v>144</v>
      </c>
      <c r="P11" s="22" t="s">
        <v>145</v>
      </c>
      <c r="Q11" s="22" t="s">
        <v>146</v>
      </c>
      <c r="R11" s="22" t="s">
        <v>147</v>
      </c>
      <c r="S11" s="22" t="s">
        <v>61</v>
      </c>
      <c r="T11" s="22"/>
      <c r="U11" s="22" t="s">
        <v>148</v>
      </c>
      <c r="V11" s="22" t="s">
        <v>70</v>
      </c>
      <c r="W11" s="22" t="s">
        <v>71</v>
      </c>
      <c r="X11" s="25" t="n">
        <v>43862</v>
      </c>
      <c r="Y11" s="25" t="n">
        <v>46235</v>
      </c>
      <c r="Z11" s="22" t="s">
        <v>72</v>
      </c>
      <c r="AA11" s="22" t="s">
        <v>149</v>
      </c>
      <c r="AB11" s="22" t="s">
        <v>74</v>
      </c>
      <c r="AC11" s="22"/>
      <c r="AD11" s="22" t="n">
        <v>0</v>
      </c>
      <c r="AE11" s="22"/>
      <c r="AF11" s="22"/>
      <c r="AG11" s="22" t="s">
        <v>75</v>
      </c>
      <c r="AH11" s="22"/>
      <c r="AI11" s="22" t="n">
        <v>10</v>
      </c>
      <c r="AJ11" s="22" t="n">
        <v>30</v>
      </c>
      <c r="AK11" s="22" t="s">
        <v>76</v>
      </c>
      <c r="AL11" s="26" t="n">
        <v>28848</v>
      </c>
      <c r="AM11" s="26" t="n">
        <v>45000.5480449653</v>
      </c>
      <c r="AN11" s="25" t="n">
        <v>45000.5877546296</v>
      </c>
      <c r="AO11" s="22" t="n">
        <v>5</v>
      </c>
      <c r="AP11" s="22" t="n">
        <v>40</v>
      </c>
      <c r="AQ11" s="22" t="s">
        <v>1</v>
      </c>
      <c r="AR11" s="27" t="s">
        <v>150</v>
      </c>
      <c r="AS11" s="27" t="s">
        <v>151</v>
      </c>
      <c r="AT11" s="27" t="s">
        <v>116</v>
      </c>
      <c r="AU11" s="27" t="s">
        <v>152</v>
      </c>
      <c r="AV11" s="27"/>
      <c r="AW11" s="27"/>
      <c r="AX11" s="27"/>
      <c r="AY11" s="27"/>
    </row>
    <row r="12" customFormat="false" ht="15" hidden="false" customHeight="false" outlineLevel="0" collapsed="false">
      <c r="A12" s="22" t="n">
        <v>8</v>
      </c>
      <c r="B12" s="23" t="s">
        <v>153</v>
      </c>
      <c r="C12" s="22" t="s">
        <v>154</v>
      </c>
      <c r="D12" s="22" t="s">
        <v>155</v>
      </c>
      <c r="E12" s="22" t="s">
        <v>57</v>
      </c>
      <c r="F12" s="22" t="s">
        <v>82</v>
      </c>
      <c r="G12" s="22" t="s">
        <v>59</v>
      </c>
      <c r="H12" s="22" t="s">
        <v>156</v>
      </c>
      <c r="I12" s="22"/>
      <c r="J12" s="22" t="s">
        <v>61</v>
      </c>
      <c r="K12" s="22" t="s">
        <v>157</v>
      </c>
      <c r="L12" s="22" t="s">
        <v>62</v>
      </c>
      <c r="M12" s="22" t="s">
        <v>63</v>
      </c>
      <c r="N12" s="22" t="s">
        <v>158</v>
      </c>
      <c r="O12" s="22" t="s">
        <v>159</v>
      </c>
      <c r="P12" s="22" t="s">
        <v>160</v>
      </c>
      <c r="Q12" s="22" t="s">
        <v>161</v>
      </c>
      <c r="R12" s="22" t="s">
        <v>162</v>
      </c>
      <c r="S12" s="22" t="s">
        <v>61</v>
      </c>
      <c r="T12" s="22"/>
      <c r="U12" s="22" t="s">
        <v>163</v>
      </c>
      <c r="V12" s="22" t="s">
        <v>70</v>
      </c>
      <c r="W12" s="22" t="s">
        <v>71</v>
      </c>
      <c r="X12" s="25" t="n">
        <v>43831</v>
      </c>
      <c r="Y12" s="25" t="n">
        <v>45627</v>
      </c>
      <c r="Z12" s="22" t="s">
        <v>72</v>
      </c>
      <c r="AA12" s="22" t="s">
        <v>91</v>
      </c>
      <c r="AB12" s="22" t="s">
        <v>74</v>
      </c>
      <c r="AC12" s="22"/>
      <c r="AD12" s="22" t="n">
        <v>0</v>
      </c>
      <c r="AE12" s="22"/>
      <c r="AF12" s="22"/>
      <c r="AG12" s="22" t="s">
        <v>75</v>
      </c>
      <c r="AH12" s="22"/>
      <c r="AI12" s="22" t="n">
        <v>10</v>
      </c>
      <c r="AJ12" s="22" t="n">
        <v>30</v>
      </c>
      <c r="AK12" s="22" t="s">
        <v>61</v>
      </c>
      <c r="AL12" s="26" t="n">
        <v>28963</v>
      </c>
      <c r="AM12" s="26" t="n">
        <v>45000.4865907755</v>
      </c>
      <c r="AN12" s="25" t="n">
        <v>45002.4298958333</v>
      </c>
      <c r="AO12" s="22" t="n">
        <v>7</v>
      </c>
      <c r="AP12" s="22" t="n">
        <v>40</v>
      </c>
      <c r="AQ12" s="22" t="s">
        <v>0</v>
      </c>
      <c r="AR12" s="23" t="s">
        <v>164</v>
      </c>
      <c r="AS12" s="23" t="s">
        <v>78</v>
      </c>
      <c r="AT12" s="23"/>
      <c r="AU12" s="23"/>
      <c r="AV12" s="23"/>
      <c r="AW12" s="23"/>
      <c r="AX12" s="23"/>
      <c r="AY12" s="23"/>
    </row>
    <row r="13" customFormat="false" ht="15" hidden="false" customHeight="false" outlineLevel="0" collapsed="false">
      <c r="A13" s="22" t="n">
        <v>9</v>
      </c>
      <c r="B13" s="23" t="s">
        <v>165</v>
      </c>
      <c r="C13" s="22" t="s">
        <v>166</v>
      </c>
      <c r="D13" s="22" t="s">
        <v>167</v>
      </c>
      <c r="E13" s="22" t="s">
        <v>81</v>
      </c>
      <c r="F13" s="22" t="s">
        <v>82</v>
      </c>
      <c r="G13" s="22" t="s">
        <v>59</v>
      </c>
      <c r="H13" s="22" t="s">
        <v>60</v>
      </c>
      <c r="I13" s="22"/>
      <c r="J13" s="22" t="s">
        <v>61</v>
      </c>
      <c r="K13" s="22" t="s">
        <v>168</v>
      </c>
      <c r="L13" s="22" t="s">
        <v>62</v>
      </c>
      <c r="M13" s="22" t="s">
        <v>63</v>
      </c>
      <c r="N13" s="22" t="s">
        <v>169</v>
      </c>
      <c r="O13" s="22" t="s">
        <v>170</v>
      </c>
      <c r="P13" s="22" t="s">
        <v>171</v>
      </c>
      <c r="Q13" s="22"/>
      <c r="R13" s="22" t="s">
        <v>172</v>
      </c>
      <c r="S13" s="22" t="s">
        <v>61</v>
      </c>
      <c r="T13" s="22"/>
      <c r="U13" s="22" t="s">
        <v>173</v>
      </c>
      <c r="V13" s="22" t="s">
        <v>70</v>
      </c>
      <c r="W13" s="22" t="s">
        <v>71</v>
      </c>
      <c r="X13" s="25" t="n">
        <v>44958</v>
      </c>
      <c r="Y13" s="25" t="n">
        <v>45627</v>
      </c>
      <c r="Z13" s="22" t="s">
        <v>72</v>
      </c>
      <c r="AA13" s="22" t="s">
        <v>149</v>
      </c>
      <c r="AB13" s="22" t="s">
        <v>74</v>
      </c>
      <c r="AC13" s="22"/>
      <c r="AD13" s="22" t="n">
        <v>0</v>
      </c>
      <c r="AE13" s="22"/>
      <c r="AF13" s="22"/>
      <c r="AG13" s="22" t="s">
        <v>75</v>
      </c>
      <c r="AH13" s="22"/>
      <c r="AI13" s="22" t="n">
        <v>10</v>
      </c>
      <c r="AJ13" s="22" t="n">
        <v>30</v>
      </c>
      <c r="AK13" s="22" t="s">
        <v>61</v>
      </c>
      <c r="AL13" s="26" t="n">
        <v>28993</v>
      </c>
      <c r="AM13" s="26" t="n">
        <v>45009.4427181019</v>
      </c>
      <c r="AN13" s="25" t="n">
        <v>45009.4916203704</v>
      </c>
      <c r="AO13" s="22" t="n">
        <v>7</v>
      </c>
      <c r="AP13" s="22" t="n">
        <v>40</v>
      </c>
      <c r="AQ13" s="22" t="s">
        <v>0</v>
      </c>
      <c r="AR13" s="23" t="s">
        <v>174</v>
      </c>
      <c r="AS13" s="23" t="s">
        <v>78</v>
      </c>
      <c r="AT13" s="23"/>
      <c r="AU13" s="23"/>
      <c r="AV13" s="23"/>
      <c r="AW13" s="23"/>
      <c r="AX13" s="23"/>
      <c r="AY13" s="23"/>
    </row>
    <row r="14" customFormat="false" ht="15" hidden="false" customHeight="false" outlineLevel="0" collapsed="false">
      <c r="A14" s="22" t="n">
        <v>10</v>
      </c>
      <c r="B14" s="23" t="s">
        <v>175</v>
      </c>
      <c r="C14" s="22"/>
      <c r="D14" s="22" t="s">
        <v>176</v>
      </c>
      <c r="E14" s="22" t="s">
        <v>81</v>
      </c>
      <c r="F14" s="22" t="s">
        <v>82</v>
      </c>
      <c r="G14" s="22" t="s">
        <v>59</v>
      </c>
      <c r="H14" s="22" t="s">
        <v>96</v>
      </c>
      <c r="I14" s="22"/>
      <c r="J14" s="22" t="s">
        <v>61</v>
      </c>
      <c r="K14" s="22" t="s">
        <v>177</v>
      </c>
      <c r="L14" s="22" t="s">
        <v>62</v>
      </c>
      <c r="M14" s="22" t="s">
        <v>63</v>
      </c>
      <c r="N14" s="22" t="s">
        <v>178</v>
      </c>
      <c r="O14" s="22" t="s">
        <v>179</v>
      </c>
      <c r="P14" s="22" t="s">
        <v>180</v>
      </c>
      <c r="Q14" s="22" t="s">
        <v>181</v>
      </c>
      <c r="R14" s="22" t="s">
        <v>182</v>
      </c>
      <c r="S14" s="22" t="s">
        <v>61</v>
      </c>
      <c r="T14" s="22"/>
      <c r="U14" s="22" t="s">
        <v>183</v>
      </c>
      <c r="V14" s="22" t="s">
        <v>70</v>
      </c>
      <c r="W14" s="22" t="s">
        <v>71</v>
      </c>
      <c r="X14" s="25" t="n">
        <v>44228</v>
      </c>
      <c r="Y14" s="25" t="n">
        <v>46174</v>
      </c>
      <c r="Z14" s="22" t="s">
        <v>72</v>
      </c>
      <c r="AA14" s="22" t="s">
        <v>91</v>
      </c>
      <c r="AB14" s="22" t="s">
        <v>74</v>
      </c>
      <c r="AC14" s="22"/>
      <c r="AD14" s="22" t="n">
        <v>0</v>
      </c>
      <c r="AE14" s="22"/>
      <c r="AF14" s="22"/>
      <c r="AG14" s="22" t="s">
        <v>75</v>
      </c>
      <c r="AH14" s="22"/>
      <c r="AI14" s="22" t="n">
        <v>10</v>
      </c>
      <c r="AJ14" s="22" t="n">
        <v>30</v>
      </c>
      <c r="AK14" s="22" t="s">
        <v>61</v>
      </c>
      <c r="AL14" s="26" t="n">
        <v>29305</v>
      </c>
      <c r="AM14" s="26" t="n">
        <v>45008.6928028009</v>
      </c>
      <c r="AN14" s="25" t="n">
        <v>45009.409837963</v>
      </c>
      <c r="AO14" s="22" t="n">
        <v>5</v>
      </c>
      <c r="AP14" s="22" t="n">
        <v>40</v>
      </c>
      <c r="AQ14" s="22" t="s">
        <v>0</v>
      </c>
      <c r="AR14" s="23" t="s">
        <v>184</v>
      </c>
      <c r="AS14" s="23" t="s">
        <v>78</v>
      </c>
      <c r="AT14" s="23"/>
      <c r="AU14" s="23"/>
      <c r="AV14" s="23"/>
      <c r="AW14" s="23"/>
      <c r="AX14" s="23"/>
      <c r="AY14" s="23"/>
    </row>
    <row r="15" customFormat="false" ht="15" hidden="false" customHeight="false" outlineLevel="0" collapsed="false">
      <c r="A15" s="22" t="n">
        <v>11</v>
      </c>
      <c r="B15" s="23" t="s">
        <v>185</v>
      </c>
      <c r="C15" s="22" t="s">
        <v>186</v>
      </c>
      <c r="D15" s="22" t="s">
        <v>187</v>
      </c>
      <c r="E15" s="22" t="s">
        <v>81</v>
      </c>
      <c r="F15" s="22" t="s">
        <v>188</v>
      </c>
      <c r="G15" s="22" t="s">
        <v>59</v>
      </c>
      <c r="H15" s="22" t="s">
        <v>60</v>
      </c>
      <c r="I15" s="22"/>
      <c r="J15" s="22" t="s">
        <v>61</v>
      </c>
      <c r="K15" s="22" t="s">
        <v>189</v>
      </c>
      <c r="L15" s="22" t="s">
        <v>62</v>
      </c>
      <c r="M15" s="22" t="s">
        <v>84</v>
      </c>
      <c r="N15" s="22" t="s">
        <v>190</v>
      </c>
      <c r="O15" s="22" t="s">
        <v>191</v>
      </c>
      <c r="P15" s="22" t="s">
        <v>192</v>
      </c>
      <c r="Q15" s="22" t="s">
        <v>193</v>
      </c>
      <c r="R15" s="22" t="s">
        <v>194</v>
      </c>
      <c r="S15" s="22" t="s">
        <v>61</v>
      </c>
      <c r="T15" s="22"/>
      <c r="U15" s="22" t="s">
        <v>195</v>
      </c>
      <c r="V15" s="22" t="s">
        <v>70</v>
      </c>
      <c r="W15" s="22" t="s">
        <v>71</v>
      </c>
      <c r="X15" s="25" t="n">
        <v>44197</v>
      </c>
      <c r="Y15" s="25" t="n">
        <v>45809</v>
      </c>
      <c r="Z15" s="22" t="s">
        <v>72</v>
      </c>
      <c r="AA15" s="22" t="s">
        <v>91</v>
      </c>
      <c r="AB15" s="22" t="s">
        <v>74</v>
      </c>
      <c r="AC15" s="22"/>
      <c r="AD15" s="22" t="n">
        <v>0</v>
      </c>
      <c r="AE15" s="22"/>
      <c r="AF15" s="22"/>
      <c r="AG15" s="22" t="s">
        <v>75</v>
      </c>
      <c r="AH15" s="22"/>
      <c r="AI15" s="22" t="n">
        <v>10</v>
      </c>
      <c r="AJ15" s="22" t="n">
        <v>30</v>
      </c>
      <c r="AK15" s="22" t="s">
        <v>61</v>
      </c>
      <c r="AL15" s="26" t="n">
        <v>29705</v>
      </c>
      <c r="AM15" s="26" t="n">
        <v>45006.6156829051</v>
      </c>
      <c r="AN15" s="25" t="n">
        <v>45006.6202430556</v>
      </c>
      <c r="AO15" s="22" t="n">
        <v>5</v>
      </c>
      <c r="AP15" s="22" t="n">
        <v>40</v>
      </c>
      <c r="AQ15" s="22" t="s">
        <v>0</v>
      </c>
      <c r="AR15" s="27" t="s">
        <v>196</v>
      </c>
      <c r="AS15" s="27" t="s">
        <v>78</v>
      </c>
      <c r="AT15" s="27" t="s">
        <v>116</v>
      </c>
      <c r="AU15" s="27" t="s">
        <v>78</v>
      </c>
      <c r="AV15" s="27"/>
      <c r="AW15" s="27"/>
      <c r="AX15" s="27"/>
      <c r="AY15" s="27"/>
    </row>
    <row r="16" customFormat="false" ht="15" hidden="false" customHeight="false" outlineLevel="0" collapsed="false">
      <c r="A16" s="22" t="n">
        <v>12</v>
      </c>
      <c r="B16" s="23" t="s">
        <v>197</v>
      </c>
      <c r="C16" s="22"/>
      <c r="D16" s="22" t="s">
        <v>198</v>
      </c>
      <c r="E16" s="22" t="s">
        <v>57</v>
      </c>
      <c r="F16" s="22" t="s">
        <v>82</v>
      </c>
      <c r="G16" s="22" t="s">
        <v>59</v>
      </c>
      <c r="H16" s="22" t="s">
        <v>60</v>
      </c>
      <c r="I16" s="22"/>
      <c r="J16" s="22" t="s">
        <v>61</v>
      </c>
      <c r="K16" s="22" t="s">
        <v>199</v>
      </c>
      <c r="L16" s="22" t="s">
        <v>62</v>
      </c>
      <c r="M16" s="22" t="s">
        <v>63</v>
      </c>
      <c r="N16" s="22" t="s">
        <v>200</v>
      </c>
      <c r="O16" s="22" t="s">
        <v>133</v>
      </c>
      <c r="P16" s="22" t="s">
        <v>201</v>
      </c>
      <c r="Q16" s="22" t="s">
        <v>202</v>
      </c>
      <c r="R16" s="22" t="s">
        <v>203</v>
      </c>
      <c r="S16" s="22" t="s">
        <v>61</v>
      </c>
      <c r="T16" s="22"/>
      <c r="U16" s="22" t="s">
        <v>204</v>
      </c>
      <c r="V16" s="22" t="s">
        <v>70</v>
      </c>
      <c r="W16" s="22" t="s">
        <v>71</v>
      </c>
      <c r="X16" s="25" t="n">
        <v>43282</v>
      </c>
      <c r="Y16" s="25" t="n">
        <v>45839</v>
      </c>
      <c r="Z16" s="22" t="s">
        <v>72</v>
      </c>
      <c r="AA16" s="22" t="s">
        <v>91</v>
      </c>
      <c r="AB16" s="22" t="s">
        <v>74</v>
      </c>
      <c r="AC16" s="22"/>
      <c r="AD16" s="22" t="n">
        <v>0</v>
      </c>
      <c r="AE16" s="22"/>
      <c r="AF16" s="22"/>
      <c r="AG16" s="22" t="s">
        <v>75</v>
      </c>
      <c r="AH16" s="22"/>
      <c r="AI16" s="22" t="n">
        <v>10</v>
      </c>
      <c r="AJ16" s="22" t="n">
        <v>30</v>
      </c>
      <c r="AK16" s="22" t="s">
        <v>61</v>
      </c>
      <c r="AL16" s="26" t="n">
        <v>30019</v>
      </c>
      <c r="AM16" s="26" t="n">
        <v>45001.4399731481</v>
      </c>
      <c r="AN16" s="25" t="n">
        <v>45008.3814699074</v>
      </c>
      <c r="AO16" s="22" t="n">
        <v>5</v>
      </c>
      <c r="AP16" s="22" t="n">
        <v>40</v>
      </c>
      <c r="AQ16" s="22" t="s">
        <v>1</v>
      </c>
      <c r="AR16" s="27" t="s">
        <v>205</v>
      </c>
      <c r="AS16" s="27" t="s">
        <v>206</v>
      </c>
      <c r="AT16" s="27" t="s">
        <v>116</v>
      </c>
      <c r="AU16" s="27" t="s">
        <v>152</v>
      </c>
      <c r="AV16" s="27"/>
      <c r="AW16" s="27"/>
      <c r="AX16" s="27"/>
      <c r="AY16" s="27"/>
    </row>
    <row r="17" customFormat="false" ht="15" hidden="false" customHeight="false" outlineLevel="0" collapsed="false">
      <c r="A17" s="22" t="n">
        <v>13</v>
      </c>
      <c r="B17" s="23" t="s">
        <v>207</v>
      </c>
      <c r="C17" s="22" t="s">
        <v>208</v>
      </c>
      <c r="D17" s="22" t="s">
        <v>209</v>
      </c>
      <c r="E17" s="22" t="s">
        <v>81</v>
      </c>
      <c r="F17" s="22" t="s">
        <v>82</v>
      </c>
      <c r="G17" s="22" t="s">
        <v>59</v>
      </c>
      <c r="H17" s="22" t="s">
        <v>96</v>
      </c>
      <c r="I17" s="22"/>
      <c r="J17" s="22" t="s">
        <v>61</v>
      </c>
      <c r="K17" s="22" t="s">
        <v>210</v>
      </c>
      <c r="L17" s="22" t="s">
        <v>62</v>
      </c>
      <c r="M17" s="22" t="s">
        <v>211</v>
      </c>
      <c r="N17" s="22" t="s">
        <v>212</v>
      </c>
      <c r="O17" s="22" t="s">
        <v>213</v>
      </c>
      <c r="P17" s="22" t="s">
        <v>214</v>
      </c>
      <c r="Q17" s="22" t="s">
        <v>215</v>
      </c>
      <c r="R17" s="22" t="s">
        <v>216</v>
      </c>
      <c r="S17" s="22" t="s">
        <v>61</v>
      </c>
      <c r="T17" s="22"/>
      <c r="U17" s="22" t="s">
        <v>217</v>
      </c>
      <c r="V17" s="22" t="s">
        <v>70</v>
      </c>
      <c r="W17" s="22" t="s">
        <v>71</v>
      </c>
      <c r="X17" s="25" t="n">
        <v>42583</v>
      </c>
      <c r="Y17" s="25" t="n">
        <v>45261</v>
      </c>
      <c r="Z17" s="22" t="s">
        <v>72</v>
      </c>
      <c r="AA17" s="22" t="s">
        <v>149</v>
      </c>
      <c r="AB17" s="22" t="s">
        <v>74</v>
      </c>
      <c r="AC17" s="22"/>
      <c r="AD17" s="22" t="n">
        <v>0</v>
      </c>
      <c r="AE17" s="22"/>
      <c r="AF17" s="22"/>
      <c r="AG17" s="22" t="s">
        <v>75</v>
      </c>
      <c r="AH17" s="22"/>
      <c r="AI17" s="22" t="n">
        <v>10</v>
      </c>
      <c r="AJ17" s="22" t="n">
        <v>30</v>
      </c>
      <c r="AK17" s="22" t="s">
        <v>61</v>
      </c>
      <c r="AL17" s="26" t="n">
        <v>30028</v>
      </c>
      <c r="AM17" s="26" t="n">
        <v>45001.0911650116</v>
      </c>
      <c r="AN17" s="25" t="n">
        <v>45001.0922685185</v>
      </c>
      <c r="AO17" s="22" t="n">
        <v>9</v>
      </c>
      <c r="AP17" s="22" t="n">
        <v>40</v>
      </c>
      <c r="AQ17" s="22" t="s">
        <v>1</v>
      </c>
      <c r="AR17" s="27" t="s">
        <v>218</v>
      </c>
      <c r="AS17" s="27" t="s">
        <v>219</v>
      </c>
      <c r="AT17" s="27" t="s">
        <v>116</v>
      </c>
      <c r="AU17" s="27" t="s">
        <v>220</v>
      </c>
      <c r="AV17" s="27"/>
      <c r="AW17" s="27"/>
      <c r="AX17" s="27"/>
      <c r="AY17" s="27"/>
    </row>
    <row r="18" customFormat="false" ht="15" hidden="false" customHeight="false" outlineLevel="0" collapsed="false">
      <c r="A18" s="22" t="n">
        <v>14</v>
      </c>
      <c r="B18" s="23" t="s">
        <v>221</v>
      </c>
      <c r="C18" s="22" t="s">
        <v>222</v>
      </c>
      <c r="D18" s="22" t="s">
        <v>223</v>
      </c>
      <c r="E18" s="22" t="s">
        <v>57</v>
      </c>
      <c r="F18" s="22" t="s">
        <v>82</v>
      </c>
      <c r="G18" s="22" t="s">
        <v>59</v>
      </c>
      <c r="H18" s="22" t="s">
        <v>224</v>
      </c>
      <c r="I18" s="22"/>
      <c r="J18" s="22" t="s">
        <v>61</v>
      </c>
      <c r="K18" s="22" t="s">
        <v>225</v>
      </c>
      <c r="L18" s="22" t="s">
        <v>62</v>
      </c>
      <c r="M18" s="22" t="s">
        <v>63</v>
      </c>
      <c r="N18" s="22" t="s">
        <v>226</v>
      </c>
      <c r="O18" s="22" t="s">
        <v>227</v>
      </c>
      <c r="P18" s="22" t="s">
        <v>228</v>
      </c>
      <c r="Q18" s="22"/>
      <c r="R18" s="22" t="s">
        <v>229</v>
      </c>
      <c r="S18" s="22" t="s">
        <v>61</v>
      </c>
      <c r="T18" s="22"/>
      <c r="U18" s="22" t="s">
        <v>183</v>
      </c>
      <c r="V18" s="22" t="s">
        <v>70</v>
      </c>
      <c r="W18" s="22" t="s">
        <v>71</v>
      </c>
      <c r="X18" s="25" t="n">
        <v>44409</v>
      </c>
      <c r="Y18" s="25" t="n">
        <v>45992</v>
      </c>
      <c r="Z18" s="22" t="s">
        <v>72</v>
      </c>
      <c r="AA18" s="22" t="s">
        <v>91</v>
      </c>
      <c r="AB18" s="22" t="s">
        <v>74</v>
      </c>
      <c r="AC18" s="22"/>
      <c r="AD18" s="22" t="n">
        <v>0</v>
      </c>
      <c r="AE18" s="22"/>
      <c r="AF18" s="22"/>
      <c r="AG18" s="22" t="s">
        <v>75</v>
      </c>
      <c r="AH18" s="22"/>
      <c r="AI18" s="22" t="n">
        <v>10</v>
      </c>
      <c r="AJ18" s="22" t="n">
        <v>30</v>
      </c>
      <c r="AK18" s="22" t="s">
        <v>76</v>
      </c>
      <c r="AL18" s="26" t="n">
        <v>30031</v>
      </c>
      <c r="AM18" s="26" t="n">
        <v>45000.6097738426</v>
      </c>
      <c r="AN18" s="25" t="n">
        <v>45000.6140625</v>
      </c>
      <c r="AO18" s="22" t="n">
        <v>5</v>
      </c>
      <c r="AP18" s="22" t="n">
        <v>40</v>
      </c>
      <c r="AQ18" s="22" t="s">
        <v>1</v>
      </c>
      <c r="AR18" s="27" t="s">
        <v>230</v>
      </c>
      <c r="AS18" s="27" t="s">
        <v>231</v>
      </c>
      <c r="AT18" s="27" t="s">
        <v>232</v>
      </c>
      <c r="AU18" s="27" t="s">
        <v>152</v>
      </c>
      <c r="AV18" s="27"/>
      <c r="AW18" s="27"/>
      <c r="AX18" s="27"/>
      <c r="AY18" s="27"/>
    </row>
    <row r="19" customFormat="false" ht="15" hidden="false" customHeight="false" outlineLevel="0" collapsed="false">
      <c r="A19" s="22" t="n">
        <v>15</v>
      </c>
      <c r="B19" s="23" t="s">
        <v>233</v>
      </c>
      <c r="C19" s="22"/>
      <c r="D19" s="22" t="s">
        <v>234</v>
      </c>
      <c r="E19" s="22" t="s">
        <v>57</v>
      </c>
      <c r="F19" s="22" t="s">
        <v>188</v>
      </c>
      <c r="G19" s="22" t="s">
        <v>59</v>
      </c>
      <c r="H19" s="22" t="s">
        <v>156</v>
      </c>
      <c r="I19" s="22"/>
      <c r="J19" s="22" t="s">
        <v>61</v>
      </c>
      <c r="K19" s="22" t="s">
        <v>235</v>
      </c>
      <c r="L19" s="22" t="s">
        <v>62</v>
      </c>
      <c r="M19" s="22" t="s">
        <v>63</v>
      </c>
      <c r="N19" s="22" t="s">
        <v>236</v>
      </c>
      <c r="O19" s="22" t="s">
        <v>237</v>
      </c>
      <c r="P19" s="22" t="s">
        <v>238</v>
      </c>
      <c r="Q19" s="22" t="s">
        <v>239</v>
      </c>
      <c r="R19" s="22" t="s">
        <v>240</v>
      </c>
      <c r="S19" s="22" t="s">
        <v>61</v>
      </c>
      <c r="T19" s="22"/>
      <c r="U19" s="22" t="s">
        <v>241</v>
      </c>
      <c r="V19" s="22" t="s">
        <v>70</v>
      </c>
      <c r="W19" s="22" t="s">
        <v>71</v>
      </c>
      <c r="X19" s="25" t="n">
        <v>43466</v>
      </c>
      <c r="Y19" s="25" t="n">
        <v>45627</v>
      </c>
      <c r="Z19" s="22" t="s">
        <v>72</v>
      </c>
      <c r="AA19" s="22" t="s">
        <v>91</v>
      </c>
      <c r="AB19" s="22" t="s">
        <v>74</v>
      </c>
      <c r="AC19" s="22"/>
      <c r="AD19" s="22" t="n">
        <v>0</v>
      </c>
      <c r="AE19" s="22"/>
      <c r="AF19" s="22"/>
      <c r="AG19" s="22" t="s">
        <v>75</v>
      </c>
      <c r="AH19" s="22" t="s">
        <v>242</v>
      </c>
      <c r="AI19" s="22" t="n">
        <v>10</v>
      </c>
      <c r="AJ19" s="22" t="n">
        <v>30</v>
      </c>
      <c r="AK19" s="22" t="s">
        <v>61</v>
      </c>
      <c r="AL19" s="26" t="n">
        <v>30158</v>
      </c>
      <c r="AM19" s="26" t="n">
        <v>45005.7359872801</v>
      </c>
      <c r="AN19" s="25" t="n">
        <v>45006.4912962963</v>
      </c>
      <c r="AO19" s="22" t="n">
        <v>6</v>
      </c>
      <c r="AP19" s="22" t="n">
        <v>40</v>
      </c>
      <c r="AQ19" s="22" t="s">
        <v>0</v>
      </c>
      <c r="AR19" s="23" t="s">
        <v>243</v>
      </c>
      <c r="AS19" s="23" t="s">
        <v>78</v>
      </c>
      <c r="AT19" s="23"/>
      <c r="AU19" s="23"/>
      <c r="AV19" s="23"/>
      <c r="AW19" s="23"/>
      <c r="AX19" s="23"/>
      <c r="AY19" s="23"/>
    </row>
    <row r="20" customFormat="false" ht="15" hidden="false" customHeight="false" outlineLevel="0" collapsed="false">
      <c r="A20" s="22" t="n">
        <v>16</v>
      </c>
      <c r="B20" s="23" t="s">
        <v>244</v>
      </c>
      <c r="C20" s="22"/>
      <c r="D20" s="22" t="s">
        <v>245</v>
      </c>
      <c r="E20" s="22" t="s">
        <v>81</v>
      </c>
      <c r="F20" s="22" t="s">
        <v>107</v>
      </c>
      <c r="G20" s="22" t="s">
        <v>59</v>
      </c>
      <c r="H20" s="22" t="s">
        <v>96</v>
      </c>
      <c r="I20" s="22"/>
      <c r="J20" s="22" t="s">
        <v>61</v>
      </c>
      <c r="K20" s="22" t="s">
        <v>246</v>
      </c>
      <c r="L20" s="22" t="s">
        <v>62</v>
      </c>
      <c r="M20" s="22" t="s">
        <v>63</v>
      </c>
      <c r="N20" s="22" t="s">
        <v>247</v>
      </c>
      <c r="O20" s="22" t="s">
        <v>248</v>
      </c>
      <c r="P20" s="22" t="s">
        <v>249</v>
      </c>
      <c r="Q20" s="22"/>
      <c r="R20" s="22" t="s">
        <v>250</v>
      </c>
      <c r="S20" s="22" t="s">
        <v>61</v>
      </c>
      <c r="T20" s="22"/>
      <c r="U20" s="22" t="s">
        <v>251</v>
      </c>
      <c r="V20" s="22" t="s">
        <v>70</v>
      </c>
      <c r="W20" s="22" t="s">
        <v>71</v>
      </c>
      <c r="X20" s="25" t="n">
        <v>43831</v>
      </c>
      <c r="Y20" s="25" t="n">
        <v>45627</v>
      </c>
      <c r="Z20" s="22" t="s">
        <v>72</v>
      </c>
      <c r="AA20" s="22" t="s">
        <v>91</v>
      </c>
      <c r="AB20" s="22" t="s">
        <v>74</v>
      </c>
      <c r="AC20" s="22"/>
      <c r="AD20" s="22" t="n">
        <v>0</v>
      </c>
      <c r="AE20" s="22"/>
      <c r="AF20" s="22"/>
      <c r="AG20" s="22" t="s">
        <v>75</v>
      </c>
      <c r="AH20" s="22"/>
      <c r="AI20" s="22" t="n">
        <v>10</v>
      </c>
      <c r="AJ20" s="22" t="n">
        <v>30</v>
      </c>
      <c r="AK20" s="22" t="s">
        <v>61</v>
      </c>
      <c r="AL20" s="26" t="n">
        <v>30294</v>
      </c>
      <c r="AM20" s="26" t="n">
        <v>45004.5883496181</v>
      </c>
      <c r="AN20" s="25" t="n">
        <v>45004.5925462963</v>
      </c>
      <c r="AO20" s="22" t="n">
        <v>7</v>
      </c>
      <c r="AP20" s="22" t="n">
        <v>40</v>
      </c>
      <c r="AQ20" s="22" t="s">
        <v>1</v>
      </c>
      <c r="AR20" s="27" t="s">
        <v>252</v>
      </c>
      <c r="AS20" s="27" t="s">
        <v>206</v>
      </c>
      <c r="AT20" s="27" t="s">
        <v>232</v>
      </c>
      <c r="AU20" s="27" t="s">
        <v>152</v>
      </c>
      <c r="AV20" s="27"/>
      <c r="AW20" s="27"/>
      <c r="AX20" s="27"/>
      <c r="AY20" s="27"/>
    </row>
    <row r="21" customFormat="false" ht="15.75" hidden="false" customHeight="true" outlineLevel="0" collapsed="false">
      <c r="A21" s="22" t="n">
        <v>17</v>
      </c>
      <c r="B21" s="23" t="s">
        <v>253</v>
      </c>
      <c r="C21" s="22"/>
      <c r="D21" s="22" t="s">
        <v>254</v>
      </c>
      <c r="E21" s="22" t="s">
        <v>81</v>
      </c>
      <c r="F21" s="22" t="s">
        <v>107</v>
      </c>
      <c r="G21" s="22" t="s">
        <v>59</v>
      </c>
      <c r="H21" s="22" t="s">
        <v>60</v>
      </c>
      <c r="I21" s="22"/>
      <c r="J21" s="22" t="s">
        <v>61</v>
      </c>
      <c r="K21" s="22" t="s">
        <v>255</v>
      </c>
      <c r="L21" s="22" t="s">
        <v>62</v>
      </c>
      <c r="M21" s="22" t="s">
        <v>84</v>
      </c>
      <c r="N21" s="22" t="s">
        <v>256</v>
      </c>
      <c r="O21" s="22" t="s">
        <v>257</v>
      </c>
      <c r="P21" s="22" t="s">
        <v>258</v>
      </c>
      <c r="Q21" s="22" t="s">
        <v>259</v>
      </c>
      <c r="R21" s="22" t="s">
        <v>260</v>
      </c>
      <c r="S21" s="22" t="s">
        <v>61</v>
      </c>
      <c r="T21" s="22"/>
      <c r="U21" s="22" t="s">
        <v>261</v>
      </c>
      <c r="V21" s="22" t="s">
        <v>70</v>
      </c>
      <c r="W21" s="22" t="s">
        <v>71</v>
      </c>
      <c r="X21" s="25" t="n">
        <v>43831</v>
      </c>
      <c r="Y21" s="25" t="n">
        <v>45292</v>
      </c>
      <c r="Z21" s="22" t="s">
        <v>72</v>
      </c>
      <c r="AA21" s="22" t="s">
        <v>91</v>
      </c>
      <c r="AB21" s="22" t="s">
        <v>74</v>
      </c>
      <c r="AC21" s="22"/>
      <c r="AD21" s="22" t="n">
        <v>0</v>
      </c>
      <c r="AE21" s="22"/>
      <c r="AF21" s="22"/>
      <c r="AG21" s="22" t="s">
        <v>75</v>
      </c>
      <c r="AH21" s="22"/>
      <c r="AI21" s="22" t="n">
        <v>10</v>
      </c>
      <c r="AJ21" s="22" t="n">
        <v>30</v>
      </c>
      <c r="AK21" s="22" t="s">
        <v>61</v>
      </c>
      <c r="AL21" s="26" t="n">
        <v>30519</v>
      </c>
      <c r="AM21" s="26" t="n">
        <v>45000.7654010764</v>
      </c>
      <c r="AN21" s="25" t="n">
        <v>45009.474224537</v>
      </c>
      <c r="AO21" s="22" t="n">
        <v>8</v>
      </c>
      <c r="AP21" s="22" t="n">
        <v>40</v>
      </c>
      <c r="AQ21" s="22" t="s">
        <v>0</v>
      </c>
      <c r="AR21" s="23" t="s">
        <v>262</v>
      </c>
      <c r="AS21" s="23" t="s">
        <v>78</v>
      </c>
      <c r="AT21" s="23"/>
      <c r="AU21" s="23"/>
      <c r="AV21" s="23"/>
      <c r="AW21" s="23"/>
      <c r="AX21" s="23"/>
      <c r="AY21" s="23"/>
    </row>
    <row r="22" customFormat="false" ht="15.75" hidden="false" customHeight="true" outlineLevel="0" collapsed="false">
      <c r="A22" s="22" t="n">
        <v>18</v>
      </c>
      <c r="B22" s="23" t="s">
        <v>263</v>
      </c>
      <c r="C22" s="22" t="s">
        <v>264</v>
      </c>
      <c r="D22" s="22" t="s">
        <v>265</v>
      </c>
      <c r="E22" s="22" t="s">
        <v>57</v>
      </c>
      <c r="F22" s="22" t="s">
        <v>82</v>
      </c>
      <c r="G22" s="22" t="s">
        <v>59</v>
      </c>
      <c r="H22" s="22" t="s">
        <v>96</v>
      </c>
      <c r="I22" s="22"/>
      <c r="J22" s="22" t="s">
        <v>61</v>
      </c>
      <c r="K22" s="22" t="s">
        <v>266</v>
      </c>
      <c r="L22" s="22" t="s">
        <v>62</v>
      </c>
      <c r="M22" s="22" t="s">
        <v>84</v>
      </c>
      <c r="N22" s="22" t="s">
        <v>267</v>
      </c>
      <c r="O22" s="22" t="s">
        <v>268</v>
      </c>
      <c r="P22" s="22" t="s">
        <v>269</v>
      </c>
      <c r="Q22" s="22"/>
      <c r="R22" s="22" t="s">
        <v>270</v>
      </c>
      <c r="S22" s="22" t="s">
        <v>61</v>
      </c>
      <c r="T22" s="22"/>
      <c r="U22" s="22" t="s">
        <v>271</v>
      </c>
      <c r="V22" s="22" t="s">
        <v>70</v>
      </c>
      <c r="W22" s="22" t="s">
        <v>71</v>
      </c>
      <c r="X22" s="25" t="n">
        <v>43313</v>
      </c>
      <c r="Y22" s="25" t="n">
        <v>45992</v>
      </c>
      <c r="Z22" s="22" t="s">
        <v>72</v>
      </c>
      <c r="AA22" s="22" t="s">
        <v>149</v>
      </c>
      <c r="AB22" s="22" t="s">
        <v>74</v>
      </c>
      <c r="AC22" s="22"/>
      <c r="AD22" s="22" t="n">
        <v>0</v>
      </c>
      <c r="AE22" s="22"/>
      <c r="AF22" s="22"/>
      <c r="AG22" s="22" t="s">
        <v>75</v>
      </c>
      <c r="AH22" s="22"/>
      <c r="AI22" s="22" t="n">
        <v>10</v>
      </c>
      <c r="AJ22" s="22" t="n">
        <v>30</v>
      </c>
      <c r="AK22" s="22" t="s">
        <v>61</v>
      </c>
      <c r="AL22" s="26" t="n">
        <v>30594</v>
      </c>
      <c r="AM22" s="26" t="n">
        <v>45001.3434126157</v>
      </c>
      <c r="AN22" s="25" t="n">
        <v>45009.3689699074</v>
      </c>
      <c r="AO22" s="22" t="n">
        <v>6</v>
      </c>
      <c r="AP22" s="22" t="n">
        <v>40</v>
      </c>
      <c r="AQ22" s="22" t="s">
        <v>1</v>
      </c>
      <c r="AR22" s="23" t="s">
        <v>272</v>
      </c>
      <c r="AS22" s="23" t="s">
        <v>273</v>
      </c>
      <c r="AT22" s="23"/>
      <c r="AU22" s="23"/>
      <c r="AV22" s="23"/>
      <c r="AW22" s="23"/>
      <c r="AX22" s="23"/>
      <c r="AY22" s="23"/>
    </row>
    <row r="23" customFormat="false" ht="15.75" hidden="false" customHeight="true" outlineLevel="0" collapsed="false">
      <c r="A23" s="22" t="n">
        <v>19</v>
      </c>
      <c r="B23" s="23" t="s">
        <v>274</v>
      </c>
      <c r="C23" s="22"/>
      <c r="D23" s="22" t="s">
        <v>275</v>
      </c>
      <c r="E23" s="22" t="s">
        <v>81</v>
      </c>
      <c r="F23" s="22" t="s">
        <v>107</v>
      </c>
      <c r="G23" s="22" t="s">
        <v>59</v>
      </c>
      <c r="H23" s="22" t="s">
        <v>156</v>
      </c>
      <c r="I23" s="22"/>
      <c r="J23" s="22" t="s">
        <v>61</v>
      </c>
      <c r="K23" s="22" t="s">
        <v>276</v>
      </c>
      <c r="L23" s="22" t="s">
        <v>62</v>
      </c>
      <c r="M23" s="22" t="s">
        <v>84</v>
      </c>
      <c r="N23" s="22" t="s">
        <v>277</v>
      </c>
      <c r="O23" s="22" t="s">
        <v>278</v>
      </c>
      <c r="P23" s="22" t="s">
        <v>279</v>
      </c>
      <c r="Q23" s="22"/>
      <c r="R23" s="22" t="s">
        <v>280</v>
      </c>
      <c r="S23" s="22" t="s">
        <v>61</v>
      </c>
      <c r="T23" s="22"/>
      <c r="U23" s="22" t="s">
        <v>281</v>
      </c>
      <c r="V23" s="22" t="s">
        <v>70</v>
      </c>
      <c r="W23" s="22" t="s">
        <v>71</v>
      </c>
      <c r="X23" s="25" t="n">
        <v>44228</v>
      </c>
      <c r="Y23" s="25" t="n">
        <v>45992</v>
      </c>
      <c r="Z23" s="22" t="s">
        <v>72</v>
      </c>
      <c r="AA23" s="22" t="s">
        <v>149</v>
      </c>
      <c r="AB23" s="22" t="s">
        <v>74</v>
      </c>
      <c r="AC23" s="22"/>
      <c r="AD23" s="22" t="n">
        <v>0</v>
      </c>
      <c r="AE23" s="22"/>
      <c r="AF23" s="22"/>
      <c r="AG23" s="22" t="s">
        <v>75</v>
      </c>
      <c r="AH23" s="22"/>
      <c r="AI23" s="22" t="n">
        <v>10</v>
      </c>
      <c r="AJ23" s="22" t="n">
        <v>30</v>
      </c>
      <c r="AK23" s="22" t="s">
        <v>61</v>
      </c>
      <c r="AL23" s="26" t="n">
        <v>30748</v>
      </c>
      <c r="AM23" s="26" t="n">
        <v>45000.5484097107</v>
      </c>
      <c r="AN23" s="25" t="n">
        <v>45000.5509375</v>
      </c>
      <c r="AO23" s="22" t="n">
        <v>5</v>
      </c>
      <c r="AP23" s="22" t="n">
        <v>40</v>
      </c>
      <c r="AQ23" s="22" t="s">
        <v>0</v>
      </c>
      <c r="AR23" s="27" t="s">
        <v>282</v>
      </c>
      <c r="AS23" s="27" t="s">
        <v>78</v>
      </c>
      <c r="AT23" s="27" t="s">
        <v>232</v>
      </c>
      <c r="AU23" s="27" t="s">
        <v>78</v>
      </c>
      <c r="AV23" s="27"/>
      <c r="AW23" s="27"/>
      <c r="AX23" s="27"/>
      <c r="AY23" s="27"/>
    </row>
    <row r="24" customFormat="false" ht="15.75" hidden="false" customHeight="true" outlineLevel="0" collapsed="false">
      <c r="A24" s="22" t="n">
        <v>20</v>
      </c>
      <c r="B24" s="23" t="s">
        <v>283</v>
      </c>
      <c r="C24" s="22" t="s">
        <v>284</v>
      </c>
      <c r="D24" s="22" t="s">
        <v>285</v>
      </c>
      <c r="E24" s="22" t="s">
        <v>81</v>
      </c>
      <c r="F24" s="22" t="s">
        <v>95</v>
      </c>
      <c r="G24" s="22" t="s">
        <v>59</v>
      </c>
      <c r="H24" s="22" t="s">
        <v>60</v>
      </c>
      <c r="I24" s="22"/>
      <c r="J24" s="22" t="s">
        <v>61</v>
      </c>
      <c r="K24" s="22" t="s">
        <v>286</v>
      </c>
      <c r="L24" s="22" t="s">
        <v>62</v>
      </c>
      <c r="M24" s="22" t="s">
        <v>63</v>
      </c>
      <c r="N24" s="22" t="s">
        <v>287</v>
      </c>
      <c r="O24" s="22" t="s">
        <v>288</v>
      </c>
      <c r="P24" s="22" t="s">
        <v>289</v>
      </c>
      <c r="Q24" s="22" t="s">
        <v>290</v>
      </c>
      <c r="R24" s="22" t="s">
        <v>291</v>
      </c>
      <c r="S24" s="22" t="s">
        <v>61</v>
      </c>
      <c r="T24" s="22"/>
      <c r="U24" s="22" t="s">
        <v>183</v>
      </c>
      <c r="V24" s="22" t="s">
        <v>70</v>
      </c>
      <c r="W24" s="22" t="s">
        <v>71</v>
      </c>
      <c r="X24" s="25" t="n">
        <v>44927</v>
      </c>
      <c r="Y24" s="25" t="n">
        <v>45992</v>
      </c>
      <c r="Z24" s="22" t="s">
        <v>72</v>
      </c>
      <c r="AA24" s="22" t="s">
        <v>73</v>
      </c>
      <c r="AB24" s="22" t="s">
        <v>74</v>
      </c>
      <c r="AC24" s="22"/>
      <c r="AD24" s="22" t="n">
        <v>0</v>
      </c>
      <c r="AE24" s="22"/>
      <c r="AF24" s="22"/>
      <c r="AG24" s="22" t="s">
        <v>75</v>
      </c>
      <c r="AH24" s="22"/>
      <c r="AI24" s="22" t="n">
        <v>10</v>
      </c>
      <c r="AJ24" s="22" t="n">
        <v>30</v>
      </c>
      <c r="AK24" s="22" t="s">
        <v>61</v>
      </c>
      <c r="AL24" s="26" t="n">
        <v>30925</v>
      </c>
      <c r="AM24" s="26" t="n">
        <v>45001.7249362616</v>
      </c>
      <c r="AN24" s="25" t="n">
        <v>45004.7298263889</v>
      </c>
      <c r="AO24" s="22" t="n">
        <v>6</v>
      </c>
      <c r="AP24" s="22" t="n">
        <v>40</v>
      </c>
      <c r="AQ24" s="22" t="s">
        <v>0</v>
      </c>
      <c r="AR24" s="23" t="s">
        <v>292</v>
      </c>
      <c r="AS24" s="23" t="s">
        <v>78</v>
      </c>
      <c r="AT24" s="23"/>
      <c r="AU24" s="23"/>
      <c r="AV24" s="23"/>
      <c r="AW24" s="23"/>
      <c r="AX24" s="23"/>
      <c r="AY24" s="23"/>
    </row>
    <row r="25" customFormat="false" ht="15.75" hidden="false" customHeight="true" outlineLevel="0" collapsed="false">
      <c r="A25" s="22" t="n">
        <v>21</v>
      </c>
      <c r="B25" s="23" t="s">
        <v>293</v>
      </c>
      <c r="C25" s="22"/>
      <c r="D25" s="22" t="s">
        <v>294</v>
      </c>
      <c r="E25" s="22" t="s">
        <v>81</v>
      </c>
      <c r="F25" s="22" t="s">
        <v>82</v>
      </c>
      <c r="G25" s="22" t="s">
        <v>59</v>
      </c>
      <c r="H25" s="22" t="s">
        <v>96</v>
      </c>
      <c r="I25" s="22"/>
      <c r="J25" s="22" t="s">
        <v>61</v>
      </c>
      <c r="K25" s="22" t="s">
        <v>295</v>
      </c>
      <c r="L25" s="22" t="s">
        <v>62</v>
      </c>
      <c r="M25" s="22" t="s">
        <v>296</v>
      </c>
      <c r="N25" s="22" t="s">
        <v>297</v>
      </c>
      <c r="O25" s="22" t="s">
        <v>298</v>
      </c>
      <c r="P25" s="22" t="s">
        <v>299</v>
      </c>
      <c r="Q25" s="22" t="s">
        <v>300</v>
      </c>
      <c r="R25" s="22" t="s">
        <v>301</v>
      </c>
      <c r="S25" s="22" t="s">
        <v>61</v>
      </c>
      <c r="T25" s="22"/>
      <c r="U25" s="22" t="s">
        <v>302</v>
      </c>
      <c r="V25" s="22" t="s">
        <v>70</v>
      </c>
      <c r="W25" s="22" t="s">
        <v>71</v>
      </c>
      <c r="X25" s="25" t="n">
        <v>43466</v>
      </c>
      <c r="Y25" s="25" t="n">
        <v>45261</v>
      </c>
      <c r="Z25" s="22" t="s">
        <v>72</v>
      </c>
      <c r="AA25" s="22" t="s">
        <v>149</v>
      </c>
      <c r="AB25" s="22" t="s">
        <v>74</v>
      </c>
      <c r="AC25" s="22"/>
      <c r="AD25" s="22" t="n">
        <v>0</v>
      </c>
      <c r="AE25" s="22"/>
      <c r="AF25" s="22"/>
      <c r="AG25" s="22" t="s">
        <v>75</v>
      </c>
      <c r="AH25" s="22"/>
      <c r="AI25" s="22" t="n">
        <v>10</v>
      </c>
      <c r="AJ25" s="22" t="n">
        <v>30</v>
      </c>
      <c r="AK25" s="22" t="s">
        <v>76</v>
      </c>
      <c r="AL25" s="26" t="n">
        <v>31043</v>
      </c>
      <c r="AM25" s="26" t="n">
        <v>45001.8624927199</v>
      </c>
      <c r="AN25" s="25" t="n">
        <v>45001.8664236111</v>
      </c>
      <c r="AO25" s="22" t="n">
        <v>9</v>
      </c>
      <c r="AP25" s="22" t="n">
        <v>40</v>
      </c>
      <c r="AQ25" s="22" t="s">
        <v>0</v>
      </c>
      <c r="AR25" s="23" t="s">
        <v>303</v>
      </c>
      <c r="AS25" s="23" t="s">
        <v>78</v>
      </c>
      <c r="AT25" s="23"/>
      <c r="AU25" s="23"/>
      <c r="AV25" s="23"/>
      <c r="AW25" s="23"/>
      <c r="AX25" s="23"/>
      <c r="AY25" s="23"/>
    </row>
    <row r="26" customFormat="false" ht="15.75" hidden="false" customHeight="true" outlineLevel="0" collapsed="false">
      <c r="A26" s="22" t="n">
        <v>22</v>
      </c>
      <c r="B26" s="23" t="s">
        <v>304</v>
      </c>
      <c r="C26" s="22" t="s">
        <v>305</v>
      </c>
      <c r="D26" s="22" t="s">
        <v>306</v>
      </c>
      <c r="E26" s="22" t="s">
        <v>57</v>
      </c>
      <c r="F26" s="22" t="s">
        <v>95</v>
      </c>
      <c r="G26" s="22" t="s">
        <v>59</v>
      </c>
      <c r="H26" s="22" t="s">
        <v>96</v>
      </c>
      <c r="I26" s="22"/>
      <c r="J26" s="22" t="s">
        <v>61</v>
      </c>
      <c r="K26" s="22" t="s">
        <v>307</v>
      </c>
      <c r="L26" s="22" t="s">
        <v>62</v>
      </c>
      <c r="M26" s="22" t="s">
        <v>84</v>
      </c>
      <c r="N26" s="22" t="s">
        <v>308</v>
      </c>
      <c r="O26" s="22" t="s">
        <v>309</v>
      </c>
      <c r="P26" s="22" t="s">
        <v>310</v>
      </c>
      <c r="Q26" s="22" t="s">
        <v>311</v>
      </c>
      <c r="R26" s="22" t="s">
        <v>312</v>
      </c>
      <c r="S26" s="22" t="s">
        <v>61</v>
      </c>
      <c r="T26" s="22"/>
      <c r="U26" s="22" t="s">
        <v>313</v>
      </c>
      <c r="V26" s="22" t="s">
        <v>70</v>
      </c>
      <c r="W26" s="22" t="s">
        <v>71</v>
      </c>
      <c r="X26" s="25" t="n">
        <v>44197</v>
      </c>
      <c r="Y26" s="25" t="n">
        <v>45992</v>
      </c>
      <c r="Z26" s="22" t="s">
        <v>72</v>
      </c>
      <c r="AA26" s="22" t="s">
        <v>91</v>
      </c>
      <c r="AB26" s="22" t="s">
        <v>74</v>
      </c>
      <c r="AC26" s="22"/>
      <c r="AD26" s="22" t="n">
        <v>0</v>
      </c>
      <c r="AE26" s="22"/>
      <c r="AF26" s="22"/>
      <c r="AG26" s="22" t="s">
        <v>75</v>
      </c>
      <c r="AH26" s="22"/>
      <c r="AI26" s="22" t="n">
        <v>10</v>
      </c>
      <c r="AJ26" s="22" t="n">
        <v>30</v>
      </c>
      <c r="AK26" s="22" t="s">
        <v>76</v>
      </c>
      <c r="AL26" s="26" t="n">
        <v>31128</v>
      </c>
      <c r="AM26" s="26" t="n">
        <v>45001.8530266667</v>
      </c>
      <c r="AN26" s="25" t="n">
        <v>45002.6816898148</v>
      </c>
      <c r="AO26" s="22" t="n">
        <v>5</v>
      </c>
      <c r="AP26" s="22" t="n">
        <v>40</v>
      </c>
      <c r="AQ26" s="22" t="s">
        <v>0</v>
      </c>
      <c r="AR26" s="23" t="s">
        <v>314</v>
      </c>
      <c r="AS26" s="23" t="s">
        <v>78</v>
      </c>
      <c r="AT26" s="23"/>
      <c r="AU26" s="23"/>
      <c r="AV26" s="23"/>
      <c r="AW26" s="23"/>
      <c r="AX26" s="23"/>
      <c r="AY26" s="23"/>
    </row>
    <row r="27" customFormat="false" ht="15.75" hidden="false" customHeight="true" outlineLevel="0" collapsed="false">
      <c r="A27" s="22" t="n">
        <v>23</v>
      </c>
      <c r="B27" s="23" t="s">
        <v>315</v>
      </c>
      <c r="C27" s="22" t="s">
        <v>316</v>
      </c>
      <c r="D27" s="22" t="s">
        <v>317</v>
      </c>
      <c r="E27" s="22" t="s">
        <v>81</v>
      </c>
      <c r="F27" s="22" t="s">
        <v>107</v>
      </c>
      <c r="G27" s="22" t="s">
        <v>59</v>
      </c>
      <c r="H27" s="22" t="s">
        <v>156</v>
      </c>
      <c r="I27" s="22"/>
      <c r="J27" s="22" t="s">
        <v>61</v>
      </c>
      <c r="K27" s="22" t="s">
        <v>318</v>
      </c>
      <c r="L27" s="22" t="s">
        <v>62</v>
      </c>
      <c r="M27" s="22" t="s">
        <v>84</v>
      </c>
      <c r="N27" s="22" t="s">
        <v>319</v>
      </c>
      <c r="O27" s="22" t="s">
        <v>309</v>
      </c>
      <c r="P27" s="22" t="s">
        <v>320</v>
      </c>
      <c r="Q27" s="22" t="s">
        <v>321</v>
      </c>
      <c r="R27" s="22" t="s">
        <v>322</v>
      </c>
      <c r="S27" s="22" t="s">
        <v>61</v>
      </c>
      <c r="T27" s="22"/>
      <c r="U27" s="22" t="s">
        <v>323</v>
      </c>
      <c r="V27" s="22" t="s">
        <v>70</v>
      </c>
      <c r="W27" s="22" t="s">
        <v>71</v>
      </c>
      <c r="X27" s="25" t="n">
        <v>43132</v>
      </c>
      <c r="Y27" s="25" t="n">
        <v>45627</v>
      </c>
      <c r="Z27" s="22" t="s">
        <v>72</v>
      </c>
      <c r="AA27" s="22" t="s">
        <v>91</v>
      </c>
      <c r="AB27" s="22" t="s">
        <v>74</v>
      </c>
      <c r="AC27" s="22"/>
      <c r="AD27" s="22" t="n">
        <v>0</v>
      </c>
      <c r="AE27" s="22"/>
      <c r="AF27" s="22"/>
      <c r="AG27" s="22" t="s">
        <v>75</v>
      </c>
      <c r="AH27" s="22"/>
      <c r="AI27" s="22" t="n">
        <v>10</v>
      </c>
      <c r="AJ27" s="22" t="n">
        <v>30</v>
      </c>
      <c r="AK27" s="22" t="s">
        <v>76</v>
      </c>
      <c r="AL27" s="26" t="n">
        <v>31243</v>
      </c>
      <c r="AM27" s="26" t="n">
        <v>45000.4130970139</v>
      </c>
      <c r="AN27" s="25" t="n">
        <v>45000.4171990741</v>
      </c>
      <c r="AO27" s="22" t="n">
        <v>7</v>
      </c>
      <c r="AP27" s="22" t="n">
        <v>40</v>
      </c>
      <c r="AQ27" s="22" t="s">
        <v>0</v>
      </c>
      <c r="AR27" s="27" t="s">
        <v>324</v>
      </c>
      <c r="AS27" s="23" t="s">
        <v>78</v>
      </c>
      <c r="AT27" s="27"/>
      <c r="AU27" s="27"/>
      <c r="AV27" s="27"/>
      <c r="AW27" s="27"/>
      <c r="AX27" s="27"/>
      <c r="AY27" s="27"/>
    </row>
    <row r="28" customFormat="false" ht="15.75" hidden="false" customHeight="true" outlineLevel="0" collapsed="false">
      <c r="A28" s="22" t="n">
        <v>24</v>
      </c>
      <c r="B28" s="23" t="s">
        <v>325</v>
      </c>
      <c r="C28" s="22"/>
      <c r="D28" s="22" t="s">
        <v>326</v>
      </c>
      <c r="E28" s="22" t="s">
        <v>57</v>
      </c>
      <c r="F28" s="22" t="s">
        <v>107</v>
      </c>
      <c r="G28" s="22" t="s">
        <v>59</v>
      </c>
      <c r="H28" s="22" t="s">
        <v>327</v>
      </c>
      <c r="I28" s="22"/>
      <c r="J28" s="22" t="s">
        <v>61</v>
      </c>
      <c r="K28" s="22" t="s">
        <v>328</v>
      </c>
      <c r="L28" s="22" t="s">
        <v>62</v>
      </c>
      <c r="M28" s="22" t="s">
        <v>63</v>
      </c>
      <c r="N28" s="22" t="s">
        <v>329</v>
      </c>
      <c r="O28" s="22" t="s">
        <v>330</v>
      </c>
      <c r="P28" s="22" t="s">
        <v>331</v>
      </c>
      <c r="Q28" s="22" t="s">
        <v>332</v>
      </c>
      <c r="R28" s="22" t="s">
        <v>333</v>
      </c>
      <c r="S28" s="22" t="s">
        <v>61</v>
      </c>
      <c r="T28" s="22"/>
      <c r="U28" s="22" t="s">
        <v>334</v>
      </c>
      <c r="V28" s="22" t="s">
        <v>70</v>
      </c>
      <c r="W28" s="22" t="s">
        <v>71</v>
      </c>
      <c r="X28" s="25" t="n">
        <v>43466</v>
      </c>
      <c r="Y28" s="25" t="n">
        <v>45809</v>
      </c>
      <c r="Z28" s="22" t="s">
        <v>72</v>
      </c>
      <c r="AA28" s="22" t="s">
        <v>149</v>
      </c>
      <c r="AB28" s="22" t="s">
        <v>74</v>
      </c>
      <c r="AC28" s="22"/>
      <c r="AD28" s="22" t="n">
        <v>0</v>
      </c>
      <c r="AE28" s="22"/>
      <c r="AF28" s="22"/>
      <c r="AG28" s="22" t="s">
        <v>75</v>
      </c>
      <c r="AH28" s="22"/>
      <c r="AI28" s="22" t="n">
        <v>10</v>
      </c>
      <c r="AJ28" s="22" t="n">
        <v>30</v>
      </c>
      <c r="AK28" s="22" t="s">
        <v>61</v>
      </c>
      <c r="AL28" s="26" t="n">
        <v>31324</v>
      </c>
      <c r="AM28" s="26" t="n">
        <v>45001.5877208218</v>
      </c>
      <c r="AN28" s="25" t="n">
        <v>45001.5896643519</v>
      </c>
      <c r="AO28" s="22" t="n">
        <v>6</v>
      </c>
      <c r="AP28" s="22" t="n">
        <v>40</v>
      </c>
      <c r="AQ28" s="22" t="s">
        <v>1</v>
      </c>
      <c r="AR28" s="27" t="s">
        <v>335</v>
      </c>
      <c r="AS28" s="27" t="s">
        <v>206</v>
      </c>
      <c r="AT28" s="27" t="s">
        <v>116</v>
      </c>
      <c r="AU28" s="27" t="s">
        <v>152</v>
      </c>
      <c r="AV28" s="27"/>
      <c r="AW28" s="27"/>
      <c r="AX28" s="27"/>
      <c r="AY28" s="27"/>
    </row>
    <row r="29" customFormat="false" ht="15.75" hidden="false" customHeight="true" outlineLevel="0" collapsed="false">
      <c r="A29" s="22" t="n">
        <v>25</v>
      </c>
      <c r="B29" s="23" t="s">
        <v>336</v>
      </c>
      <c r="C29" s="22" t="s">
        <v>337</v>
      </c>
      <c r="D29" s="22" t="s">
        <v>338</v>
      </c>
      <c r="E29" s="22" t="s">
        <v>81</v>
      </c>
      <c r="F29" s="22" t="s">
        <v>107</v>
      </c>
      <c r="G29" s="22" t="s">
        <v>59</v>
      </c>
      <c r="H29" s="22" t="s">
        <v>327</v>
      </c>
      <c r="I29" s="22"/>
      <c r="J29" s="22" t="s">
        <v>61</v>
      </c>
      <c r="K29" s="22" t="s">
        <v>339</v>
      </c>
      <c r="L29" s="22" t="s">
        <v>62</v>
      </c>
      <c r="M29" s="22" t="s">
        <v>63</v>
      </c>
      <c r="N29" s="22" t="s">
        <v>340</v>
      </c>
      <c r="O29" s="22" t="s">
        <v>341</v>
      </c>
      <c r="P29" s="22" t="s">
        <v>342</v>
      </c>
      <c r="Q29" s="22"/>
      <c r="R29" s="22" t="s">
        <v>343</v>
      </c>
      <c r="S29" s="22" t="s">
        <v>61</v>
      </c>
      <c r="T29" s="22"/>
      <c r="U29" s="22" t="s">
        <v>183</v>
      </c>
      <c r="V29" s="22" t="s">
        <v>70</v>
      </c>
      <c r="W29" s="22" t="s">
        <v>71</v>
      </c>
      <c r="X29" s="25" t="n">
        <v>44958</v>
      </c>
      <c r="Y29" s="25" t="n">
        <v>45992</v>
      </c>
      <c r="Z29" s="22" t="s">
        <v>72</v>
      </c>
      <c r="AA29" s="22" t="s">
        <v>91</v>
      </c>
      <c r="AB29" s="22" t="s">
        <v>74</v>
      </c>
      <c r="AC29" s="22"/>
      <c r="AD29" s="22" t="n">
        <v>0</v>
      </c>
      <c r="AE29" s="22"/>
      <c r="AF29" s="22"/>
      <c r="AG29" s="22" t="s">
        <v>75</v>
      </c>
      <c r="AH29" s="22"/>
      <c r="AI29" s="22" t="n">
        <v>10</v>
      </c>
      <c r="AJ29" s="22" t="n">
        <v>30</v>
      </c>
      <c r="AK29" s="22" t="s">
        <v>76</v>
      </c>
      <c r="AL29" s="26" t="n">
        <v>31532</v>
      </c>
      <c r="AM29" s="26" t="n">
        <v>45000.4828608681</v>
      </c>
      <c r="AN29" s="25" t="n">
        <v>45002.5516203704</v>
      </c>
      <c r="AO29" s="22" t="n">
        <v>5</v>
      </c>
      <c r="AP29" s="22" t="n">
        <v>40</v>
      </c>
      <c r="AQ29" s="22" t="s">
        <v>1</v>
      </c>
      <c r="AR29" s="27" t="s">
        <v>344</v>
      </c>
      <c r="AS29" s="27" t="s">
        <v>206</v>
      </c>
      <c r="AT29" s="27" t="s">
        <v>116</v>
      </c>
      <c r="AU29" s="27" t="s">
        <v>152</v>
      </c>
      <c r="AV29" s="27"/>
      <c r="AW29" s="27"/>
      <c r="AX29" s="27"/>
      <c r="AY29" s="27"/>
    </row>
    <row r="30" customFormat="false" ht="15.75" hidden="false" customHeight="true" outlineLevel="0" collapsed="false">
      <c r="A30" s="22" t="n">
        <v>26</v>
      </c>
      <c r="B30" s="23" t="s">
        <v>345</v>
      </c>
      <c r="C30" s="22"/>
      <c r="D30" s="22" t="s">
        <v>346</v>
      </c>
      <c r="E30" s="22" t="s">
        <v>81</v>
      </c>
      <c r="F30" s="22" t="s">
        <v>82</v>
      </c>
      <c r="G30" s="22" t="s">
        <v>59</v>
      </c>
      <c r="H30" s="22" t="s">
        <v>96</v>
      </c>
      <c r="I30" s="22"/>
      <c r="J30" s="22" t="s">
        <v>61</v>
      </c>
      <c r="K30" s="22" t="s">
        <v>347</v>
      </c>
      <c r="L30" s="22" t="s">
        <v>62</v>
      </c>
      <c r="M30" s="22" t="s">
        <v>84</v>
      </c>
      <c r="N30" s="22" t="s">
        <v>348</v>
      </c>
      <c r="O30" s="22" t="s">
        <v>349</v>
      </c>
      <c r="P30" s="22" t="s">
        <v>350</v>
      </c>
      <c r="Q30" s="22" t="s">
        <v>351</v>
      </c>
      <c r="R30" s="22" t="s">
        <v>352</v>
      </c>
      <c r="S30" s="22" t="s">
        <v>61</v>
      </c>
      <c r="T30" s="22"/>
      <c r="U30" s="22" t="s">
        <v>261</v>
      </c>
      <c r="V30" s="22" t="s">
        <v>70</v>
      </c>
      <c r="W30" s="22" t="s">
        <v>71</v>
      </c>
      <c r="X30" s="25" t="n">
        <v>44228</v>
      </c>
      <c r="Y30" s="25" t="n">
        <v>45809</v>
      </c>
      <c r="Z30" s="22" t="s">
        <v>72</v>
      </c>
      <c r="AA30" s="22" t="s">
        <v>91</v>
      </c>
      <c r="AB30" s="22" t="s">
        <v>74</v>
      </c>
      <c r="AC30" s="22"/>
      <c r="AD30" s="22" t="n">
        <v>0</v>
      </c>
      <c r="AE30" s="22"/>
      <c r="AF30" s="22"/>
      <c r="AG30" s="22" t="s">
        <v>75</v>
      </c>
      <c r="AH30" s="22"/>
      <c r="AI30" s="22" t="n">
        <v>10</v>
      </c>
      <c r="AJ30" s="22" t="n">
        <v>30</v>
      </c>
      <c r="AK30" s="22" t="s">
        <v>61</v>
      </c>
      <c r="AL30" s="26" t="n">
        <v>31561</v>
      </c>
      <c r="AM30" s="26" t="n">
        <v>45007.5913657523</v>
      </c>
      <c r="AN30" s="25" t="n">
        <v>45007.5932986111</v>
      </c>
      <c r="AO30" s="22" t="n">
        <v>5</v>
      </c>
      <c r="AP30" s="22" t="n">
        <v>40</v>
      </c>
      <c r="AQ30" s="22" t="s">
        <v>0</v>
      </c>
      <c r="AR30" s="27" t="s">
        <v>353</v>
      </c>
      <c r="AS30" s="27" t="s">
        <v>78</v>
      </c>
      <c r="AT30" s="27" t="s">
        <v>116</v>
      </c>
      <c r="AU30" s="27" t="s">
        <v>220</v>
      </c>
      <c r="AV30" s="27"/>
      <c r="AW30" s="27"/>
      <c r="AX30" s="27"/>
      <c r="AY30" s="27"/>
    </row>
    <row r="31" customFormat="false" ht="15.75" hidden="false" customHeight="true" outlineLevel="0" collapsed="false">
      <c r="A31" s="22" t="n">
        <v>27</v>
      </c>
      <c r="B31" s="23" t="s">
        <v>354</v>
      </c>
      <c r="C31" s="22"/>
      <c r="D31" s="22" t="s">
        <v>355</v>
      </c>
      <c r="E31" s="22" t="s">
        <v>81</v>
      </c>
      <c r="F31" s="22" t="s">
        <v>107</v>
      </c>
      <c r="G31" s="22" t="s">
        <v>59</v>
      </c>
      <c r="H31" s="22" t="s">
        <v>96</v>
      </c>
      <c r="I31" s="22"/>
      <c r="J31" s="22" t="s">
        <v>61</v>
      </c>
      <c r="K31" s="22" t="s">
        <v>356</v>
      </c>
      <c r="L31" s="22" t="s">
        <v>62</v>
      </c>
      <c r="M31" s="22" t="s">
        <v>63</v>
      </c>
      <c r="N31" s="22" t="s">
        <v>357</v>
      </c>
      <c r="O31" s="22" t="s">
        <v>358</v>
      </c>
      <c r="P31" s="22" t="s">
        <v>359</v>
      </c>
      <c r="Q31" s="22"/>
      <c r="R31" s="22" t="s">
        <v>360</v>
      </c>
      <c r="S31" s="22" t="s">
        <v>61</v>
      </c>
      <c r="T31" s="22"/>
      <c r="U31" s="22" t="s">
        <v>241</v>
      </c>
      <c r="V31" s="22" t="s">
        <v>70</v>
      </c>
      <c r="W31" s="22" t="s">
        <v>71</v>
      </c>
      <c r="X31" s="25" t="n">
        <v>44197</v>
      </c>
      <c r="Y31" s="25" t="n">
        <v>45992</v>
      </c>
      <c r="Z31" s="22" t="s">
        <v>72</v>
      </c>
      <c r="AA31" s="22" t="s">
        <v>149</v>
      </c>
      <c r="AB31" s="22" t="s">
        <v>74</v>
      </c>
      <c r="AC31" s="22"/>
      <c r="AD31" s="22" t="n">
        <v>0</v>
      </c>
      <c r="AE31" s="22"/>
      <c r="AF31" s="22"/>
      <c r="AG31" s="22" t="s">
        <v>75</v>
      </c>
      <c r="AH31" s="22"/>
      <c r="AI31" s="22" t="n">
        <v>10</v>
      </c>
      <c r="AJ31" s="22" t="n">
        <v>30</v>
      </c>
      <c r="AK31" s="22" t="s">
        <v>61</v>
      </c>
      <c r="AL31" s="26" t="n">
        <v>31575</v>
      </c>
      <c r="AM31" s="26" t="n">
        <v>45002.3326312384</v>
      </c>
      <c r="AN31" s="25" t="n">
        <v>45003.7959837963</v>
      </c>
      <c r="AO31" s="22" t="n">
        <v>5</v>
      </c>
      <c r="AP31" s="22" t="n">
        <v>40</v>
      </c>
      <c r="AQ31" s="22" t="s">
        <v>0</v>
      </c>
      <c r="AR31" s="27" t="s">
        <v>361</v>
      </c>
      <c r="AS31" s="27" t="s">
        <v>78</v>
      </c>
      <c r="AT31" s="27" t="s">
        <v>116</v>
      </c>
      <c r="AU31" s="27" t="s">
        <v>220</v>
      </c>
      <c r="AV31" s="27"/>
      <c r="AW31" s="27"/>
      <c r="AX31" s="27"/>
      <c r="AY31" s="27"/>
    </row>
    <row r="32" customFormat="false" ht="15.75" hidden="false" customHeight="true" outlineLevel="0" collapsed="false">
      <c r="A32" s="22" t="n">
        <v>28</v>
      </c>
      <c r="B32" s="23" t="s">
        <v>362</v>
      </c>
      <c r="C32" s="22"/>
      <c r="D32" s="22" t="s">
        <v>363</v>
      </c>
      <c r="E32" s="22" t="s">
        <v>57</v>
      </c>
      <c r="F32" s="22" t="s">
        <v>107</v>
      </c>
      <c r="G32" s="22" t="s">
        <v>59</v>
      </c>
      <c r="H32" s="22" t="s">
        <v>96</v>
      </c>
      <c r="I32" s="22"/>
      <c r="J32" s="22" t="s">
        <v>61</v>
      </c>
      <c r="K32" s="22" t="s">
        <v>364</v>
      </c>
      <c r="L32" s="22" t="s">
        <v>62</v>
      </c>
      <c r="M32" s="22" t="s">
        <v>365</v>
      </c>
      <c r="N32" s="22" t="s">
        <v>366</v>
      </c>
      <c r="O32" s="22" t="s">
        <v>367</v>
      </c>
      <c r="P32" s="22" t="s">
        <v>368</v>
      </c>
      <c r="Q32" s="22"/>
      <c r="R32" s="22" t="s">
        <v>369</v>
      </c>
      <c r="S32" s="22" t="s">
        <v>61</v>
      </c>
      <c r="T32" s="22"/>
      <c r="U32" s="22" t="s">
        <v>370</v>
      </c>
      <c r="V32" s="22" t="s">
        <v>70</v>
      </c>
      <c r="W32" s="22" t="s">
        <v>71</v>
      </c>
      <c r="X32" s="25" t="n">
        <v>44197</v>
      </c>
      <c r="Y32" s="25" t="n">
        <v>45992</v>
      </c>
      <c r="Z32" s="22" t="s">
        <v>72</v>
      </c>
      <c r="AA32" s="22" t="s">
        <v>91</v>
      </c>
      <c r="AB32" s="22" t="s">
        <v>74</v>
      </c>
      <c r="AC32" s="22"/>
      <c r="AD32" s="22" t="n">
        <v>0</v>
      </c>
      <c r="AE32" s="22"/>
      <c r="AF32" s="22"/>
      <c r="AG32" s="22" t="s">
        <v>75</v>
      </c>
      <c r="AH32" s="22"/>
      <c r="AI32" s="22" t="n">
        <v>10</v>
      </c>
      <c r="AJ32" s="22" t="n">
        <v>30</v>
      </c>
      <c r="AK32" s="22" t="s">
        <v>61</v>
      </c>
      <c r="AL32" s="26" t="n">
        <v>31772</v>
      </c>
      <c r="AM32" s="26" t="n">
        <v>45001.860606875</v>
      </c>
      <c r="AN32" s="25" t="n">
        <v>45005.6392592593</v>
      </c>
      <c r="AO32" s="22" t="n">
        <v>5</v>
      </c>
      <c r="AP32" s="22" t="n">
        <v>40</v>
      </c>
      <c r="AQ32" s="22" t="s">
        <v>1</v>
      </c>
      <c r="AR32" s="27" t="s">
        <v>371</v>
      </c>
      <c r="AS32" s="27" t="s">
        <v>206</v>
      </c>
      <c r="AT32" s="27" t="s">
        <v>116</v>
      </c>
      <c r="AU32" s="27" t="s">
        <v>152</v>
      </c>
      <c r="AV32" s="27"/>
      <c r="AW32" s="27"/>
      <c r="AX32" s="27"/>
      <c r="AY32" s="27"/>
    </row>
    <row r="33" customFormat="false" ht="15.75" hidden="false" customHeight="true" outlineLevel="0" collapsed="false">
      <c r="A33" s="22" t="n">
        <v>29</v>
      </c>
      <c r="B33" s="23" t="s">
        <v>372</v>
      </c>
      <c r="C33" s="22" t="s">
        <v>373</v>
      </c>
      <c r="D33" s="22" t="s">
        <v>374</v>
      </c>
      <c r="E33" s="22" t="s">
        <v>81</v>
      </c>
      <c r="F33" s="22" t="s">
        <v>107</v>
      </c>
      <c r="G33" s="22" t="s">
        <v>59</v>
      </c>
      <c r="H33" s="22" t="s">
        <v>327</v>
      </c>
      <c r="I33" s="22"/>
      <c r="J33" s="22" t="s">
        <v>61</v>
      </c>
      <c r="K33" s="22" t="s">
        <v>375</v>
      </c>
      <c r="L33" s="22" t="s">
        <v>62</v>
      </c>
      <c r="M33" s="22" t="s">
        <v>63</v>
      </c>
      <c r="N33" s="22" t="s">
        <v>376</v>
      </c>
      <c r="O33" s="22" t="s">
        <v>377</v>
      </c>
      <c r="P33" s="22" t="s">
        <v>378</v>
      </c>
      <c r="Q33" s="22"/>
      <c r="R33" s="22" t="s">
        <v>379</v>
      </c>
      <c r="S33" s="22" t="s">
        <v>61</v>
      </c>
      <c r="T33" s="22"/>
      <c r="U33" s="22" t="s">
        <v>380</v>
      </c>
      <c r="V33" s="22" t="s">
        <v>70</v>
      </c>
      <c r="W33" s="22" t="s">
        <v>71</v>
      </c>
      <c r="X33" s="25" t="n">
        <v>43466</v>
      </c>
      <c r="Y33" s="25" t="n">
        <v>45627</v>
      </c>
      <c r="Z33" s="22" t="s">
        <v>72</v>
      </c>
      <c r="AA33" s="22" t="s">
        <v>149</v>
      </c>
      <c r="AB33" s="22" t="s">
        <v>74</v>
      </c>
      <c r="AC33" s="22"/>
      <c r="AD33" s="22" t="n">
        <v>0</v>
      </c>
      <c r="AE33" s="22"/>
      <c r="AF33" s="22"/>
      <c r="AG33" s="22" t="s">
        <v>75</v>
      </c>
      <c r="AH33" s="22"/>
      <c r="AI33" s="22" t="n">
        <v>10</v>
      </c>
      <c r="AJ33" s="22" t="n">
        <v>30</v>
      </c>
      <c r="AK33" s="22" t="s">
        <v>61</v>
      </c>
      <c r="AL33" s="26" t="n">
        <v>32036</v>
      </c>
      <c r="AM33" s="26" t="n">
        <v>45001.505758831</v>
      </c>
      <c r="AN33" s="25" t="n">
        <v>45003.7903240741</v>
      </c>
      <c r="AO33" s="22" t="n">
        <v>7</v>
      </c>
      <c r="AP33" s="22" t="n">
        <v>40</v>
      </c>
      <c r="AQ33" s="22" t="s">
        <v>0</v>
      </c>
      <c r="AR33" s="23" t="s">
        <v>381</v>
      </c>
      <c r="AS33" s="23" t="s">
        <v>78</v>
      </c>
      <c r="AT33" s="23"/>
      <c r="AU33" s="23"/>
      <c r="AV33" s="23"/>
      <c r="AW33" s="23"/>
      <c r="AX33" s="23"/>
      <c r="AY33" s="23"/>
    </row>
    <row r="34" customFormat="false" ht="15.75" hidden="false" customHeight="true" outlineLevel="0" collapsed="false">
      <c r="A34" s="22" t="n">
        <v>30</v>
      </c>
      <c r="B34" s="23" t="s">
        <v>382</v>
      </c>
      <c r="C34" s="22" t="s">
        <v>383</v>
      </c>
      <c r="D34" s="22" t="s">
        <v>384</v>
      </c>
      <c r="E34" s="22" t="s">
        <v>57</v>
      </c>
      <c r="F34" s="22" t="s">
        <v>107</v>
      </c>
      <c r="G34" s="22" t="s">
        <v>59</v>
      </c>
      <c r="H34" s="22" t="s">
        <v>96</v>
      </c>
      <c r="I34" s="22"/>
      <c r="J34" s="22" t="s">
        <v>61</v>
      </c>
      <c r="K34" s="22" t="s">
        <v>385</v>
      </c>
      <c r="L34" s="22" t="s">
        <v>62</v>
      </c>
      <c r="M34" s="22" t="s">
        <v>84</v>
      </c>
      <c r="N34" s="22" t="s">
        <v>386</v>
      </c>
      <c r="O34" s="22" t="s">
        <v>387</v>
      </c>
      <c r="P34" s="22" t="s">
        <v>388</v>
      </c>
      <c r="Q34" s="22"/>
      <c r="R34" s="22" t="s">
        <v>389</v>
      </c>
      <c r="S34" s="22" t="s">
        <v>61</v>
      </c>
      <c r="T34" s="22"/>
      <c r="U34" s="22" t="s">
        <v>390</v>
      </c>
      <c r="V34" s="22" t="s">
        <v>70</v>
      </c>
      <c r="W34" s="22" t="s">
        <v>71</v>
      </c>
      <c r="X34" s="25" t="n">
        <v>44228</v>
      </c>
      <c r="Y34" s="25" t="n">
        <v>45992</v>
      </c>
      <c r="Z34" s="22" t="s">
        <v>72</v>
      </c>
      <c r="AA34" s="22" t="s">
        <v>91</v>
      </c>
      <c r="AB34" s="22" t="s">
        <v>74</v>
      </c>
      <c r="AC34" s="22"/>
      <c r="AD34" s="22" t="n">
        <v>0</v>
      </c>
      <c r="AE34" s="22"/>
      <c r="AF34" s="22"/>
      <c r="AG34" s="22" t="s">
        <v>75</v>
      </c>
      <c r="AH34" s="22"/>
      <c r="AI34" s="22" t="n">
        <v>10</v>
      </c>
      <c r="AJ34" s="22" t="n">
        <v>30</v>
      </c>
      <c r="AK34" s="22" t="s">
        <v>61</v>
      </c>
      <c r="AL34" s="26" t="n">
        <v>32111</v>
      </c>
      <c r="AM34" s="26" t="n">
        <v>45003.8297809491</v>
      </c>
      <c r="AN34" s="25" t="n">
        <v>45003.8319675926</v>
      </c>
      <c r="AO34" s="22" t="n">
        <v>5</v>
      </c>
      <c r="AP34" s="22" t="n">
        <v>40</v>
      </c>
      <c r="AQ34" s="22" t="s">
        <v>0</v>
      </c>
      <c r="AR34" s="23" t="s">
        <v>391</v>
      </c>
      <c r="AS34" s="23" t="s">
        <v>78</v>
      </c>
      <c r="AT34" s="23"/>
      <c r="AU34" s="23"/>
      <c r="AV34" s="23"/>
      <c r="AW34" s="23"/>
      <c r="AX34" s="23"/>
      <c r="AY34" s="23"/>
    </row>
    <row r="35" customFormat="false" ht="15.75" hidden="false" customHeight="true" outlineLevel="0" collapsed="false">
      <c r="A35" s="22" t="n">
        <v>31</v>
      </c>
      <c r="B35" s="23" t="s">
        <v>392</v>
      </c>
      <c r="C35" s="22" t="s">
        <v>393</v>
      </c>
      <c r="D35" s="22" t="s">
        <v>394</v>
      </c>
      <c r="E35" s="22" t="s">
        <v>81</v>
      </c>
      <c r="F35" s="22" t="s">
        <v>82</v>
      </c>
      <c r="G35" s="22" t="s">
        <v>59</v>
      </c>
      <c r="H35" s="22" t="s">
        <v>96</v>
      </c>
      <c r="I35" s="22"/>
      <c r="J35" s="22" t="s">
        <v>61</v>
      </c>
      <c r="K35" s="22" t="s">
        <v>395</v>
      </c>
      <c r="L35" s="22" t="s">
        <v>62</v>
      </c>
      <c r="M35" s="22" t="s">
        <v>63</v>
      </c>
      <c r="N35" s="22" t="s">
        <v>396</v>
      </c>
      <c r="O35" s="22" t="s">
        <v>397</v>
      </c>
      <c r="P35" s="22" t="s">
        <v>398</v>
      </c>
      <c r="Q35" s="22"/>
      <c r="R35" s="22" t="s">
        <v>399</v>
      </c>
      <c r="S35" s="22" t="s">
        <v>61</v>
      </c>
      <c r="T35" s="22"/>
      <c r="U35" s="22" t="s">
        <v>400</v>
      </c>
      <c r="V35" s="22" t="s">
        <v>70</v>
      </c>
      <c r="W35" s="22" t="s">
        <v>71</v>
      </c>
      <c r="X35" s="25" t="n">
        <v>44958</v>
      </c>
      <c r="Y35" s="25" t="n">
        <v>45627</v>
      </c>
      <c r="Z35" s="22" t="s">
        <v>72</v>
      </c>
      <c r="AA35" s="22" t="s">
        <v>91</v>
      </c>
      <c r="AB35" s="22" t="s">
        <v>74</v>
      </c>
      <c r="AC35" s="22"/>
      <c r="AD35" s="22" t="n">
        <v>0</v>
      </c>
      <c r="AE35" s="22"/>
      <c r="AF35" s="22"/>
      <c r="AG35" s="22" t="s">
        <v>75</v>
      </c>
      <c r="AH35" s="22"/>
      <c r="AI35" s="22" t="n">
        <v>10</v>
      </c>
      <c r="AJ35" s="22" t="n">
        <v>30</v>
      </c>
      <c r="AK35" s="22" t="s">
        <v>61</v>
      </c>
      <c r="AL35" s="26" t="n">
        <v>32162</v>
      </c>
      <c r="AM35" s="26" t="n">
        <v>45000.5635484838</v>
      </c>
      <c r="AN35" s="25" t="n">
        <v>45000.564849537</v>
      </c>
      <c r="AO35" s="22" t="n">
        <v>7</v>
      </c>
      <c r="AP35" s="22" t="n">
        <v>40</v>
      </c>
      <c r="AQ35" s="22" t="s">
        <v>1</v>
      </c>
      <c r="AR35" s="27" t="s">
        <v>401</v>
      </c>
      <c r="AS35" s="27" t="s">
        <v>402</v>
      </c>
      <c r="AT35" s="28" t="n">
        <v>45054.4861111111</v>
      </c>
      <c r="AU35" s="27" t="s">
        <v>403</v>
      </c>
      <c r="AV35" s="27"/>
      <c r="AW35" s="27"/>
      <c r="AX35" s="27"/>
      <c r="AY35" s="27"/>
    </row>
    <row r="36" customFormat="false" ht="15.75" hidden="false" customHeight="true" outlineLevel="0" collapsed="false">
      <c r="A36" s="22" t="n">
        <v>32</v>
      </c>
      <c r="B36" s="23" t="s">
        <v>404</v>
      </c>
      <c r="C36" s="22" t="s">
        <v>405</v>
      </c>
      <c r="D36" s="22" t="s">
        <v>406</v>
      </c>
      <c r="E36" s="22" t="s">
        <v>57</v>
      </c>
      <c r="F36" s="22" t="s">
        <v>107</v>
      </c>
      <c r="G36" s="22" t="s">
        <v>59</v>
      </c>
      <c r="H36" s="22" t="s">
        <v>96</v>
      </c>
      <c r="I36" s="22"/>
      <c r="J36" s="22" t="s">
        <v>61</v>
      </c>
      <c r="K36" s="22" t="s">
        <v>407</v>
      </c>
      <c r="L36" s="22" t="s">
        <v>62</v>
      </c>
      <c r="M36" s="22" t="s">
        <v>84</v>
      </c>
      <c r="N36" s="22" t="s">
        <v>408</v>
      </c>
      <c r="O36" s="22" t="s">
        <v>409</v>
      </c>
      <c r="P36" s="22" t="s">
        <v>410</v>
      </c>
      <c r="Q36" s="22"/>
      <c r="R36" s="22" t="s">
        <v>411</v>
      </c>
      <c r="S36" s="22" t="s">
        <v>61</v>
      </c>
      <c r="T36" s="22"/>
      <c r="U36" s="22" t="s">
        <v>412</v>
      </c>
      <c r="V36" s="22" t="s">
        <v>70</v>
      </c>
      <c r="W36" s="22" t="s">
        <v>71</v>
      </c>
      <c r="X36" s="25" t="n">
        <v>44136</v>
      </c>
      <c r="Y36" s="25" t="n">
        <v>46357</v>
      </c>
      <c r="Z36" s="22" t="s">
        <v>72</v>
      </c>
      <c r="AA36" s="22" t="s">
        <v>149</v>
      </c>
      <c r="AB36" s="22" t="s">
        <v>74</v>
      </c>
      <c r="AC36" s="22"/>
      <c r="AD36" s="22" t="n">
        <v>0</v>
      </c>
      <c r="AE36" s="22"/>
      <c r="AF36" s="22"/>
      <c r="AG36" s="22" t="s">
        <v>75</v>
      </c>
      <c r="AH36" s="22"/>
      <c r="AI36" s="22" t="n">
        <v>10</v>
      </c>
      <c r="AJ36" s="22" t="n">
        <v>30</v>
      </c>
      <c r="AK36" s="22" t="s">
        <v>76</v>
      </c>
      <c r="AL36" s="26" t="n">
        <v>32228</v>
      </c>
      <c r="AM36" s="26" t="n">
        <v>45000.5309093056</v>
      </c>
      <c r="AN36" s="25" t="n">
        <v>45000.533125</v>
      </c>
      <c r="AO36" s="22" t="n">
        <v>5</v>
      </c>
      <c r="AP36" s="22" t="n">
        <v>40</v>
      </c>
      <c r="AQ36" s="22" t="s">
        <v>1</v>
      </c>
      <c r="AR36" s="27" t="s">
        <v>391</v>
      </c>
      <c r="AS36" s="27" t="s">
        <v>206</v>
      </c>
      <c r="AT36" s="27" t="s">
        <v>116</v>
      </c>
      <c r="AU36" s="27" t="s">
        <v>152</v>
      </c>
      <c r="AV36" s="27"/>
      <c r="AW36" s="27"/>
      <c r="AX36" s="27"/>
      <c r="AY36" s="27"/>
    </row>
    <row r="37" customFormat="false" ht="15.75" hidden="false" customHeight="true" outlineLevel="0" collapsed="false">
      <c r="A37" s="22" t="n">
        <v>33</v>
      </c>
      <c r="B37" s="23" t="s">
        <v>413</v>
      </c>
      <c r="C37" s="22" t="s">
        <v>414</v>
      </c>
      <c r="D37" s="22" t="s">
        <v>415</v>
      </c>
      <c r="E37" s="22" t="s">
        <v>81</v>
      </c>
      <c r="F37" s="22" t="s">
        <v>107</v>
      </c>
      <c r="G37" s="22" t="s">
        <v>59</v>
      </c>
      <c r="H37" s="22" t="s">
        <v>156</v>
      </c>
      <c r="I37" s="22"/>
      <c r="J37" s="22" t="s">
        <v>61</v>
      </c>
      <c r="K37" s="22" t="s">
        <v>416</v>
      </c>
      <c r="L37" s="22" t="s">
        <v>62</v>
      </c>
      <c r="M37" s="22" t="s">
        <v>63</v>
      </c>
      <c r="N37" s="22" t="s">
        <v>417</v>
      </c>
      <c r="O37" s="22" t="s">
        <v>418</v>
      </c>
      <c r="P37" s="22" t="s">
        <v>419</v>
      </c>
      <c r="Q37" s="22"/>
      <c r="R37" s="22" t="s">
        <v>420</v>
      </c>
      <c r="S37" s="22" t="s">
        <v>61</v>
      </c>
      <c r="T37" s="22"/>
      <c r="U37" s="22" t="s">
        <v>421</v>
      </c>
      <c r="V37" s="22" t="s">
        <v>70</v>
      </c>
      <c r="W37" s="22" t="s">
        <v>71</v>
      </c>
      <c r="X37" s="25" t="n">
        <v>44409</v>
      </c>
      <c r="Y37" s="25" t="n">
        <v>45992</v>
      </c>
      <c r="Z37" s="22" t="s">
        <v>72</v>
      </c>
      <c r="AA37" s="22" t="s">
        <v>91</v>
      </c>
      <c r="AB37" s="22" t="s">
        <v>74</v>
      </c>
      <c r="AC37" s="22"/>
      <c r="AD37" s="22" t="n">
        <v>0</v>
      </c>
      <c r="AE37" s="22"/>
      <c r="AF37" s="22"/>
      <c r="AG37" s="22" t="s">
        <v>75</v>
      </c>
      <c r="AH37" s="22"/>
      <c r="AI37" s="22" t="n">
        <v>10</v>
      </c>
      <c r="AJ37" s="22" t="n">
        <v>30</v>
      </c>
      <c r="AK37" s="22" t="s">
        <v>61</v>
      </c>
      <c r="AL37" s="26" t="n">
        <v>32308</v>
      </c>
      <c r="AM37" s="26" t="n">
        <v>45009.4094557986</v>
      </c>
      <c r="AN37" s="25" t="n">
        <v>45009.4104976852</v>
      </c>
      <c r="AO37" s="22" t="n">
        <v>5</v>
      </c>
      <c r="AP37" s="22" t="n">
        <v>40</v>
      </c>
      <c r="AQ37" s="22" t="s">
        <v>0</v>
      </c>
      <c r="AR37" s="23" t="s">
        <v>391</v>
      </c>
      <c r="AS37" s="23" t="s">
        <v>78</v>
      </c>
      <c r="AT37" s="23" t="s">
        <v>422</v>
      </c>
      <c r="AU37" s="23"/>
      <c r="AV37" s="23"/>
      <c r="AW37" s="23"/>
      <c r="AX37" s="23"/>
      <c r="AY37" s="23"/>
    </row>
    <row r="38" customFormat="false" ht="15.75" hidden="false" customHeight="true" outlineLevel="0" collapsed="false">
      <c r="A38" s="22" t="n">
        <v>34</v>
      </c>
      <c r="B38" s="23" t="s">
        <v>423</v>
      </c>
      <c r="C38" s="22" t="s">
        <v>424</v>
      </c>
      <c r="D38" s="22" t="s">
        <v>425</v>
      </c>
      <c r="E38" s="22" t="s">
        <v>81</v>
      </c>
      <c r="F38" s="22" t="s">
        <v>82</v>
      </c>
      <c r="G38" s="22" t="s">
        <v>59</v>
      </c>
      <c r="H38" s="22" t="s">
        <v>327</v>
      </c>
      <c r="I38" s="22"/>
      <c r="J38" s="22" t="s">
        <v>61</v>
      </c>
      <c r="K38" s="22" t="s">
        <v>426</v>
      </c>
      <c r="L38" s="22" t="s">
        <v>62</v>
      </c>
      <c r="M38" s="22" t="s">
        <v>365</v>
      </c>
      <c r="N38" s="22" t="s">
        <v>427</v>
      </c>
      <c r="O38" s="22" t="s">
        <v>428</v>
      </c>
      <c r="P38" s="22" t="s">
        <v>429</v>
      </c>
      <c r="Q38" s="22" t="s">
        <v>430</v>
      </c>
      <c r="R38" s="22" t="s">
        <v>431</v>
      </c>
      <c r="S38" s="22" t="s">
        <v>61</v>
      </c>
      <c r="T38" s="22"/>
      <c r="U38" s="22" t="s">
        <v>432</v>
      </c>
      <c r="V38" s="22" t="s">
        <v>70</v>
      </c>
      <c r="W38" s="22" t="s">
        <v>71</v>
      </c>
      <c r="X38" s="25" t="n">
        <v>39965</v>
      </c>
      <c r="Y38" s="25" t="n">
        <v>45444</v>
      </c>
      <c r="Z38" s="22" t="s">
        <v>72</v>
      </c>
      <c r="AA38" s="22" t="s">
        <v>149</v>
      </c>
      <c r="AB38" s="22" t="s">
        <v>74</v>
      </c>
      <c r="AC38" s="22"/>
      <c r="AD38" s="22" t="n">
        <v>0</v>
      </c>
      <c r="AE38" s="22"/>
      <c r="AF38" s="22"/>
      <c r="AG38" s="22" t="s">
        <v>75</v>
      </c>
      <c r="AH38" s="22"/>
      <c r="AI38" s="22" t="n">
        <v>10</v>
      </c>
      <c r="AJ38" s="22" t="n">
        <v>30</v>
      </c>
      <c r="AK38" s="22" t="s">
        <v>61</v>
      </c>
      <c r="AL38" s="26" t="n">
        <v>32322</v>
      </c>
      <c r="AM38" s="26" t="n">
        <v>45000.7090246991</v>
      </c>
      <c r="AN38" s="25" t="n">
        <v>45008.6459837963</v>
      </c>
      <c r="AO38" s="22" t="n">
        <v>8</v>
      </c>
      <c r="AP38" s="22" t="n">
        <v>40</v>
      </c>
      <c r="AQ38" s="22" t="s">
        <v>0</v>
      </c>
      <c r="AR38" s="27" t="s">
        <v>391</v>
      </c>
      <c r="AS38" s="23" t="s">
        <v>78</v>
      </c>
      <c r="AT38" s="27"/>
      <c r="AU38" s="27"/>
      <c r="AV38" s="27"/>
      <c r="AW38" s="27"/>
      <c r="AX38" s="27"/>
      <c r="AY38" s="27"/>
    </row>
    <row r="39" customFormat="false" ht="15.75" hidden="false" customHeight="true" outlineLevel="0" collapsed="false">
      <c r="A39" s="22" t="n">
        <v>35</v>
      </c>
      <c r="B39" s="23" t="s">
        <v>433</v>
      </c>
      <c r="C39" s="22" t="s">
        <v>434</v>
      </c>
      <c r="D39" s="22" t="s">
        <v>435</v>
      </c>
      <c r="E39" s="22" t="s">
        <v>57</v>
      </c>
      <c r="F39" s="22" t="s">
        <v>82</v>
      </c>
      <c r="G39" s="22" t="s">
        <v>59</v>
      </c>
      <c r="H39" s="22" t="s">
        <v>327</v>
      </c>
      <c r="I39" s="22"/>
      <c r="J39" s="22" t="s">
        <v>61</v>
      </c>
      <c r="K39" s="22" t="s">
        <v>436</v>
      </c>
      <c r="L39" s="22" t="s">
        <v>62</v>
      </c>
      <c r="M39" s="22" t="s">
        <v>84</v>
      </c>
      <c r="N39" s="22" t="s">
        <v>437</v>
      </c>
      <c r="O39" s="22" t="s">
        <v>438</v>
      </c>
      <c r="P39" s="22" t="s">
        <v>439</v>
      </c>
      <c r="Q39" s="22"/>
      <c r="R39" s="22" t="s">
        <v>440</v>
      </c>
      <c r="S39" s="22" t="s">
        <v>61</v>
      </c>
      <c r="T39" s="22"/>
      <c r="U39" s="22" t="s">
        <v>441</v>
      </c>
      <c r="V39" s="22" t="s">
        <v>70</v>
      </c>
      <c r="W39" s="22" t="s">
        <v>71</v>
      </c>
      <c r="X39" s="25" t="n">
        <v>44562</v>
      </c>
      <c r="Y39" s="25" t="n">
        <v>46357</v>
      </c>
      <c r="Z39" s="22" t="s">
        <v>72</v>
      </c>
      <c r="AA39" s="22" t="s">
        <v>91</v>
      </c>
      <c r="AB39" s="22" t="s">
        <v>74</v>
      </c>
      <c r="AC39" s="22"/>
      <c r="AD39" s="22" t="n">
        <v>0</v>
      </c>
      <c r="AE39" s="22"/>
      <c r="AF39" s="22"/>
      <c r="AG39" s="22" t="s">
        <v>75</v>
      </c>
      <c r="AH39" s="22"/>
      <c r="AI39" s="22" t="n">
        <v>10</v>
      </c>
      <c r="AJ39" s="22" t="n">
        <v>30</v>
      </c>
      <c r="AK39" s="22" t="s">
        <v>76</v>
      </c>
      <c r="AL39" s="26" t="n">
        <v>32332</v>
      </c>
      <c r="AM39" s="26" t="n">
        <v>45001.0416213194</v>
      </c>
      <c r="AN39" s="25" t="n">
        <v>45001.0472222222</v>
      </c>
      <c r="AO39" s="22" t="n">
        <v>5</v>
      </c>
      <c r="AP39" s="22" t="n">
        <v>40</v>
      </c>
      <c r="AQ39" s="22" t="s">
        <v>1</v>
      </c>
      <c r="AR39" s="27" t="s">
        <v>442</v>
      </c>
      <c r="AS39" s="27" t="s">
        <v>443</v>
      </c>
      <c r="AT39" s="27" t="s">
        <v>116</v>
      </c>
      <c r="AU39" s="27" t="s">
        <v>220</v>
      </c>
      <c r="AV39" s="27"/>
      <c r="AW39" s="27"/>
      <c r="AX39" s="27"/>
      <c r="AY39" s="27"/>
    </row>
    <row r="40" customFormat="false" ht="15.75" hidden="false" customHeight="true" outlineLevel="0" collapsed="false">
      <c r="A40" s="22" t="n">
        <v>36</v>
      </c>
      <c r="B40" s="23" t="s">
        <v>444</v>
      </c>
      <c r="C40" s="22" t="s">
        <v>445</v>
      </c>
      <c r="D40" s="22" t="s">
        <v>446</v>
      </c>
      <c r="E40" s="22" t="s">
        <v>81</v>
      </c>
      <c r="F40" s="22" t="s">
        <v>82</v>
      </c>
      <c r="G40" s="22" t="s">
        <v>59</v>
      </c>
      <c r="H40" s="22" t="s">
        <v>60</v>
      </c>
      <c r="I40" s="22"/>
      <c r="J40" s="22" t="s">
        <v>61</v>
      </c>
      <c r="K40" s="22" t="s">
        <v>447</v>
      </c>
      <c r="L40" s="22" t="s">
        <v>62</v>
      </c>
      <c r="M40" s="22" t="s">
        <v>84</v>
      </c>
      <c r="N40" s="22" t="s">
        <v>448</v>
      </c>
      <c r="O40" s="22" t="s">
        <v>449</v>
      </c>
      <c r="P40" s="22" t="s">
        <v>450</v>
      </c>
      <c r="Q40" s="22"/>
      <c r="R40" s="22" t="s">
        <v>451</v>
      </c>
      <c r="S40" s="22" t="s">
        <v>61</v>
      </c>
      <c r="T40" s="22"/>
      <c r="U40" s="22" t="s">
        <v>452</v>
      </c>
      <c r="V40" s="22" t="s">
        <v>70</v>
      </c>
      <c r="W40" s="22" t="s">
        <v>71</v>
      </c>
      <c r="X40" s="25" t="n">
        <v>43497</v>
      </c>
      <c r="Y40" s="25" t="n">
        <v>45323</v>
      </c>
      <c r="Z40" s="22" t="s">
        <v>72</v>
      </c>
      <c r="AA40" s="22" t="s">
        <v>91</v>
      </c>
      <c r="AB40" s="22" t="s">
        <v>74</v>
      </c>
      <c r="AC40" s="22"/>
      <c r="AD40" s="22" t="n">
        <v>0</v>
      </c>
      <c r="AE40" s="22"/>
      <c r="AF40" s="22"/>
      <c r="AG40" s="22" t="s">
        <v>75</v>
      </c>
      <c r="AH40" s="22"/>
      <c r="AI40" s="22" t="n">
        <v>10</v>
      </c>
      <c r="AJ40" s="22" t="n">
        <v>30</v>
      </c>
      <c r="AK40" s="22" t="s">
        <v>76</v>
      </c>
      <c r="AL40" s="26" t="n">
        <v>32390</v>
      </c>
      <c r="AM40" s="26" t="n">
        <v>45000.430827581</v>
      </c>
      <c r="AN40" s="25" t="n">
        <v>45000.4369907407</v>
      </c>
      <c r="AO40" s="22" t="n">
        <v>7</v>
      </c>
      <c r="AP40" s="22" t="n">
        <v>40</v>
      </c>
      <c r="AQ40" s="22" t="s">
        <v>0</v>
      </c>
      <c r="AR40" s="23" t="s">
        <v>391</v>
      </c>
      <c r="AS40" s="23" t="s">
        <v>78</v>
      </c>
      <c r="AT40" s="23"/>
      <c r="AU40" s="23"/>
      <c r="AV40" s="23"/>
      <c r="AW40" s="23"/>
      <c r="AX40" s="23"/>
      <c r="AY40" s="23"/>
    </row>
    <row r="41" customFormat="false" ht="15.75" hidden="false" customHeight="true" outlineLevel="0" collapsed="false">
      <c r="A41" s="22" t="n">
        <v>37</v>
      </c>
      <c r="B41" s="23" t="s">
        <v>453</v>
      </c>
      <c r="C41" s="22"/>
      <c r="D41" s="22" t="s">
        <v>454</v>
      </c>
      <c r="E41" s="22" t="s">
        <v>57</v>
      </c>
      <c r="F41" s="22" t="s">
        <v>82</v>
      </c>
      <c r="G41" s="22" t="s">
        <v>59</v>
      </c>
      <c r="H41" s="22" t="s">
        <v>60</v>
      </c>
      <c r="I41" s="22"/>
      <c r="J41" s="22" t="s">
        <v>61</v>
      </c>
      <c r="K41" s="22" t="s">
        <v>455</v>
      </c>
      <c r="L41" s="22" t="s">
        <v>62</v>
      </c>
      <c r="M41" s="22" t="s">
        <v>365</v>
      </c>
      <c r="N41" s="22" t="s">
        <v>456</v>
      </c>
      <c r="O41" s="22" t="s">
        <v>457</v>
      </c>
      <c r="P41" s="22" t="s">
        <v>458</v>
      </c>
      <c r="Q41" s="22"/>
      <c r="R41" s="22" t="s">
        <v>459</v>
      </c>
      <c r="S41" s="22" t="s">
        <v>61</v>
      </c>
      <c r="T41" s="22"/>
      <c r="U41" s="22" t="s">
        <v>460</v>
      </c>
      <c r="V41" s="22" t="s">
        <v>70</v>
      </c>
      <c r="W41" s="22" t="s">
        <v>71</v>
      </c>
      <c r="X41" s="25" t="n">
        <v>43831</v>
      </c>
      <c r="Y41" s="25" t="n">
        <v>45627</v>
      </c>
      <c r="Z41" s="22" t="s">
        <v>72</v>
      </c>
      <c r="AA41" s="22" t="s">
        <v>91</v>
      </c>
      <c r="AB41" s="22" t="s">
        <v>74</v>
      </c>
      <c r="AC41" s="22"/>
      <c r="AD41" s="22" t="n">
        <v>0</v>
      </c>
      <c r="AE41" s="22"/>
      <c r="AF41" s="22"/>
      <c r="AG41" s="22" t="s">
        <v>75</v>
      </c>
      <c r="AH41" s="22"/>
      <c r="AI41" s="22" t="n">
        <v>10</v>
      </c>
      <c r="AJ41" s="22" t="n">
        <v>30</v>
      </c>
      <c r="AK41" s="22" t="s">
        <v>61</v>
      </c>
      <c r="AL41" s="26" t="n">
        <v>32479</v>
      </c>
      <c r="AM41" s="26" t="n">
        <v>45001.6296206829</v>
      </c>
      <c r="AN41" s="25" t="n">
        <v>45006.6203703704</v>
      </c>
      <c r="AO41" s="22" t="n">
        <v>7</v>
      </c>
      <c r="AP41" s="22" t="n">
        <v>40</v>
      </c>
      <c r="AQ41" s="22" t="s">
        <v>0</v>
      </c>
      <c r="AR41" s="23" t="s">
        <v>391</v>
      </c>
      <c r="AS41" s="23" t="s">
        <v>78</v>
      </c>
      <c r="AT41" s="23"/>
      <c r="AU41" s="23"/>
      <c r="AV41" s="23"/>
      <c r="AW41" s="23"/>
      <c r="AX41" s="23"/>
      <c r="AY41" s="23"/>
    </row>
    <row r="42" customFormat="false" ht="15.75" hidden="false" customHeight="true" outlineLevel="0" collapsed="false">
      <c r="A42" s="22" t="n">
        <v>38</v>
      </c>
      <c r="B42" s="23" t="s">
        <v>461</v>
      </c>
      <c r="C42" s="22"/>
      <c r="D42" s="22" t="s">
        <v>462</v>
      </c>
      <c r="E42" s="22" t="s">
        <v>57</v>
      </c>
      <c r="F42" s="22" t="s">
        <v>107</v>
      </c>
      <c r="G42" s="22" t="s">
        <v>59</v>
      </c>
      <c r="H42" s="22" t="s">
        <v>96</v>
      </c>
      <c r="I42" s="22"/>
      <c r="J42" s="22" t="s">
        <v>61</v>
      </c>
      <c r="K42" s="22" t="s">
        <v>463</v>
      </c>
      <c r="L42" s="22" t="s">
        <v>62</v>
      </c>
      <c r="M42" s="22" t="s">
        <v>84</v>
      </c>
      <c r="N42" s="22" t="s">
        <v>464</v>
      </c>
      <c r="O42" s="22" t="s">
        <v>465</v>
      </c>
      <c r="P42" s="22" t="s">
        <v>466</v>
      </c>
      <c r="Q42" s="22" t="s">
        <v>467</v>
      </c>
      <c r="R42" s="22" t="s">
        <v>468</v>
      </c>
      <c r="S42" s="22" t="s">
        <v>61</v>
      </c>
      <c r="T42" s="22"/>
      <c r="U42" s="22" t="s">
        <v>469</v>
      </c>
      <c r="V42" s="22" t="s">
        <v>70</v>
      </c>
      <c r="W42" s="22" t="s">
        <v>71</v>
      </c>
      <c r="X42" s="25" t="n">
        <v>43466</v>
      </c>
      <c r="Y42" s="25" t="n">
        <v>45627</v>
      </c>
      <c r="Z42" s="22" t="s">
        <v>72</v>
      </c>
      <c r="AA42" s="22" t="s">
        <v>91</v>
      </c>
      <c r="AB42" s="22" t="s">
        <v>74</v>
      </c>
      <c r="AC42" s="22"/>
      <c r="AD42" s="22" t="n">
        <v>0</v>
      </c>
      <c r="AE42" s="22"/>
      <c r="AF42" s="22"/>
      <c r="AG42" s="22" t="s">
        <v>75</v>
      </c>
      <c r="AH42" s="22"/>
      <c r="AI42" s="22" t="n">
        <v>10</v>
      </c>
      <c r="AJ42" s="22" t="n">
        <v>30</v>
      </c>
      <c r="AK42" s="22" t="s">
        <v>76</v>
      </c>
      <c r="AL42" s="26" t="n">
        <v>32643</v>
      </c>
      <c r="AM42" s="26" t="n">
        <v>45000.55012125</v>
      </c>
      <c r="AN42" s="25" t="n">
        <v>45005.550775463</v>
      </c>
      <c r="AO42" s="22" t="n">
        <v>7</v>
      </c>
      <c r="AP42" s="22" t="n">
        <v>40</v>
      </c>
      <c r="AQ42" s="22" t="s">
        <v>0</v>
      </c>
      <c r="AR42" s="29" t="s">
        <v>391</v>
      </c>
      <c r="AS42" s="27" t="s">
        <v>206</v>
      </c>
      <c r="AT42" s="29" t="s">
        <v>470</v>
      </c>
      <c r="AU42" s="27" t="s">
        <v>78</v>
      </c>
      <c r="AV42" s="30"/>
      <c r="AW42" s="30"/>
      <c r="AX42" s="30"/>
      <c r="AY42" s="30"/>
    </row>
    <row r="43" customFormat="false" ht="15.75" hidden="false" customHeight="true" outlineLevel="0" collapsed="false">
      <c r="A43" s="22" t="n">
        <v>39</v>
      </c>
      <c r="B43" s="23" t="s">
        <v>471</v>
      </c>
      <c r="C43" s="22" t="s">
        <v>472</v>
      </c>
      <c r="D43" s="22" t="s">
        <v>473</v>
      </c>
      <c r="E43" s="22" t="s">
        <v>81</v>
      </c>
      <c r="F43" s="22" t="s">
        <v>95</v>
      </c>
      <c r="G43" s="22" t="s">
        <v>59</v>
      </c>
      <c r="H43" s="22" t="s">
        <v>156</v>
      </c>
      <c r="I43" s="22"/>
      <c r="J43" s="22" t="s">
        <v>61</v>
      </c>
      <c r="K43" s="22" t="s">
        <v>474</v>
      </c>
      <c r="L43" s="22" t="s">
        <v>62</v>
      </c>
      <c r="M43" s="22" t="s">
        <v>84</v>
      </c>
      <c r="N43" s="22" t="s">
        <v>475</v>
      </c>
      <c r="O43" s="22" t="s">
        <v>476</v>
      </c>
      <c r="P43" s="22" t="s">
        <v>477</v>
      </c>
      <c r="Q43" s="22"/>
      <c r="R43" s="22" t="s">
        <v>478</v>
      </c>
      <c r="S43" s="22" t="s">
        <v>61</v>
      </c>
      <c r="T43" s="22"/>
      <c r="U43" s="22" t="s">
        <v>479</v>
      </c>
      <c r="V43" s="22" t="s">
        <v>70</v>
      </c>
      <c r="W43" s="22" t="s">
        <v>71</v>
      </c>
      <c r="X43" s="25" t="n">
        <v>43313</v>
      </c>
      <c r="Y43" s="25" t="n">
        <v>45078</v>
      </c>
      <c r="Z43" s="22" t="s">
        <v>72</v>
      </c>
      <c r="AA43" s="22" t="s">
        <v>91</v>
      </c>
      <c r="AB43" s="22" t="s">
        <v>74</v>
      </c>
      <c r="AC43" s="22"/>
      <c r="AD43" s="22" t="n">
        <v>0</v>
      </c>
      <c r="AE43" s="22"/>
      <c r="AF43" s="22"/>
      <c r="AG43" s="22" t="s">
        <v>75</v>
      </c>
      <c r="AH43" s="22"/>
      <c r="AI43" s="22" t="n">
        <v>10</v>
      </c>
      <c r="AJ43" s="22" t="n">
        <v>30</v>
      </c>
      <c r="AK43" s="22" t="s">
        <v>61</v>
      </c>
      <c r="AL43" s="26" t="n">
        <v>32695</v>
      </c>
      <c r="AM43" s="26" t="n">
        <v>45000.4700615278</v>
      </c>
      <c r="AN43" s="25" t="n">
        <v>45000.4713425926</v>
      </c>
      <c r="AO43" s="22" t="n">
        <v>9</v>
      </c>
      <c r="AP43" s="22" t="n">
        <v>40</v>
      </c>
      <c r="AQ43" s="22" t="s">
        <v>1</v>
      </c>
      <c r="AR43" s="27" t="s">
        <v>391</v>
      </c>
      <c r="AS43" s="27" t="s">
        <v>206</v>
      </c>
      <c r="AT43" s="27" t="s">
        <v>480</v>
      </c>
      <c r="AU43" s="27" t="s">
        <v>481</v>
      </c>
      <c r="AV43" s="27"/>
      <c r="AW43" s="27"/>
      <c r="AX43" s="27"/>
      <c r="AY43" s="27"/>
    </row>
    <row r="44" customFormat="false" ht="15" hidden="false" customHeight="true" outlineLevel="0" collapsed="false">
      <c r="A44" s="22" t="n">
        <v>40</v>
      </c>
      <c r="B44" s="23" t="s">
        <v>482</v>
      </c>
      <c r="C44" s="22" t="s">
        <v>483</v>
      </c>
      <c r="D44" s="22" t="s">
        <v>484</v>
      </c>
      <c r="E44" s="22" t="s">
        <v>57</v>
      </c>
      <c r="F44" s="22" t="s">
        <v>107</v>
      </c>
      <c r="G44" s="22" t="s">
        <v>59</v>
      </c>
      <c r="H44" s="22" t="s">
        <v>60</v>
      </c>
      <c r="I44" s="22"/>
      <c r="J44" s="22" t="s">
        <v>61</v>
      </c>
      <c r="K44" s="22" t="s">
        <v>485</v>
      </c>
      <c r="L44" s="22" t="s">
        <v>62</v>
      </c>
      <c r="M44" s="22" t="s">
        <v>63</v>
      </c>
      <c r="N44" s="22" t="s">
        <v>486</v>
      </c>
      <c r="O44" s="22" t="s">
        <v>487</v>
      </c>
      <c r="P44" s="22" t="s">
        <v>488</v>
      </c>
      <c r="Q44" s="22" t="s">
        <v>489</v>
      </c>
      <c r="R44" s="22" t="s">
        <v>490</v>
      </c>
      <c r="S44" s="22" t="s">
        <v>61</v>
      </c>
      <c r="T44" s="22"/>
      <c r="U44" s="22" t="s">
        <v>491</v>
      </c>
      <c r="V44" s="22" t="s">
        <v>70</v>
      </c>
      <c r="W44" s="22" t="s">
        <v>71</v>
      </c>
      <c r="X44" s="25" t="n">
        <v>43313</v>
      </c>
      <c r="Y44" s="25" t="n">
        <v>45809</v>
      </c>
      <c r="Z44" s="22" t="s">
        <v>72</v>
      </c>
      <c r="AA44" s="22" t="s">
        <v>74</v>
      </c>
      <c r="AB44" s="22" t="s">
        <v>74</v>
      </c>
      <c r="AC44" s="22"/>
      <c r="AD44" s="22" t="n">
        <v>0</v>
      </c>
      <c r="AE44" s="22"/>
      <c r="AF44" s="22"/>
      <c r="AG44" s="22" t="s">
        <v>75</v>
      </c>
      <c r="AH44" s="22"/>
      <c r="AI44" s="22" t="n">
        <v>10</v>
      </c>
      <c r="AJ44" s="22" t="n">
        <v>30</v>
      </c>
      <c r="AK44" s="22" t="s">
        <v>61</v>
      </c>
      <c r="AL44" s="26" t="n">
        <v>32759</v>
      </c>
      <c r="AM44" s="26" t="n">
        <v>45000.4902609259</v>
      </c>
      <c r="AN44" s="25" t="n">
        <v>45000.4921643519</v>
      </c>
      <c r="AO44" s="22" t="n">
        <v>6</v>
      </c>
      <c r="AP44" s="22" t="n">
        <v>40</v>
      </c>
      <c r="AQ44" s="22" t="s">
        <v>0</v>
      </c>
      <c r="AR44" s="27" t="s">
        <v>492</v>
      </c>
      <c r="AS44" s="27" t="s">
        <v>78</v>
      </c>
      <c r="AT44" s="27" t="s">
        <v>116</v>
      </c>
      <c r="AU44" s="27" t="s">
        <v>78</v>
      </c>
      <c r="AV44" s="27"/>
      <c r="AW44" s="27"/>
      <c r="AX44" s="27"/>
      <c r="AY44" s="27"/>
    </row>
    <row r="45" customFormat="false" ht="15.75" hidden="false" customHeight="true" outlineLevel="0" collapsed="false">
      <c r="A45" s="22" t="n">
        <v>41</v>
      </c>
      <c r="B45" s="23" t="s">
        <v>493</v>
      </c>
      <c r="C45" s="22" t="s">
        <v>494</v>
      </c>
      <c r="D45" s="22" t="s">
        <v>495</v>
      </c>
      <c r="E45" s="22" t="s">
        <v>57</v>
      </c>
      <c r="F45" s="22" t="s">
        <v>107</v>
      </c>
      <c r="G45" s="22" t="s">
        <v>59</v>
      </c>
      <c r="H45" s="22" t="s">
        <v>96</v>
      </c>
      <c r="I45" s="22"/>
      <c r="J45" s="22" t="s">
        <v>61</v>
      </c>
      <c r="K45" s="22" t="s">
        <v>496</v>
      </c>
      <c r="L45" s="22" t="s">
        <v>62</v>
      </c>
      <c r="M45" s="22" t="s">
        <v>84</v>
      </c>
      <c r="N45" s="22" t="s">
        <v>497</v>
      </c>
      <c r="O45" s="22" t="s">
        <v>498</v>
      </c>
      <c r="P45" s="22" t="s">
        <v>499</v>
      </c>
      <c r="Q45" s="22" t="s">
        <v>500</v>
      </c>
      <c r="R45" s="22" t="s">
        <v>501</v>
      </c>
      <c r="S45" s="22" t="s">
        <v>61</v>
      </c>
      <c r="T45" s="22"/>
      <c r="U45" s="22" t="s">
        <v>502</v>
      </c>
      <c r="V45" s="22" t="s">
        <v>70</v>
      </c>
      <c r="W45" s="22" t="s">
        <v>71</v>
      </c>
      <c r="X45" s="25" t="n">
        <v>43862</v>
      </c>
      <c r="Y45" s="25" t="n">
        <v>45627</v>
      </c>
      <c r="Z45" s="22" t="s">
        <v>72</v>
      </c>
      <c r="AA45" s="22" t="s">
        <v>91</v>
      </c>
      <c r="AB45" s="22" t="s">
        <v>74</v>
      </c>
      <c r="AC45" s="22"/>
      <c r="AD45" s="22" t="n">
        <v>0</v>
      </c>
      <c r="AE45" s="22"/>
      <c r="AF45" s="22"/>
      <c r="AG45" s="22" t="s">
        <v>75</v>
      </c>
      <c r="AH45" s="22"/>
      <c r="AI45" s="22" t="n">
        <v>10</v>
      </c>
      <c r="AJ45" s="22" t="n">
        <v>30</v>
      </c>
      <c r="AK45" s="22" t="s">
        <v>76</v>
      </c>
      <c r="AL45" s="26" t="n">
        <v>32859</v>
      </c>
      <c r="AM45" s="26" t="n">
        <v>45000.9704563079</v>
      </c>
      <c r="AN45" s="25" t="n">
        <v>45006.010474537</v>
      </c>
      <c r="AO45" s="22" t="n">
        <v>7</v>
      </c>
      <c r="AP45" s="22" t="n">
        <v>40</v>
      </c>
      <c r="AQ45" s="22" t="s">
        <v>0</v>
      </c>
      <c r="AR45" s="27" t="s">
        <v>492</v>
      </c>
      <c r="AS45" s="23" t="s">
        <v>78</v>
      </c>
      <c r="AT45" s="27"/>
      <c r="AU45" s="27"/>
      <c r="AV45" s="27"/>
      <c r="AW45" s="27"/>
      <c r="AX45" s="27"/>
      <c r="AY45" s="27"/>
    </row>
    <row r="46" customFormat="false" ht="15.75" hidden="false" customHeight="true" outlineLevel="0" collapsed="false">
      <c r="A46" s="22" t="n">
        <v>42</v>
      </c>
      <c r="B46" s="23" t="s">
        <v>503</v>
      </c>
      <c r="C46" s="22" t="s">
        <v>504</v>
      </c>
      <c r="D46" s="22" t="s">
        <v>505</v>
      </c>
      <c r="E46" s="22" t="s">
        <v>57</v>
      </c>
      <c r="F46" s="22" t="s">
        <v>82</v>
      </c>
      <c r="G46" s="22" t="s">
        <v>59</v>
      </c>
      <c r="H46" s="22" t="s">
        <v>96</v>
      </c>
      <c r="I46" s="22"/>
      <c r="J46" s="22" t="s">
        <v>61</v>
      </c>
      <c r="K46" s="22" t="s">
        <v>506</v>
      </c>
      <c r="L46" s="22" t="s">
        <v>62</v>
      </c>
      <c r="M46" s="22" t="s">
        <v>507</v>
      </c>
      <c r="N46" s="22" t="s">
        <v>508</v>
      </c>
      <c r="O46" s="22" t="s">
        <v>509</v>
      </c>
      <c r="P46" s="22" t="s">
        <v>510</v>
      </c>
      <c r="Q46" s="22" t="s">
        <v>511</v>
      </c>
      <c r="R46" s="22" t="s">
        <v>512</v>
      </c>
      <c r="S46" s="22" t="s">
        <v>61</v>
      </c>
      <c r="T46" s="22"/>
      <c r="U46" s="22" t="s">
        <v>513</v>
      </c>
      <c r="V46" s="22" t="s">
        <v>70</v>
      </c>
      <c r="W46" s="22" t="s">
        <v>71</v>
      </c>
      <c r="X46" s="25" t="n">
        <v>43831</v>
      </c>
      <c r="Y46" s="25" t="n">
        <v>45627</v>
      </c>
      <c r="Z46" s="22" t="s">
        <v>72</v>
      </c>
      <c r="AA46" s="22" t="s">
        <v>149</v>
      </c>
      <c r="AB46" s="22" t="s">
        <v>74</v>
      </c>
      <c r="AC46" s="22"/>
      <c r="AD46" s="22" t="n">
        <v>0</v>
      </c>
      <c r="AE46" s="22"/>
      <c r="AF46" s="22"/>
      <c r="AG46" s="22" t="s">
        <v>75</v>
      </c>
      <c r="AH46" s="22"/>
      <c r="AI46" s="22" t="n">
        <v>10</v>
      </c>
      <c r="AJ46" s="22" t="n">
        <v>30</v>
      </c>
      <c r="AK46" s="22" t="s">
        <v>61</v>
      </c>
      <c r="AL46" s="26" t="n">
        <v>33060</v>
      </c>
      <c r="AM46" s="26" t="n">
        <v>45000.6096199884</v>
      </c>
      <c r="AN46" s="25" t="n">
        <v>45000.6137152778</v>
      </c>
      <c r="AO46" s="22" t="n">
        <v>7</v>
      </c>
      <c r="AP46" s="22" t="n">
        <v>40</v>
      </c>
      <c r="AQ46" s="22" t="s">
        <v>1</v>
      </c>
      <c r="AR46" s="27" t="s">
        <v>492</v>
      </c>
      <c r="AS46" s="27" t="s">
        <v>206</v>
      </c>
      <c r="AT46" s="27" t="s">
        <v>116</v>
      </c>
      <c r="AU46" s="27" t="s">
        <v>152</v>
      </c>
      <c r="AV46" s="27"/>
      <c r="AW46" s="27"/>
      <c r="AX46" s="27"/>
      <c r="AY46" s="27"/>
    </row>
    <row r="47" customFormat="false" ht="15.75" hidden="false" customHeight="true" outlineLevel="0" collapsed="false">
      <c r="A47" s="22" t="n">
        <v>43</v>
      </c>
      <c r="B47" s="23" t="s">
        <v>514</v>
      </c>
      <c r="C47" s="22" t="s">
        <v>515</v>
      </c>
      <c r="D47" s="22" t="s">
        <v>516</v>
      </c>
      <c r="E47" s="22" t="s">
        <v>81</v>
      </c>
      <c r="F47" s="22" t="s">
        <v>107</v>
      </c>
      <c r="G47" s="22" t="s">
        <v>59</v>
      </c>
      <c r="H47" s="22" t="s">
        <v>96</v>
      </c>
      <c r="I47" s="22"/>
      <c r="J47" s="22" t="s">
        <v>61</v>
      </c>
      <c r="K47" s="22" t="s">
        <v>517</v>
      </c>
      <c r="L47" s="22" t="s">
        <v>62</v>
      </c>
      <c r="M47" s="22" t="s">
        <v>63</v>
      </c>
      <c r="N47" s="22" t="s">
        <v>518</v>
      </c>
      <c r="O47" s="22" t="s">
        <v>519</v>
      </c>
      <c r="P47" s="22" t="s">
        <v>520</v>
      </c>
      <c r="Q47" s="22"/>
      <c r="R47" s="22" t="s">
        <v>521</v>
      </c>
      <c r="S47" s="22" t="s">
        <v>61</v>
      </c>
      <c r="T47" s="22"/>
      <c r="U47" s="22" t="s">
        <v>522</v>
      </c>
      <c r="V47" s="22" t="s">
        <v>70</v>
      </c>
      <c r="W47" s="22" t="s">
        <v>71</v>
      </c>
      <c r="X47" s="25" t="n">
        <v>44835</v>
      </c>
      <c r="Y47" s="25" t="n">
        <v>45383</v>
      </c>
      <c r="Z47" s="22" t="s">
        <v>72</v>
      </c>
      <c r="AA47" s="22" t="s">
        <v>91</v>
      </c>
      <c r="AB47" s="22" t="s">
        <v>74</v>
      </c>
      <c r="AC47" s="22"/>
      <c r="AD47" s="22" t="n">
        <v>0</v>
      </c>
      <c r="AE47" s="22"/>
      <c r="AF47" s="22"/>
      <c r="AG47" s="22" t="s">
        <v>75</v>
      </c>
      <c r="AH47" s="22"/>
      <c r="AI47" s="22" t="n">
        <v>10</v>
      </c>
      <c r="AJ47" s="22" t="n">
        <v>30</v>
      </c>
      <c r="AK47" s="22" t="s">
        <v>61</v>
      </c>
      <c r="AL47" s="26" t="n">
        <v>33159</v>
      </c>
      <c r="AM47" s="26" t="n">
        <v>45001.5927999769</v>
      </c>
      <c r="AN47" s="25" t="n">
        <v>45001.5974537037</v>
      </c>
      <c r="AO47" s="22" t="n">
        <v>6</v>
      </c>
      <c r="AP47" s="22" t="n">
        <v>40</v>
      </c>
      <c r="AQ47" s="22" t="s">
        <v>1</v>
      </c>
      <c r="AR47" s="27" t="s">
        <v>523</v>
      </c>
      <c r="AS47" s="27" t="s">
        <v>524</v>
      </c>
      <c r="AT47" s="27"/>
      <c r="AU47" s="27"/>
      <c r="AV47" s="27"/>
      <c r="AW47" s="27"/>
      <c r="AX47" s="27"/>
      <c r="AY47" s="27"/>
    </row>
    <row r="48" customFormat="false" ht="15.75" hidden="false" customHeight="true" outlineLevel="0" collapsed="false">
      <c r="A48" s="22" t="n">
        <v>44</v>
      </c>
      <c r="B48" s="23" t="s">
        <v>525</v>
      </c>
      <c r="C48" s="22" t="s">
        <v>526</v>
      </c>
      <c r="D48" s="22" t="s">
        <v>527</v>
      </c>
      <c r="E48" s="22" t="s">
        <v>81</v>
      </c>
      <c r="F48" s="22" t="s">
        <v>107</v>
      </c>
      <c r="G48" s="22" t="s">
        <v>59</v>
      </c>
      <c r="H48" s="22" t="s">
        <v>96</v>
      </c>
      <c r="I48" s="22"/>
      <c r="J48" s="22" t="s">
        <v>61</v>
      </c>
      <c r="K48" s="22" t="s">
        <v>528</v>
      </c>
      <c r="L48" s="22" t="s">
        <v>62</v>
      </c>
      <c r="M48" s="22" t="s">
        <v>84</v>
      </c>
      <c r="N48" s="22" t="s">
        <v>529</v>
      </c>
      <c r="O48" s="22" t="s">
        <v>530</v>
      </c>
      <c r="P48" s="22" t="s">
        <v>531</v>
      </c>
      <c r="Q48" s="22"/>
      <c r="R48" s="22" t="s">
        <v>532</v>
      </c>
      <c r="S48" s="22" t="s">
        <v>61</v>
      </c>
      <c r="T48" s="22"/>
      <c r="U48" s="22" t="s">
        <v>533</v>
      </c>
      <c r="V48" s="22" t="s">
        <v>70</v>
      </c>
      <c r="W48" s="22" t="s">
        <v>71</v>
      </c>
      <c r="X48" s="25" t="n">
        <v>43313</v>
      </c>
      <c r="Y48" s="25" t="n">
        <v>45839</v>
      </c>
      <c r="Z48" s="22" t="s">
        <v>72</v>
      </c>
      <c r="AA48" s="22" t="s">
        <v>149</v>
      </c>
      <c r="AB48" s="22" t="s">
        <v>74</v>
      </c>
      <c r="AC48" s="22"/>
      <c r="AD48" s="22" t="n">
        <v>0</v>
      </c>
      <c r="AE48" s="22"/>
      <c r="AF48" s="22"/>
      <c r="AG48" s="22" t="s">
        <v>75</v>
      </c>
      <c r="AH48" s="22"/>
      <c r="AI48" s="22" t="n">
        <v>10</v>
      </c>
      <c r="AJ48" s="22" t="n">
        <v>30</v>
      </c>
      <c r="AK48" s="22" t="s">
        <v>61</v>
      </c>
      <c r="AL48" s="26" t="n">
        <v>33222</v>
      </c>
      <c r="AM48" s="26" t="n">
        <v>45006.6284607755</v>
      </c>
      <c r="AN48" s="25" t="n">
        <v>45006.6300578704</v>
      </c>
      <c r="AO48" s="22" t="n">
        <v>5</v>
      </c>
      <c r="AP48" s="22" t="n">
        <v>40</v>
      </c>
      <c r="AQ48" s="22" t="s">
        <v>0</v>
      </c>
      <c r="AR48" s="23" t="s">
        <v>492</v>
      </c>
      <c r="AS48" s="23" t="s">
        <v>78</v>
      </c>
      <c r="AT48" s="23"/>
      <c r="AU48" s="23"/>
      <c r="AV48" s="23"/>
      <c r="AW48" s="23"/>
      <c r="AX48" s="23"/>
      <c r="AY48" s="23"/>
    </row>
    <row r="49" customFormat="false" ht="15.75" hidden="false" customHeight="true" outlineLevel="0" collapsed="false">
      <c r="A49" s="22" t="n">
        <v>45</v>
      </c>
      <c r="B49" s="23" t="s">
        <v>534</v>
      </c>
      <c r="C49" s="22" t="s">
        <v>535</v>
      </c>
      <c r="D49" s="22" t="s">
        <v>536</v>
      </c>
      <c r="E49" s="22" t="s">
        <v>81</v>
      </c>
      <c r="F49" s="22" t="s">
        <v>82</v>
      </c>
      <c r="G49" s="22" t="s">
        <v>59</v>
      </c>
      <c r="H49" s="22" t="s">
        <v>96</v>
      </c>
      <c r="I49" s="22"/>
      <c r="J49" s="22" t="s">
        <v>61</v>
      </c>
      <c r="K49" s="22" t="s">
        <v>537</v>
      </c>
      <c r="L49" s="22" t="s">
        <v>62</v>
      </c>
      <c r="M49" s="22" t="s">
        <v>84</v>
      </c>
      <c r="N49" s="22" t="s">
        <v>538</v>
      </c>
      <c r="O49" s="22" t="s">
        <v>539</v>
      </c>
      <c r="P49" s="22" t="s">
        <v>540</v>
      </c>
      <c r="Q49" s="22" t="s">
        <v>541</v>
      </c>
      <c r="R49" s="22" t="s">
        <v>542</v>
      </c>
      <c r="S49" s="22" t="s">
        <v>61</v>
      </c>
      <c r="T49" s="22"/>
      <c r="U49" s="22" t="s">
        <v>323</v>
      </c>
      <c r="V49" s="22" t="s">
        <v>70</v>
      </c>
      <c r="W49" s="22" t="s">
        <v>71</v>
      </c>
      <c r="X49" s="25" t="n">
        <v>44197</v>
      </c>
      <c r="Y49" s="25" t="n">
        <v>45992</v>
      </c>
      <c r="Z49" s="22" t="s">
        <v>72</v>
      </c>
      <c r="AA49" s="22" t="s">
        <v>91</v>
      </c>
      <c r="AB49" s="22" t="s">
        <v>74</v>
      </c>
      <c r="AC49" s="22"/>
      <c r="AD49" s="22" t="n">
        <v>0</v>
      </c>
      <c r="AE49" s="22"/>
      <c r="AF49" s="22"/>
      <c r="AG49" s="22" t="s">
        <v>75</v>
      </c>
      <c r="AH49" s="22"/>
      <c r="AI49" s="22" t="n">
        <v>10</v>
      </c>
      <c r="AJ49" s="22" t="n">
        <v>30</v>
      </c>
      <c r="AK49" s="22" t="s">
        <v>61</v>
      </c>
      <c r="AL49" s="26" t="n">
        <v>33264</v>
      </c>
      <c r="AM49" s="26" t="n">
        <v>45000.3838210764</v>
      </c>
      <c r="AN49" s="25" t="n">
        <v>45001.3859375</v>
      </c>
      <c r="AO49" s="22" t="n">
        <v>5</v>
      </c>
      <c r="AP49" s="22" t="n">
        <v>40</v>
      </c>
      <c r="AQ49" s="22" t="s">
        <v>1</v>
      </c>
      <c r="AR49" s="27" t="s">
        <v>492</v>
      </c>
      <c r="AS49" s="27" t="s">
        <v>273</v>
      </c>
      <c r="AT49" s="27"/>
      <c r="AU49" s="27"/>
      <c r="AV49" s="27"/>
      <c r="AW49" s="27"/>
      <c r="AX49" s="27"/>
      <c r="AY49" s="27"/>
    </row>
    <row r="50" customFormat="false" ht="15.75" hidden="false" customHeight="true" outlineLevel="0" collapsed="false">
      <c r="A50" s="22" t="n">
        <v>46</v>
      </c>
      <c r="B50" s="23" t="s">
        <v>543</v>
      </c>
      <c r="C50" s="22"/>
      <c r="D50" s="22" t="s">
        <v>544</v>
      </c>
      <c r="E50" s="22" t="s">
        <v>57</v>
      </c>
      <c r="F50" s="22" t="s">
        <v>107</v>
      </c>
      <c r="G50" s="22" t="s">
        <v>59</v>
      </c>
      <c r="H50" s="22" t="s">
        <v>96</v>
      </c>
      <c r="I50" s="22"/>
      <c r="J50" s="22" t="s">
        <v>61</v>
      </c>
      <c r="K50" s="22" t="s">
        <v>545</v>
      </c>
      <c r="L50" s="22" t="s">
        <v>62</v>
      </c>
      <c r="M50" s="22" t="s">
        <v>84</v>
      </c>
      <c r="N50" s="22" t="s">
        <v>546</v>
      </c>
      <c r="O50" s="22" t="s">
        <v>547</v>
      </c>
      <c r="P50" s="22" t="s">
        <v>548</v>
      </c>
      <c r="Q50" s="22" t="s">
        <v>549</v>
      </c>
      <c r="R50" s="22" t="s">
        <v>550</v>
      </c>
      <c r="S50" s="22" t="s">
        <v>61</v>
      </c>
      <c r="T50" s="22"/>
      <c r="U50" s="22" t="s">
        <v>551</v>
      </c>
      <c r="V50" s="22" t="s">
        <v>70</v>
      </c>
      <c r="W50" s="22" t="s">
        <v>71</v>
      </c>
      <c r="X50" s="25" t="n">
        <v>43132</v>
      </c>
      <c r="Y50" s="25" t="n">
        <v>45078</v>
      </c>
      <c r="Z50" s="22" t="s">
        <v>72</v>
      </c>
      <c r="AA50" s="22" t="s">
        <v>91</v>
      </c>
      <c r="AB50" s="22" t="s">
        <v>74</v>
      </c>
      <c r="AC50" s="22"/>
      <c r="AD50" s="22" t="n">
        <v>0</v>
      </c>
      <c r="AE50" s="22"/>
      <c r="AF50" s="22"/>
      <c r="AG50" s="22" t="s">
        <v>75</v>
      </c>
      <c r="AH50" s="22"/>
      <c r="AI50" s="22" t="n">
        <v>10</v>
      </c>
      <c r="AJ50" s="22" t="n">
        <v>30</v>
      </c>
      <c r="AK50" s="22" t="s">
        <v>61</v>
      </c>
      <c r="AL50" s="26" t="n">
        <v>33458</v>
      </c>
      <c r="AM50" s="26" t="n">
        <v>45003.8869120139</v>
      </c>
      <c r="AN50" s="25" t="n">
        <v>45008.8620833333</v>
      </c>
      <c r="AO50" s="22" t="n">
        <v>9</v>
      </c>
      <c r="AP50" s="22" t="n">
        <v>40</v>
      </c>
      <c r="AQ50" s="22" t="s">
        <v>1</v>
      </c>
      <c r="AR50" s="27" t="s">
        <v>492</v>
      </c>
      <c r="AS50" s="27" t="s">
        <v>552</v>
      </c>
      <c r="AT50" s="27"/>
      <c r="AU50" s="27"/>
      <c r="AV50" s="27"/>
      <c r="AW50" s="27"/>
      <c r="AX50" s="27"/>
      <c r="AY50" s="27"/>
    </row>
    <row r="51" customFormat="false" ht="15.75" hidden="false" customHeight="true" outlineLevel="0" collapsed="false">
      <c r="A51" s="22" t="n">
        <v>47</v>
      </c>
      <c r="B51" s="23" t="s">
        <v>553</v>
      </c>
      <c r="C51" s="22" t="s">
        <v>554</v>
      </c>
      <c r="D51" s="22" t="s">
        <v>555</v>
      </c>
      <c r="E51" s="22" t="s">
        <v>57</v>
      </c>
      <c r="F51" s="22" t="s">
        <v>107</v>
      </c>
      <c r="G51" s="22" t="s">
        <v>59</v>
      </c>
      <c r="H51" s="22" t="s">
        <v>156</v>
      </c>
      <c r="I51" s="22"/>
      <c r="J51" s="22" t="s">
        <v>61</v>
      </c>
      <c r="K51" s="22" t="s">
        <v>556</v>
      </c>
      <c r="L51" s="22" t="s">
        <v>62</v>
      </c>
      <c r="M51" s="22" t="s">
        <v>557</v>
      </c>
      <c r="N51" s="22" t="s">
        <v>558</v>
      </c>
      <c r="O51" s="22" t="s">
        <v>559</v>
      </c>
      <c r="P51" s="22" t="s">
        <v>560</v>
      </c>
      <c r="Q51" s="22"/>
      <c r="R51" s="22" t="s">
        <v>561</v>
      </c>
      <c r="S51" s="22" t="s">
        <v>61</v>
      </c>
      <c r="T51" s="22"/>
      <c r="U51" s="22" t="s">
        <v>562</v>
      </c>
      <c r="V51" s="22" t="s">
        <v>70</v>
      </c>
      <c r="W51" s="22" t="s">
        <v>71</v>
      </c>
      <c r="X51" s="25" t="n">
        <v>43497</v>
      </c>
      <c r="Y51" s="25" t="n">
        <v>44958</v>
      </c>
      <c r="Z51" s="22" t="s">
        <v>72</v>
      </c>
      <c r="AA51" s="22" t="s">
        <v>91</v>
      </c>
      <c r="AB51" s="22" t="s">
        <v>74</v>
      </c>
      <c r="AC51" s="22"/>
      <c r="AD51" s="22" t="n">
        <v>0</v>
      </c>
      <c r="AE51" s="22"/>
      <c r="AF51" s="22"/>
      <c r="AG51" s="22" t="s">
        <v>75</v>
      </c>
      <c r="AH51" s="22"/>
      <c r="AI51" s="22" t="n">
        <v>10</v>
      </c>
      <c r="AJ51" s="22" t="n">
        <v>30</v>
      </c>
      <c r="AK51" s="22" t="s">
        <v>61</v>
      </c>
      <c r="AL51" s="26" t="n">
        <v>33520</v>
      </c>
      <c r="AM51" s="26" t="n">
        <v>45000.8320236343</v>
      </c>
      <c r="AN51" s="25" t="n">
        <v>45000.8330092593</v>
      </c>
      <c r="AO51" s="22" t="n">
        <v>9</v>
      </c>
      <c r="AP51" s="22" t="n">
        <v>40</v>
      </c>
      <c r="AQ51" s="22" t="s">
        <v>1</v>
      </c>
      <c r="AR51" s="27" t="s">
        <v>492</v>
      </c>
      <c r="AS51" s="27" t="s">
        <v>563</v>
      </c>
      <c r="AT51" s="27" t="s">
        <v>564</v>
      </c>
      <c r="AU51" s="27" t="s">
        <v>565</v>
      </c>
      <c r="AV51" s="27"/>
      <c r="AW51" s="27"/>
      <c r="AX51" s="27"/>
      <c r="AY51" s="27"/>
    </row>
    <row r="52" customFormat="false" ht="15.75" hidden="false" customHeight="true" outlineLevel="0" collapsed="false">
      <c r="A52" s="22" t="n">
        <v>48</v>
      </c>
      <c r="B52" s="23" t="s">
        <v>566</v>
      </c>
      <c r="C52" s="22"/>
      <c r="D52" s="22" t="s">
        <v>567</v>
      </c>
      <c r="E52" s="22" t="s">
        <v>81</v>
      </c>
      <c r="F52" s="22" t="s">
        <v>107</v>
      </c>
      <c r="G52" s="22" t="s">
        <v>59</v>
      </c>
      <c r="H52" s="22" t="s">
        <v>156</v>
      </c>
      <c r="I52" s="22"/>
      <c r="J52" s="22" t="s">
        <v>61</v>
      </c>
      <c r="K52" s="22" t="s">
        <v>568</v>
      </c>
      <c r="L52" s="22" t="s">
        <v>569</v>
      </c>
      <c r="M52" s="22" t="s">
        <v>570</v>
      </c>
      <c r="N52" s="22" t="s">
        <v>571</v>
      </c>
      <c r="O52" s="22" t="s">
        <v>572</v>
      </c>
      <c r="P52" s="22" t="s">
        <v>573</v>
      </c>
      <c r="Q52" s="22"/>
      <c r="R52" s="22" t="s">
        <v>574</v>
      </c>
      <c r="S52" s="22" t="s">
        <v>61</v>
      </c>
      <c r="T52" s="22"/>
      <c r="U52" s="22" t="s">
        <v>575</v>
      </c>
      <c r="V52" s="22" t="s">
        <v>70</v>
      </c>
      <c r="W52" s="22" t="s">
        <v>71</v>
      </c>
      <c r="X52" s="25" t="n">
        <v>44228</v>
      </c>
      <c r="Y52" s="25" t="n">
        <v>46082</v>
      </c>
      <c r="Z52" s="22" t="s">
        <v>72</v>
      </c>
      <c r="AA52" s="22" t="s">
        <v>91</v>
      </c>
      <c r="AB52" s="22" t="s">
        <v>74</v>
      </c>
      <c r="AC52" s="22"/>
      <c r="AD52" s="22" t="n">
        <v>0</v>
      </c>
      <c r="AE52" s="22"/>
      <c r="AF52" s="22"/>
      <c r="AG52" s="22" t="s">
        <v>75</v>
      </c>
      <c r="AH52" s="22"/>
      <c r="AI52" s="22" t="n">
        <v>10</v>
      </c>
      <c r="AJ52" s="22" t="n">
        <v>30</v>
      </c>
      <c r="AK52" s="22" t="s">
        <v>61</v>
      </c>
      <c r="AL52" s="26" t="n">
        <v>33693</v>
      </c>
      <c r="AM52" s="26" t="n">
        <v>45003.3832062384</v>
      </c>
      <c r="AN52" s="25" t="n">
        <v>45003.3846875</v>
      </c>
      <c r="AO52" s="22" t="n">
        <v>5</v>
      </c>
      <c r="AP52" s="22" t="n">
        <v>40</v>
      </c>
      <c r="AQ52" s="22" t="s">
        <v>1</v>
      </c>
      <c r="AR52" s="27" t="s">
        <v>492</v>
      </c>
      <c r="AS52" s="27" t="s">
        <v>206</v>
      </c>
      <c r="AT52" s="31" t="n">
        <v>45042.5625</v>
      </c>
      <c r="AU52" s="27" t="s">
        <v>152</v>
      </c>
      <c r="AV52" s="27"/>
      <c r="AW52" s="27"/>
      <c r="AX52" s="27"/>
      <c r="AY52" s="27"/>
    </row>
    <row r="53" customFormat="false" ht="15.75" hidden="false" customHeight="true" outlineLevel="0" collapsed="false">
      <c r="A53" s="22" t="n">
        <v>49</v>
      </c>
      <c r="B53" s="23" t="s">
        <v>576</v>
      </c>
      <c r="C53" s="22" t="s">
        <v>577</v>
      </c>
      <c r="D53" s="22" t="s">
        <v>578</v>
      </c>
      <c r="E53" s="22" t="s">
        <v>81</v>
      </c>
      <c r="F53" s="22" t="s">
        <v>107</v>
      </c>
      <c r="G53" s="22" t="s">
        <v>59</v>
      </c>
      <c r="H53" s="22" t="s">
        <v>96</v>
      </c>
      <c r="I53" s="22"/>
      <c r="J53" s="22" t="s">
        <v>61</v>
      </c>
      <c r="K53" s="22" t="s">
        <v>579</v>
      </c>
      <c r="L53" s="22" t="s">
        <v>580</v>
      </c>
      <c r="M53" s="22" t="s">
        <v>581</v>
      </c>
      <c r="N53" s="22" t="s">
        <v>582</v>
      </c>
      <c r="O53" s="22" t="s">
        <v>583</v>
      </c>
      <c r="P53" s="22" t="s">
        <v>584</v>
      </c>
      <c r="Q53" s="22"/>
      <c r="R53" s="22" t="s">
        <v>585</v>
      </c>
      <c r="S53" s="22" t="s">
        <v>61</v>
      </c>
      <c r="T53" s="22"/>
      <c r="U53" s="22" t="s">
        <v>586</v>
      </c>
      <c r="V53" s="22" t="s">
        <v>70</v>
      </c>
      <c r="W53" s="22" t="s">
        <v>71</v>
      </c>
      <c r="X53" s="25" t="n">
        <v>43466</v>
      </c>
      <c r="Y53" s="25" t="n">
        <v>45292</v>
      </c>
      <c r="Z53" s="22" t="s">
        <v>72</v>
      </c>
      <c r="AA53" s="22" t="s">
        <v>149</v>
      </c>
      <c r="AB53" s="22" t="s">
        <v>74</v>
      </c>
      <c r="AC53" s="22"/>
      <c r="AD53" s="22" t="n">
        <v>0</v>
      </c>
      <c r="AE53" s="22"/>
      <c r="AF53" s="22"/>
      <c r="AG53" s="22" t="s">
        <v>75</v>
      </c>
      <c r="AH53" s="22" t="s">
        <v>242</v>
      </c>
      <c r="AI53" s="22" t="n">
        <v>10</v>
      </c>
      <c r="AJ53" s="22" t="n">
        <v>30</v>
      </c>
      <c r="AK53" s="22" t="s">
        <v>76</v>
      </c>
      <c r="AL53" s="26" t="n">
        <v>33856</v>
      </c>
      <c r="AM53" s="26" t="n">
        <v>45007.7687984028</v>
      </c>
      <c r="AN53" s="25" t="n">
        <v>45007.7699305556</v>
      </c>
      <c r="AO53" s="22" t="n">
        <v>8</v>
      </c>
      <c r="AP53" s="22" t="n">
        <v>40</v>
      </c>
      <c r="AQ53" s="22" t="s">
        <v>0</v>
      </c>
      <c r="AR53" s="23" t="s">
        <v>587</v>
      </c>
      <c r="AS53" s="23" t="s">
        <v>78</v>
      </c>
      <c r="AT53" s="23"/>
      <c r="AU53" s="23"/>
      <c r="AV53" s="23"/>
      <c r="AW53" s="23"/>
      <c r="AX53" s="23"/>
      <c r="AY53" s="23"/>
    </row>
    <row r="54" customFormat="false" ht="15.75" hidden="false" customHeight="true" outlineLevel="0" collapsed="false">
      <c r="A54" s="22" t="n">
        <v>50</v>
      </c>
      <c r="B54" s="23" t="s">
        <v>588</v>
      </c>
      <c r="C54" s="22"/>
      <c r="D54" s="22" t="s">
        <v>589</v>
      </c>
      <c r="E54" s="22" t="s">
        <v>81</v>
      </c>
      <c r="F54" s="22" t="s">
        <v>82</v>
      </c>
      <c r="G54" s="22" t="s">
        <v>59</v>
      </c>
      <c r="H54" s="22" t="s">
        <v>96</v>
      </c>
      <c r="I54" s="22"/>
      <c r="J54" s="22" t="s">
        <v>61</v>
      </c>
      <c r="K54" s="22" t="s">
        <v>590</v>
      </c>
      <c r="L54" s="22" t="s">
        <v>62</v>
      </c>
      <c r="M54" s="22" t="s">
        <v>63</v>
      </c>
      <c r="N54" s="22" t="s">
        <v>591</v>
      </c>
      <c r="O54" s="22" t="s">
        <v>449</v>
      </c>
      <c r="P54" s="22" t="s">
        <v>592</v>
      </c>
      <c r="Q54" s="22"/>
      <c r="R54" s="22" t="s">
        <v>593</v>
      </c>
      <c r="S54" s="22" t="s">
        <v>61</v>
      </c>
      <c r="T54" s="22"/>
      <c r="U54" s="22" t="s">
        <v>594</v>
      </c>
      <c r="V54" s="22" t="s">
        <v>70</v>
      </c>
      <c r="W54" s="22" t="s">
        <v>71</v>
      </c>
      <c r="X54" s="25" t="n">
        <v>44044</v>
      </c>
      <c r="Y54" s="25" t="n">
        <v>45870</v>
      </c>
      <c r="Z54" s="22" t="s">
        <v>72</v>
      </c>
      <c r="AA54" s="22" t="s">
        <v>149</v>
      </c>
      <c r="AB54" s="22" t="s">
        <v>74</v>
      </c>
      <c r="AC54" s="22"/>
      <c r="AD54" s="22" t="n">
        <v>0</v>
      </c>
      <c r="AE54" s="22"/>
      <c r="AF54" s="22"/>
      <c r="AG54" s="22" t="s">
        <v>75</v>
      </c>
      <c r="AH54" s="22"/>
      <c r="AI54" s="22" t="n">
        <v>10</v>
      </c>
      <c r="AJ54" s="22" t="n">
        <v>30</v>
      </c>
      <c r="AK54" s="22" t="s">
        <v>61</v>
      </c>
      <c r="AL54" s="26" t="n">
        <v>33857</v>
      </c>
      <c r="AM54" s="26" t="n">
        <v>45008.9662066435</v>
      </c>
      <c r="AN54" s="25" t="n">
        <v>45008.986412037</v>
      </c>
      <c r="AO54" s="22" t="n">
        <v>5</v>
      </c>
      <c r="AP54" s="22" t="n">
        <v>40</v>
      </c>
      <c r="AQ54" s="22" t="s">
        <v>0</v>
      </c>
      <c r="AR54" s="23" t="s">
        <v>595</v>
      </c>
      <c r="AS54" s="23" t="s">
        <v>78</v>
      </c>
      <c r="AT54" s="23"/>
      <c r="AU54" s="23"/>
      <c r="AV54" s="23"/>
      <c r="AW54" s="23"/>
      <c r="AX54" s="23"/>
      <c r="AY54" s="23"/>
    </row>
    <row r="55" customFormat="false" ht="15.75" hidden="false" customHeight="true" outlineLevel="0" collapsed="false">
      <c r="A55" s="22" t="n">
        <v>51</v>
      </c>
      <c r="B55" s="23" t="s">
        <v>596</v>
      </c>
      <c r="C55" s="22" t="s">
        <v>597</v>
      </c>
      <c r="D55" s="22" t="s">
        <v>598</v>
      </c>
      <c r="E55" s="22" t="s">
        <v>57</v>
      </c>
      <c r="F55" s="22" t="s">
        <v>107</v>
      </c>
      <c r="G55" s="22" t="s">
        <v>59</v>
      </c>
      <c r="H55" s="22" t="s">
        <v>96</v>
      </c>
      <c r="I55" s="22"/>
      <c r="J55" s="22" t="s">
        <v>61</v>
      </c>
      <c r="K55" s="22" t="s">
        <v>599</v>
      </c>
      <c r="L55" s="22" t="s">
        <v>62</v>
      </c>
      <c r="M55" s="22" t="s">
        <v>84</v>
      </c>
      <c r="N55" s="22" t="s">
        <v>600</v>
      </c>
      <c r="O55" s="22" t="s">
        <v>601</v>
      </c>
      <c r="P55" s="22" t="s">
        <v>602</v>
      </c>
      <c r="Q55" s="22" t="s">
        <v>603</v>
      </c>
      <c r="R55" s="22" t="s">
        <v>604</v>
      </c>
      <c r="S55" s="22" t="s">
        <v>61</v>
      </c>
      <c r="T55" s="22"/>
      <c r="U55" s="22" t="s">
        <v>605</v>
      </c>
      <c r="V55" s="22" t="s">
        <v>70</v>
      </c>
      <c r="W55" s="22" t="s">
        <v>71</v>
      </c>
      <c r="X55" s="25" t="n">
        <v>43678</v>
      </c>
      <c r="Y55" s="25" t="n">
        <v>45474</v>
      </c>
      <c r="Z55" s="22" t="s">
        <v>72</v>
      </c>
      <c r="AA55" s="22" t="s">
        <v>149</v>
      </c>
      <c r="AB55" s="22" t="s">
        <v>74</v>
      </c>
      <c r="AC55" s="22"/>
      <c r="AD55" s="22" t="n">
        <v>0</v>
      </c>
      <c r="AE55" s="22"/>
      <c r="AF55" s="22"/>
      <c r="AG55" s="22" t="s">
        <v>75</v>
      </c>
      <c r="AH55" s="22"/>
      <c r="AI55" s="22" t="n">
        <v>10</v>
      </c>
      <c r="AJ55" s="22" t="n">
        <v>30</v>
      </c>
      <c r="AK55" s="22" t="s">
        <v>61</v>
      </c>
      <c r="AL55" s="26" t="n">
        <v>33907</v>
      </c>
      <c r="AM55" s="26" t="n">
        <v>45008.5071794907</v>
      </c>
      <c r="AN55" s="25" t="n">
        <v>45009.4208564815</v>
      </c>
      <c r="AO55" s="22" t="n">
        <v>8</v>
      </c>
      <c r="AP55" s="22" t="n">
        <v>40</v>
      </c>
      <c r="AQ55" s="22" t="s">
        <v>1</v>
      </c>
      <c r="AR55" s="27" t="s">
        <v>595</v>
      </c>
      <c r="AS55" s="27" t="s">
        <v>206</v>
      </c>
      <c r="AT55" s="31" t="n">
        <v>45042.5625</v>
      </c>
      <c r="AU55" s="27" t="s">
        <v>152</v>
      </c>
      <c r="AV55" s="27"/>
      <c r="AW55" s="27"/>
      <c r="AX55" s="27"/>
      <c r="AY55" s="27"/>
    </row>
    <row r="56" customFormat="false" ht="15.75" hidden="false" customHeight="true" outlineLevel="0" collapsed="false">
      <c r="A56" s="22" t="n">
        <v>52</v>
      </c>
      <c r="B56" s="23" t="s">
        <v>606</v>
      </c>
      <c r="C56" s="22" t="s">
        <v>607</v>
      </c>
      <c r="D56" s="22" t="s">
        <v>608</v>
      </c>
      <c r="E56" s="22" t="s">
        <v>57</v>
      </c>
      <c r="F56" s="22" t="s">
        <v>107</v>
      </c>
      <c r="G56" s="22" t="s">
        <v>59</v>
      </c>
      <c r="H56" s="22" t="s">
        <v>96</v>
      </c>
      <c r="I56" s="22"/>
      <c r="J56" s="22" t="s">
        <v>61</v>
      </c>
      <c r="K56" s="22" t="s">
        <v>609</v>
      </c>
      <c r="L56" s="22" t="s">
        <v>62</v>
      </c>
      <c r="M56" s="22" t="s">
        <v>63</v>
      </c>
      <c r="N56" s="22" t="s">
        <v>610</v>
      </c>
      <c r="O56" s="22" t="s">
        <v>611</v>
      </c>
      <c r="P56" s="22" t="s">
        <v>612</v>
      </c>
      <c r="Q56" s="22" t="s">
        <v>613</v>
      </c>
      <c r="R56" s="22" t="s">
        <v>613</v>
      </c>
      <c r="S56" s="22" t="s">
        <v>61</v>
      </c>
      <c r="T56" s="22"/>
      <c r="U56" s="22" t="s">
        <v>614</v>
      </c>
      <c r="V56" s="22" t="s">
        <v>70</v>
      </c>
      <c r="W56" s="22" t="s">
        <v>71</v>
      </c>
      <c r="X56" s="25" t="n">
        <v>44228</v>
      </c>
      <c r="Y56" s="25" t="n">
        <v>45505</v>
      </c>
      <c r="Z56" s="22" t="s">
        <v>72</v>
      </c>
      <c r="AA56" s="22" t="s">
        <v>149</v>
      </c>
      <c r="AB56" s="22" t="s">
        <v>74</v>
      </c>
      <c r="AC56" s="22"/>
      <c r="AD56" s="22" t="n">
        <v>0</v>
      </c>
      <c r="AE56" s="22"/>
      <c r="AF56" s="22"/>
      <c r="AG56" s="22" t="s">
        <v>75</v>
      </c>
      <c r="AH56" s="22" t="s">
        <v>242</v>
      </c>
      <c r="AI56" s="22" t="n">
        <v>10</v>
      </c>
      <c r="AJ56" s="22" t="n">
        <v>30</v>
      </c>
      <c r="AK56" s="22" t="s">
        <v>61</v>
      </c>
      <c r="AL56" s="26" t="n">
        <v>33934</v>
      </c>
      <c r="AM56" s="26" t="n">
        <v>45009.3717888773</v>
      </c>
      <c r="AN56" s="25" t="n">
        <v>45009.4012268518</v>
      </c>
      <c r="AO56" s="22" t="n">
        <v>6</v>
      </c>
      <c r="AP56" s="22" t="n">
        <v>40</v>
      </c>
      <c r="AQ56" s="22" t="s">
        <v>0</v>
      </c>
      <c r="AR56" s="27" t="s">
        <v>615</v>
      </c>
      <c r="AS56" s="27" t="s">
        <v>78</v>
      </c>
      <c r="AT56" s="27"/>
      <c r="AU56" s="27"/>
      <c r="AV56" s="27"/>
      <c r="AW56" s="27"/>
      <c r="AX56" s="27"/>
      <c r="AY56" s="27"/>
    </row>
    <row r="57" customFormat="false" ht="15.75" hidden="false" customHeight="true" outlineLevel="0" collapsed="false">
      <c r="A57" s="22" t="n">
        <v>53</v>
      </c>
      <c r="B57" s="23" t="s">
        <v>616</v>
      </c>
      <c r="C57" s="22"/>
      <c r="D57" s="22" t="s">
        <v>617</v>
      </c>
      <c r="E57" s="22" t="s">
        <v>81</v>
      </c>
      <c r="F57" s="22" t="s">
        <v>95</v>
      </c>
      <c r="G57" s="22" t="s">
        <v>59</v>
      </c>
      <c r="H57" s="22" t="s">
        <v>60</v>
      </c>
      <c r="I57" s="22"/>
      <c r="J57" s="22" t="s">
        <v>61</v>
      </c>
      <c r="K57" s="22" t="s">
        <v>618</v>
      </c>
      <c r="L57" s="22" t="s">
        <v>62</v>
      </c>
      <c r="M57" s="22" t="s">
        <v>63</v>
      </c>
      <c r="N57" s="22" t="s">
        <v>619</v>
      </c>
      <c r="O57" s="22" t="s">
        <v>620</v>
      </c>
      <c r="P57" s="22" t="s">
        <v>621</v>
      </c>
      <c r="Q57" s="22"/>
      <c r="R57" s="22" t="s">
        <v>622</v>
      </c>
      <c r="S57" s="22" t="s">
        <v>61</v>
      </c>
      <c r="T57" s="22"/>
      <c r="U57" s="22" t="s">
        <v>390</v>
      </c>
      <c r="V57" s="22" t="s">
        <v>70</v>
      </c>
      <c r="W57" s="22" t="s">
        <v>71</v>
      </c>
      <c r="X57" s="25" t="n">
        <v>44228</v>
      </c>
      <c r="Y57" s="25" t="n">
        <v>45992</v>
      </c>
      <c r="Z57" s="22" t="s">
        <v>72</v>
      </c>
      <c r="AA57" s="22" t="s">
        <v>91</v>
      </c>
      <c r="AB57" s="22" t="s">
        <v>74</v>
      </c>
      <c r="AC57" s="22"/>
      <c r="AD57" s="22" t="n">
        <v>0</v>
      </c>
      <c r="AE57" s="22"/>
      <c r="AF57" s="22"/>
      <c r="AG57" s="22" t="s">
        <v>75</v>
      </c>
      <c r="AH57" s="22"/>
      <c r="AI57" s="22" t="n">
        <v>10</v>
      </c>
      <c r="AJ57" s="22" t="n">
        <v>30</v>
      </c>
      <c r="AK57" s="22" t="s">
        <v>61</v>
      </c>
      <c r="AL57" s="26" t="n">
        <v>33954</v>
      </c>
      <c r="AM57" s="26" t="n">
        <v>45000.4333861458</v>
      </c>
      <c r="AN57" s="25" t="n">
        <v>45005.6286921296</v>
      </c>
      <c r="AO57" s="22" t="n">
        <v>5</v>
      </c>
      <c r="AP57" s="22" t="n">
        <v>40</v>
      </c>
      <c r="AQ57" s="22" t="s">
        <v>1</v>
      </c>
      <c r="AR57" s="27" t="s">
        <v>623</v>
      </c>
      <c r="AS57" s="27" t="s">
        <v>206</v>
      </c>
      <c r="AT57" s="27" t="s">
        <v>624</v>
      </c>
      <c r="AU57" s="27" t="s">
        <v>220</v>
      </c>
      <c r="AV57" s="27"/>
      <c r="AW57" s="27"/>
      <c r="AX57" s="27"/>
      <c r="AY57" s="27"/>
    </row>
    <row r="58" customFormat="false" ht="15.75" hidden="false" customHeight="true" outlineLevel="0" collapsed="false">
      <c r="A58" s="22" t="n">
        <v>54</v>
      </c>
      <c r="B58" s="23" t="s">
        <v>625</v>
      </c>
      <c r="C58" s="22" t="s">
        <v>626</v>
      </c>
      <c r="D58" s="22" t="s">
        <v>627</v>
      </c>
      <c r="E58" s="22" t="s">
        <v>81</v>
      </c>
      <c r="F58" s="22" t="s">
        <v>82</v>
      </c>
      <c r="G58" s="22" t="s">
        <v>59</v>
      </c>
      <c r="H58" s="22" t="s">
        <v>156</v>
      </c>
      <c r="I58" s="22"/>
      <c r="J58" s="22" t="s">
        <v>61</v>
      </c>
      <c r="K58" s="22" t="s">
        <v>628</v>
      </c>
      <c r="L58" s="22" t="s">
        <v>62</v>
      </c>
      <c r="M58" s="22" t="s">
        <v>63</v>
      </c>
      <c r="N58" s="22" t="s">
        <v>629</v>
      </c>
      <c r="O58" s="22" t="s">
        <v>630</v>
      </c>
      <c r="P58" s="22" t="s">
        <v>631</v>
      </c>
      <c r="Q58" s="22" t="s">
        <v>632</v>
      </c>
      <c r="R58" s="22" t="s">
        <v>633</v>
      </c>
      <c r="S58" s="22" t="s">
        <v>61</v>
      </c>
      <c r="T58" s="22"/>
      <c r="U58" s="22" t="s">
        <v>634</v>
      </c>
      <c r="V58" s="22" t="s">
        <v>70</v>
      </c>
      <c r="W58" s="22" t="s">
        <v>71</v>
      </c>
      <c r="X58" s="25" t="n">
        <v>42036</v>
      </c>
      <c r="Y58" s="25" t="n">
        <v>45627</v>
      </c>
      <c r="Z58" s="22" t="s">
        <v>72</v>
      </c>
      <c r="AA58" s="22" t="s">
        <v>91</v>
      </c>
      <c r="AB58" s="22" t="s">
        <v>74</v>
      </c>
      <c r="AC58" s="22"/>
      <c r="AD58" s="22" t="n">
        <v>0</v>
      </c>
      <c r="AE58" s="22"/>
      <c r="AF58" s="22"/>
      <c r="AG58" s="22" t="s">
        <v>75</v>
      </c>
      <c r="AH58" s="22"/>
      <c r="AI58" s="22" t="n">
        <v>10</v>
      </c>
      <c r="AJ58" s="22" t="n">
        <v>30</v>
      </c>
      <c r="AK58" s="22" t="s">
        <v>61</v>
      </c>
      <c r="AL58" s="26" t="n">
        <v>34240</v>
      </c>
      <c r="AM58" s="26" t="n">
        <v>45000.4186953588</v>
      </c>
      <c r="AN58" s="25" t="n">
        <v>45002.393275463</v>
      </c>
      <c r="AO58" s="22" t="n">
        <v>5</v>
      </c>
      <c r="AP58" s="22" t="n">
        <v>40</v>
      </c>
      <c r="AQ58" s="22" t="s">
        <v>1</v>
      </c>
      <c r="AR58" s="27" t="s">
        <v>635</v>
      </c>
      <c r="AS58" s="27" t="s">
        <v>206</v>
      </c>
      <c r="AT58" s="27" t="s">
        <v>636</v>
      </c>
      <c r="AU58" s="27" t="s">
        <v>220</v>
      </c>
      <c r="AV58" s="27"/>
      <c r="AW58" s="27"/>
      <c r="AX58" s="27"/>
      <c r="AY58" s="27"/>
    </row>
    <row r="59" customFormat="false" ht="15.75" hidden="false" customHeight="true" outlineLevel="0" collapsed="false">
      <c r="A59" s="22" t="n">
        <v>55</v>
      </c>
      <c r="B59" s="23" t="s">
        <v>637</v>
      </c>
      <c r="C59" s="22"/>
      <c r="D59" s="22" t="s">
        <v>638</v>
      </c>
      <c r="E59" s="22" t="s">
        <v>57</v>
      </c>
      <c r="F59" s="22" t="s">
        <v>107</v>
      </c>
      <c r="G59" s="22" t="s">
        <v>59</v>
      </c>
      <c r="H59" s="22" t="s">
        <v>96</v>
      </c>
      <c r="I59" s="22"/>
      <c r="J59" s="22" t="s">
        <v>61</v>
      </c>
      <c r="K59" s="22" t="s">
        <v>639</v>
      </c>
      <c r="L59" s="22" t="s">
        <v>62</v>
      </c>
      <c r="M59" s="22" t="s">
        <v>63</v>
      </c>
      <c r="N59" s="22" t="s">
        <v>640</v>
      </c>
      <c r="O59" s="22" t="s">
        <v>641</v>
      </c>
      <c r="P59" s="22" t="s">
        <v>642</v>
      </c>
      <c r="Q59" s="22"/>
      <c r="R59" s="22" t="s">
        <v>643</v>
      </c>
      <c r="S59" s="22" t="s">
        <v>61</v>
      </c>
      <c r="T59" s="22"/>
      <c r="U59" s="22" t="s">
        <v>644</v>
      </c>
      <c r="V59" s="22" t="s">
        <v>70</v>
      </c>
      <c r="W59" s="22" t="s">
        <v>71</v>
      </c>
      <c r="X59" s="25" t="n">
        <v>43678</v>
      </c>
      <c r="Y59" s="25" t="n">
        <v>45444</v>
      </c>
      <c r="Z59" s="22" t="s">
        <v>72</v>
      </c>
      <c r="AA59" s="22" t="s">
        <v>91</v>
      </c>
      <c r="AB59" s="22" t="s">
        <v>74</v>
      </c>
      <c r="AC59" s="22"/>
      <c r="AD59" s="22" t="n">
        <v>0</v>
      </c>
      <c r="AE59" s="22"/>
      <c r="AF59" s="22"/>
      <c r="AG59" s="22" t="s">
        <v>75</v>
      </c>
      <c r="AH59" s="22"/>
      <c r="AI59" s="22" t="n">
        <v>10</v>
      </c>
      <c r="AJ59" s="22" t="n">
        <v>30</v>
      </c>
      <c r="AK59" s="22" t="s">
        <v>76</v>
      </c>
      <c r="AL59" s="26" t="n">
        <v>34279</v>
      </c>
      <c r="AM59" s="26" t="n">
        <v>45008.8263874769</v>
      </c>
      <c r="AN59" s="25" t="n">
        <v>45008.8287152778</v>
      </c>
      <c r="AO59" s="22" t="n">
        <v>8</v>
      </c>
      <c r="AP59" s="22" t="n">
        <v>40</v>
      </c>
      <c r="AQ59" s="22" t="s">
        <v>0</v>
      </c>
      <c r="AR59" s="27" t="s">
        <v>595</v>
      </c>
      <c r="AS59" s="27" t="s">
        <v>78</v>
      </c>
      <c r="AT59" s="27" t="s">
        <v>645</v>
      </c>
      <c r="AU59" s="27" t="s">
        <v>78</v>
      </c>
      <c r="AV59" s="27"/>
      <c r="AW59" s="27"/>
      <c r="AX59" s="27"/>
      <c r="AY59" s="27"/>
    </row>
    <row r="60" customFormat="false" ht="15.75" hidden="false" customHeight="true" outlineLevel="0" collapsed="false">
      <c r="A60" s="22" t="n">
        <v>56</v>
      </c>
      <c r="B60" s="23" t="s">
        <v>646</v>
      </c>
      <c r="C60" s="22"/>
      <c r="D60" s="22" t="s">
        <v>647</v>
      </c>
      <c r="E60" s="22" t="s">
        <v>57</v>
      </c>
      <c r="F60" s="22" t="s">
        <v>107</v>
      </c>
      <c r="G60" s="22" t="s">
        <v>59</v>
      </c>
      <c r="H60" s="22" t="s">
        <v>60</v>
      </c>
      <c r="I60" s="22"/>
      <c r="J60" s="22" t="s">
        <v>61</v>
      </c>
      <c r="K60" s="22" t="s">
        <v>648</v>
      </c>
      <c r="L60" s="22" t="s">
        <v>62</v>
      </c>
      <c r="M60" s="22" t="s">
        <v>84</v>
      </c>
      <c r="N60" s="22" t="s">
        <v>649</v>
      </c>
      <c r="O60" s="22" t="s">
        <v>179</v>
      </c>
      <c r="P60" s="22" t="s">
        <v>650</v>
      </c>
      <c r="Q60" s="22"/>
      <c r="R60" s="22" t="s">
        <v>651</v>
      </c>
      <c r="S60" s="22" t="s">
        <v>61</v>
      </c>
      <c r="T60" s="22"/>
      <c r="U60" s="22" t="s">
        <v>652</v>
      </c>
      <c r="V60" s="22" t="s">
        <v>70</v>
      </c>
      <c r="W60" s="22" t="s">
        <v>71</v>
      </c>
      <c r="X60" s="25" t="n">
        <v>43466</v>
      </c>
      <c r="Y60" s="25" t="n">
        <v>45292</v>
      </c>
      <c r="Z60" s="22" t="s">
        <v>72</v>
      </c>
      <c r="AA60" s="22" t="s">
        <v>91</v>
      </c>
      <c r="AB60" s="22" t="s">
        <v>74</v>
      </c>
      <c r="AC60" s="22"/>
      <c r="AD60" s="22" t="n">
        <v>0</v>
      </c>
      <c r="AE60" s="22"/>
      <c r="AF60" s="22"/>
      <c r="AG60" s="22" t="s">
        <v>75</v>
      </c>
      <c r="AH60" s="22"/>
      <c r="AI60" s="22" t="n">
        <v>10</v>
      </c>
      <c r="AJ60" s="22" t="n">
        <v>30</v>
      </c>
      <c r="AK60" s="22" t="s">
        <v>61</v>
      </c>
      <c r="AL60" s="26" t="n">
        <v>34344</v>
      </c>
      <c r="AM60" s="26" t="n">
        <v>45005.8898461111</v>
      </c>
      <c r="AN60" s="25" t="n">
        <v>45005.8913773148</v>
      </c>
      <c r="AO60" s="22" t="n">
        <v>9</v>
      </c>
      <c r="AP60" s="22" t="n">
        <v>40</v>
      </c>
      <c r="AQ60" s="22" t="s">
        <v>1</v>
      </c>
      <c r="AR60" s="27" t="s">
        <v>595</v>
      </c>
      <c r="AS60" s="27" t="s">
        <v>206</v>
      </c>
      <c r="AT60" s="27" t="s">
        <v>653</v>
      </c>
      <c r="AU60" s="27" t="s">
        <v>654</v>
      </c>
      <c r="AV60" s="27"/>
      <c r="AW60" s="27"/>
      <c r="AX60" s="27"/>
      <c r="AY60" s="27"/>
    </row>
    <row r="61" customFormat="false" ht="15.75" hidden="false" customHeight="true" outlineLevel="0" collapsed="false">
      <c r="A61" s="22" t="n">
        <v>57</v>
      </c>
      <c r="B61" s="23" t="s">
        <v>655</v>
      </c>
      <c r="C61" s="22"/>
      <c r="D61" s="22" t="s">
        <v>656</v>
      </c>
      <c r="E61" s="22" t="s">
        <v>57</v>
      </c>
      <c r="F61" s="22" t="s">
        <v>95</v>
      </c>
      <c r="G61" s="22" t="s">
        <v>59</v>
      </c>
      <c r="H61" s="22" t="s">
        <v>60</v>
      </c>
      <c r="I61" s="22"/>
      <c r="J61" s="22" t="s">
        <v>61</v>
      </c>
      <c r="K61" s="22" t="s">
        <v>657</v>
      </c>
      <c r="L61" s="22" t="s">
        <v>62</v>
      </c>
      <c r="M61" s="22" t="s">
        <v>84</v>
      </c>
      <c r="N61" s="22" t="s">
        <v>658</v>
      </c>
      <c r="O61" s="22" t="s">
        <v>659</v>
      </c>
      <c r="P61" s="22" t="s">
        <v>660</v>
      </c>
      <c r="Q61" s="22" t="s">
        <v>661</v>
      </c>
      <c r="R61" s="22" t="s">
        <v>662</v>
      </c>
      <c r="S61" s="22" t="s">
        <v>61</v>
      </c>
      <c r="T61" s="22"/>
      <c r="U61" s="22" t="s">
        <v>663</v>
      </c>
      <c r="V61" s="22" t="s">
        <v>70</v>
      </c>
      <c r="W61" s="22" t="s">
        <v>71</v>
      </c>
      <c r="X61" s="25" t="n">
        <v>44228</v>
      </c>
      <c r="Y61" s="25" t="n">
        <v>46357</v>
      </c>
      <c r="Z61" s="22" t="s">
        <v>72</v>
      </c>
      <c r="AA61" s="22" t="s">
        <v>91</v>
      </c>
      <c r="AB61" s="22" t="s">
        <v>74</v>
      </c>
      <c r="AC61" s="22"/>
      <c r="AD61" s="22" t="n">
        <v>0</v>
      </c>
      <c r="AE61" s="22"/>
      <c r="AF61" s="22"/>
      <c r="AG61" s="22" t="s">
        <v>75</v>
      </c>
      <c r="AH61" s="22"/>
      <c r="AI61" s="22" t="n">
        <v>10</v>
      </c>
      <c r="AJ61" s="22" t="n">
        <v>30</v>
      </c>
      <c r="AK61" s="22" t="s">
        <v>61</v>
      </c>
      <c r="AL61" s="26" t="n">
        <v>34384</v>
      </c>
      <c r="AM61" s="26" t="n">
        <v>45005.6684831597</v>
      </c>
      <c r="AN61" s="25" t="n">
        <v>45005.6739351852</v>
      </c>
      <c r="AO61" s="22" t="n">
        <v>5</v>
      </c>
      <c r="AP61" s="22" t="n">
        <v>40</v>
      </c>
      <c r="AQ61" s="22" t="s">
        <v>0</v>
      </c>
      <c r="AR61" s="23" t="s">
        <v>595</v>
      </c>
      <c r="AS61" s="23" t="s">
        <v>78</v>
      </c>
      <c r="AT61" s="23"/>
      <c r="AU61" s="23"/>
      <c r="AV61" s="23"/>
      <c r="AW61" s="23"/>
      <c r="AX61" s="23"/>
      <c r="AY61" s="23"/>
    </row>
    <row r="62" customFormat="false" ht="15.75" hidden="false" customHeight="true" outlineLevel="0" collapsed="false">
      <c r="A62" s="22" t="n">
        <v>58</v>
      </c>
      <c r="B62" s="23" t="s">
        <v>664</v>
      </c>
      <c r="C62" s="22" t="s">
        <v>665</v>
      </c>
      <c r="D62" s="22" t="s">
        <v>666</v>
      </c>
      <c r="E62" s="22" t="s">
        <v>81</v>
      </c>
      <c r="F62" s="22" t="s">
        <v>107</v>
      </c>
      <c r="G62" s="22" t="s">
        <v>59</v>
      </c>
      <c r="H62" s="22" t="s">
        <v>96</v>
      </c>
      <c r="I62" s="22"/>
      <c r="J62" s="22" t="s">
        <v>61</v>
      </c>
      <c r="K62" s="22" t="s">
        <v>667</v>
      </c>
      <c r="L62" s="22" t="s">
        <v>62</v>
      </c>
      <c r="M62" s="22" t="s">
        <v>63</v>
      </c>
      <c r="N62" s="22" t="s">
        <v>668</v>
      </c>
      <c r="O62" s="22" t="s">
        <v>669</v>
      </c>
      <c r="P62" s="22" t="s">
        <v>670</v>
      </c>
      <c r="Q62" s="22"/>
      <c r="R62" s="22" t="s">
        <v>671</v>
      </c>
      <c r="S62" s="22" t="s">
        <v>61</v>
      </c>
      <c r="T62" s="22"/>
      <c r="U62" s="22" t="s">
        <v>672</v>
      </c>
      <c r="V62" s="22" t="s">
        <v>70</v>
      </c>
      <c r="W62" s="22" t="s">
        <v>71</v>
      </c>
      <c r="X62" s="25" t="n">
        <v>44228</v>
      </c>
      <c r="Y62" s="25" t="n">
        <v>45809</v>
      </c>
      <c r="Z62" s="22" t="s">
        <v>72</v>
      </c>
      <c r="AA62" s="22" t="s">
        <v>91</v>
      </c>
      <c r="AB62" s="22" t="s">
        <v>74</v>
      </c>
      <c r="AC62" s="22"/>
      <c r="AD62" s="22" t="n">
        <v>0</v>
      </c>
      <c r="AE62" s="22"/>
      <c r="AF62" s="22"/>
      <c r="AG62" s="22" t="s">
        <v>75</v>
      </c>
      <c r="AH62" s="22"/>
      <c r="AI62" s="22" t="n">
        <v>10</v>
      </c>
      <c r="AJ62" s="22" t="n">
        <v>30</v>
      </c>
      <c r="AK62" s="22" t="s">
        <v>61</v>
      </c>
      <c r="AL62" s="26" t="n">
        <v>34455</v>
      </c>
      <c r="AM62" s="26" t="n">
        <v>45000.4814239236</v>
      </c>
      <c r="AN62" s="25" t="n">
        <v>45005.9803356482</v>
      </c>
      <c r="AO62" s="22" t="n">
        <v>5</v>
      </c>
      <c r="AP62" s="22" t="n">
        <v>40</v>
      </c>
      <c r="AQ62" s="22" t="s">
        <v>0</v>
      </c>
      <c r="AR62" s="27" t="s">
        <v>623</v>
      </c>
      <c r="AS62" s="27" t="s">
        <v>78</v>
      </c>
      <c r="AT62" s="27" t="s">
        <v>653</v>
      </c>
      <c r="AU62" s="27" t="s">
        <v>78</v>
      </c>
      <c r="AV62" s="27"/>
      <c r="AW62" s="27"/>
      <c r="AX62" s="27"/>
      <c r="AY62" s="27"/>
    </row>
    <row r="63" customFormat="false" ht="15.75" hidden="false" customHeight="true" outlineLevel="0" collapsed="false">
      <c r="A63" s="22" t="n">
        <v>59</v>
      </c>
      <c r="B63" s="23" t="s">
        <v>673</v>
      </c>
      <c r="C63" s="22" t="s">
        <v>674</v>
      </c>
      <c r="D63" s="22" t="s">
        <v>675</v>
      </c>
      <c r="E63" s="22" t="s">
        <v>81</v>
      </c>
      <c r="F63" s="22" t="s">
        <v>82</v>
      </c>
      <c r="G63" s="22" t="s">
        <v>59</v>
      </c>
      <c r="H63" s="22" t="s">
        <v>96</v>
      </c>
      <c r="I63" s="22"/>
      <c r="J63" s="22" t="s">
        <v>61</v>
      </c>
      <c r="K63" s="22" t="s">
        <v>455</v>
      </c>
      <c r="L63" s="22" t="s">
        <v>62</v>
      </c>
      <c r="M63" s="22" t="s">
        <v>365</v>
      </c>
      <c r="N63" s="22" t="s">
        <v>676</v>
      </c>
      <c r="O63" s="22" t="s">
        <v>677</v>
      </c>
      <c r="P63" s="22" t="s">
        <v>678</v>
      </c>
      <c r="Q63" s="22"/>
      <c r="R63" s="22" t="s">
        <v>679</v>
      </c>
      <c r="S63" s="22" t="s">
        <v>61</v>
      </c>
      <c r="T63" s="22"/>
      <c r="U63" s="22" t="s">
        <v>204</v>
      </c>
      <c r="V63" s="22" t="s">
        <v>70</v>
      </c>
      <c r="W63" s="22" t="s">
        <v>71</v>
      </c>
      <c r="X63" s="25" t="n">
        <v>44774</v>
      </c>
      <c r="Y63" s="25" t="n">
        <v>45444</v>
      </c>
      <c r="Z63" s="22" t="s">
        <v>72</v>
      </c>
      <c r="AA63" s="22" t="s">
        <v>91</v>
      </c>
      <c r="AB63" s="22" t="s">
        <v>74</v>
      </c>
      <c r="AC63" s="22"/>
      <c r="AD63" s="22" t="n">
        <v>0</v>
      </c>
      <c r="AE63" s="22"/>
      <c r="AF63" s="22"/>
      <c r="AG63" s="22" t="s">
        <v>75</v>
      </c>
      <c r="AH63" s="22"/>
      <c r="AI63" s="22" t="n">
        <v>10</v>
      </c>
      <c r="AJ63" s="22" t="n">
        <v>30</v>
      </c>
      <c r="AK63" s="22" t="s">
        <v>61</v>
      </c>
      <c r="AL63" s="26" t="n">
        <v>34461</v>
      </c>
      <c r="AM63" s="26" t="n">
        <v>45000.4849424306</v>
      </c>
      <c r="AN63" s="25" t="n">
        <v>45001.5586458333</v>
      </c>
      <c r="AO63" s="22" t="n">
        <v>8</v>
      </c>
      <c r="AP63" s="22" t="n">
        <v>40</v>
      </c>
      <c r="AQ63" s="22" t="s">
        <v>0</v>
      </c>
      <c r="AR63" s="27" t="s">
        <v>680</v>
      </c>
      <c r="AS63" s="23" t="s">
        <v>78</v>
      </c>
      <c r="AT63" s="27"/>
      <c r="AU63" s="27"/>
      <c r="AV63" s="27"/>
      <c r="AW63" s="27"/>
      <c r="AX63" s="27"/>
      <c r="AY63" s="27"/>
    </row>
    <row r="64" customFormat="false" ht="15.75" hidden="false" customHeight="true" outlineLevel="0" collapsed="false">
      <c r="A64" s="22" t="n">
        <v>60</v>
      </c>
      <c r="B64" s="23" t="s">
        <v>681</v>
      </c>
      <c r="C64" s="22"/>
      <c r="D64" s="22" t="s">
        <v>682</v>
      </c>
      <c r="E64" s="22" t="s">
        <v>57</v>
      </c>
      <c r="F64" s="22" t="s">
        <v>107</v>
      </c>
      <c r="G64" s="22" t="s">
        <v>59</v>
      </c>
      <c r="H64" s="22" t="s">
        <v>60</v>
      </c>
      <c r="I64" s="22"/>
      <c r="J64" s="22" t="s">
        <v>61</v>
      </c>
      <c r="K64" s="22" t="s">
        <v>683</v>
      </c>
      <c r="L64" s="22" t="s">
        <v>62</v>
      </c>
      <c r="M64" s="22" t="s">
        <v>84</v>
      </c>
      <c r="N64" s="22" t="s">
        <v>684</v>
      </c>
      <c r="O64" s="22" t="s">
        <v>685</v>
      </c>
      <c r="P64" s="22" t="s">
        <v>686</v>
      </c>
      <c r="Q64" s="22"/>
      <c r="R64" s="22" t="s">
        <v>687</v>
      </c>
      <c r="S64" s="22" t="s">
        <v>61</v>
      </c>
      <c r="T64" s="22"/>
      <c r="U64" s="22" t="s">
        <v>688</v>
      </c>
      <c r="V64" s="22" t="s">
        <v>70</v>
      </c>
      <c r="W64" s="22" t="s">
        <v>71</v>
      </c>
      <c r="X64" s="25" t="n">
        <v>43862</v>
      </c>
      <c r="Y64" s="25" t="n">
        <v>45627</v>
      </c>
      <c r="Z64" s="22" t="s">
        <v>72</v>
      </c>
      <c r="AA64" s="22" t="s">
        <v>149</v>
      </c>
      <c r="AB64" s="22" t="s">
        <v>74</v>
      </c>
      <c r="AC64" s="22"/>
      <c r="AD64" s="22" t="n">
        <v>0</v>
      </c>
      <c r="AE64" s="22"/>
      <c r="AF64" s="22"/>
      <c r="AG64" s="22" t="s">
        <v>75</v>
      </c>
      <c r="AH64" s="22"/>
      <c r="AI64" s="22" t="n">
        <v>10</v>
      </c>
      <c r="AJ64" s="22" t="n">
        <v>30</v>
      </c>
      <c r="AK64" s="22" t="s">
        <v>61</v>
      </c>
      <c r="AL64" s="26" t="n">
        <v>34486</v>
      </c>
      <c r="AM64" s="26" t="n">
        <v>45005.5718980324</v>
      </c>
      <c r="AN64" s="25" t="n">
        <v>45005.5804282407</v>
      </c>
      <c r="AO64" s="22" t="n">
        <v>7</v>
      </c>
      <c r="AP64" s="22" t="n">
        <v>40</v>
      </c>
      <c r="AQ64" s="22" t="s">
        <v>1</v>
      </c>
      <c r="AR64" s="27" t="s">
        <v>623</v>
      </c>
      <c r="AS64" s="27" t="s">
        <v>206</v>
      </c>
      <c r="AT64" s="27" t="s">
        <v>653</v>
      </c>
      <c r="AU64" s="27" t="s">
        <v>220</v>
      </c>
      <c r="AV64" s="27"/>
      <c r="AW64" s="27"/>
      <c r="AX64" s="27"/>
      <c r="AY64" s="27"/>
    </row>
    <row r="65" customFormat="false" ht="15.75" hidden="false" customHeight="true" outlineLevel="0" collapsed="false">
      <c r="A65" s="22" t="n">
        <v>61</v>
      </c>
      <c r="B65" s="23" t="s">
        <v>689</v>
      </c>
      <c r="C65" s="22" t="s">
        <v>690</v>
      </c>
      <c r="D65" s="22" t="s">
        <v>691</v>
      </c>
      <c r="E65" s="22" t="s">
        <v>57</v>
      </c>
      <c r="F65" s="22" t="s">
        <v>107</v>
      </c>
      <c r="G65" s="22" t="s">
        <v>59</v>
      </c>
      <c r="H65" s="22" t="s">
        <v>96</v>
      </c>
      <c r="I65" s="22"/>
      <c r="J65" s="22" t="s">
        <v>61</v>
      </c>
      <c r="K65" s="22" t="s">
        <v>692</v>
      </c>
      <c r="L65" s="22" t="s">
        <v>62</v>
      </c>
      <c r="M65" s="22" t="s">
        <v>693</v>
      </c>
      <c r="N65" s="22" t="s">
        <v>694</v>
      </c>
      <c r="O65" s="22" t="s">
        <v>695</v>
      </c>
      <c r="P65" s="22" t="s">
        <v>696</v>
      </c>
      <c r="Q65" s="22"/>
      <c r="R65" s="22" t="s">
        <v>697</v>
      </c>
      <c r="S65" s="22" t="s">
        <v>61</v>
      </c>
      <c r="T65" s="22"/>
      <c r="U65" s="22" t="s">
        <v>698</v>
      </c>
      <c r="V65" s="22" t="s">
        <v>70</v>
      </c>
      <c r="W65" s="22" t="s">
        <v>71</v>
      </c>
      <c r="X65" s="25" t="n">
        <v>42736</v>
      </c>
      <c r="Y65" s="25" t="n">
        <v>45292</v>
      </c>
      <c r="Z65" s="22" t="s">
        <v>72</v>
      </c>
      <c r="AA65" s="22" t="s">
        <v>73</v>
      </c>
      <c r="AB65" s="22" t="s">
        <v>74</v>
      </c>
      <c r="AC65" s="22"/>
      <c r="AD65" s="22" t="n">
        <v>0</v>
      </c>
      <c r="AE65" s="22"/>
      <c r="AF65" s="22"/>
      <c r="AG65" s="22" t="s">
        <v>75</v>
      </c>
      <c r="AH65" s="22"/>
      <c r="AI65" s="22" t="n">
        <v>10</v>
      </c>
      <c r="AJ65" s="22" t="n">
        <v>30</v>
      </c>
      <c r="AK65" s="22" t="s">
        <v>61</v>
      </c>
      <c r="AL65" s="26" t="n">
        <v>34566</v>
      </c>
      <c r="AM65" s="26" t="n">
        <v>45007.6557997338</v>
      </c>
      <c r="AN65" s="25" t="n">
        <v>45007.6573148148</v>
      </c>
      <c r="AO65" s="22" t="n">
        <v>9</v>
      </c>
      <c r="AP65" s="22" t="n">
        <v>40</v>
      </c>
      <c r="AQ65" s="22" t="s">
        <v>1</v>
      </c>
      <c r="AR65" s="27" t="s">
        <v>595</v>
      </c>
      <c r="AS65" s="27" t="s">
        <v>206</v>
      </c>
      <c r="AT65" s="27" t="s">
        <v>699</v>
      </c>
      <c r="AU65" s="27" t="s">
        <v>220</v>
      </c>
      <c r="AV65" s="27"/>
      <c r="AW65" s="27"/>
      <c r="AX65" s="27"/>
      <c r="AY65" s="27"/>
    </row>
    <row r="66" customFormat="false" ht="15.75" hidden="false" customHeight="true" outlineLevel="0" collapsed="false">
      <c r="A66" s="22" t="n">
        <v>62</v>
      </c>
      <c r="B66" s="23" t="s">
        <v>700</v>
      </c>
      <c r="C66" s="22" t="s">
        <v>701</v>
      </c>
      <c r="D66" s="22" t="s">
        <v>702</v>
      </c>
      <c r="E66" s="22" t="s">
        <v>81</v>
      </c>
      <c r="F66" s="22" t="s">
        <v>107</v>
      </c>
      <c r="G66" s="22" t="s">
        <v>59</v>
      </c>
      <c r="H66" s="22" t="s">
        <v>60</v>
      </c>
      <c r="I66" s="22"/>
      <c r="J66" s="22" t="s">
        <v>61</v>
      </c>
      <c r="K66" s="22" t="s">
        <v>703</v>
      </c>
      <c r="L66" s="22" t="s">
        <v>62</v>
      </c>
      <c r="M66" s="22" t="s">
        <v>63</v>
      </c>
      <c r="N66" s="22" t="s">
        <v>704</v>
      </c>
      <c r="O66" s="22" t="s">
        <v>705</v>
      </c>
      <c r="P66" s="22" t="s">
        <v>706</v>
      </c>
      <c r="Q66" s="22"/>
      <c r="R66" s="22" t="s">
        <v>707</v>
      </c>
      <c r="S66" s="22" t="s">
        <v>61</v>
      </c>
      <c r="T66" s="22"/>
      <c r="U66" s="22" t="s">
        <v>390</v>
      </c>
      <c r="V66" s="22" t="s">
        <v>70</v>
      </c>
      <c r="W66" s="22" t="s">
        <v>71</v>
      </c>
      <c r="X66" s="25" t="n">
        <v>43831</v>
      </c>
      <c r="Y66" s="25" t="n">
        <v>45627</v>
      </c>
      <c r="Z66" s="22" t="s">
        <v>72</v>
      </c>
      <c r="AA66" s="22" t="s">
        <v>91</v>
      </c>
      <c r="AB66" s="22" t="s">
        <v>74</v>
      </c>
      <c r="AC66" s="22"/>
      <c r="AD66" s="22" t="n">
        <v>0</v>
      </c>
      <c r="AE66" s="22"/>
      <c r="AF66" s="22"/>
      <c r="AG66" s="22" t="s">
        <v>75</v>
      </c>
      <c r="AH66" s="22"/>
      <c r="AI66" s="22" t="n">
        <v>10</v>
      </c>
      <c r="AJ66" s="22" t="n">
        <v>30</v>
      </c>
      <c r="AK66" s="22" t="s">
        <v>76</v>
      </c>
      <c r="AL66" s="26" t="n">
        <v>34622</v>
      </c>
      <c r="AM66" s="26" t="n">
        <v>45004.8737972917</v>
      </c>
      <c r="AN66" s="25" t="n">
        <v>45006.8694212963</v>
      </c>
      <c r="AO66" s="22" t="n">
        <v>7</v>
      </c>
      <c r="AP66" s="22" t="n">
        <v>40</v>
      </c>
      <c r="AQ66" s="22" t="s">
        <v>0</v>
      </c>
      <c r="AR66" s="23" t="s">
        <v>708</v>
      </c>
      <c r="AS66" s="23" t="s">
        <v>78</v>
      </c>
      <c r="AT66" s="23"/>
      <c r="AU66" s="23"/>
      <c r="AV66" s="23"/>
      <c r="AW66" s="23"/>
      <c r="AX66" s="23"/>
      <c r="AY66" s="23"/>
    </row>
    <row r="67" customFormat="false" ht="15.75" hidden="false" customHeight="true" outlineLevel="0" collapsed="false">
      <c r="A67" s="22" t="n">
        <v>63</v>
      </c>
      <c r="B67" s="23" t="s">
        <v>709</v>
      </c>
      <c r="C67" s="22" t="s">
        <v>710</v>
      </c>
      <c r="D67" s="22" t="s">
        <v>711</v>
      </c>
      <c r="E67" s="22" t="s">
        <v>81</v>
      </c>
      <c r="F67" s="22" t="s">
        <v>107</v>
      </c>
      <c r="G67" s="22" t="s">
        <v>59</v>
      </c>
      <c r="H67" s="22" t="s">
        <v>96</v>
      </c>
      <c r="I67" s="22"/>
      <c r="J67" s="22" t="s">
        <v>61</v>
      </c>
      <c r="K67" s="22" t="s">
        <v>712</v>
      </c>
      <c r="L67" s="22" t="s">
        <v>713</v>
      </c>
      <c r="M67" s="22" t="s">
        <v>714</v>
      </c>
      <c r="N67" s="22" t="s">
        <v>715</v>
      </c>
      <c r="O67" s="22" t="s">
        <v>716</v>
      </c>
      <c r="P67" s="22" t="s">
        <v>717</v>
      </c>
      <c r="Q67" s="22" t="s">
        <v>718</v>
      </c>
      <c r="R67" s="22" t="s">
        <v>719</v>
      </c>
      <c r="S67" s="22" t="s">
        <v>61</v>
      </c>
      <c r="T67" s="22"/>
      <c r="U67" s="22" t="s">
        <v>720</v>
      </c>
      <c r="V67" s="22" t="s">
        <v>70</v>
      </c>
      <c r="W67" s="22" t="s">
        <v>71</v>
      </c>
      <c r="X67" s="25" t="n">
        <v>41671</v>
      </c>
      <c r="Y67" s="25" t="n">
        <v>45261</v>
      </c>
      <c r="Z67" s="22" t="s">
        <v>72</v>
      </c>
      <c r="AA67" s="22" t="s">
        <v>149</v>
      </c>
      <c r="AB67" s="22" t="s">
        <v>74</v>
      </c>
      <c r="AC67" s="22"/>
      <c r="AD67" s="22" t="n">
        <v>0</v>
      </c>
      <c r="AE67" s="22"/>
      <c r="AF67" s="22"/>
      <c r="AG67" s="22" t="s">
        <v>75</v>
      </c>
      <c r="AH67" s="22" t="s">
        <v>242</v>
      </c>
      <c r="AI67" s="22" t="n">
        <v>10</v>
      </c>
      <c r="AJ67" s="22" t="n">
        <v>30</v>
      </c>
      <c r="AK67" s="22" t="s">
        <v>76</v>
      </c>
      <c r="AL67" s="26" t="n">
        <v>34641</v>
      </c>
      <c r="AM67" s="26" t="n">
        <v>45002.925218669</v>
      </c>
      <c r="AN67" s="25" t="n">
        <v>45002.9258564815</v>
      </c>
      <c r="AO67" s="22" t="n">
        <v>9</v>
      </c>
      <c r="AP67" s="22" t="n">
        <v>40</v>
      </c>
      <c r="AQ67" s="22" t="s">
        <v>1</v>
      </c>
      <c r="AR67" s="27" t="s">
        <v>721</v>
      </c>
      <c r="AS67" s="27" t="s">
        <v>206</v>
      </c>
      <c r="AT67" s="27" t="s">
        <v>722</v>
      </c>
      <c r="AU67" s="27" t="s">
        <v>723</v>
      </c>
      <c r="AV67" s="27"/>
      <c r="AW67" s="27"/>
      <c r="AX67" s="27"/>
      <c r="AY67" s="27"/>
    </row>
    <row r="68" customFormat="false" ht="15.75" hidden="false" customHeight="true" outlineLevel="0" collapsed="false">
      <c r="A68" s="22" t="n">
        <v>64</v>
      </c>
      <c r="B68" s="23" t="s">
        <v>724</v>
      </c>
      <c r="C68" s="22"/>
      <c r="D68" s="22" t="s">
        <v>725</v>
      </c>
      <c r="E68" s="22" t="s">
        <v>81</v>
      </c>
      <c r="F68" s="22" t="s">
        <v>107</v>
      </c>
      <c r="G68" s="22" t="s">
        <v>59</v>
      </c>
      <c r="H68" s="22" t="s">
        <v>156</v>
      </c>
      <c r="I68" s="22"/>
      <c r="J68" s="22" t="s">
        <v>61</v>
      </c>
      <c r="K68" s="22" t="s">
        <v>726</v>
      </c>
      <c r="L68" s="22" t="s">
        <v>62</v>
      </c>
      <c r="M68" s="22" t="s">
        <v>63</v>
      </c>
      <c r="N68" s="22" t="s">
        <v>727</v>
      </c>
      <c r="O68" s="22" t="s">
        <v>728</v>
      </c>
      <c r="P68" s="22" t="s">
        <v>729</v>
      </c>
      <c r="Q68" s="22"/>
      <c r="R68" s="22" t="s">
        <v>730</v>
      </c>
      <c r="S68" s="22" t="s">
        <v>61</v>
      </c>
      <c r="T68" s="22"/>
      <c r="U68" s="22" t="s">
        <v>731</v>
      </c>
      <c r="V68" s="22" t="s">
        <v>70</v>
      </c>
      <c r="W68" s="22" t="s">
        <v>71</v>
      </c>
      <c r="X68" s="25" t="n">
        <v>44228</v>
      </c>
      <c r="Y68" s="25" t="n">
        <v>45992</v>
      </c>
      <c r="Z68" s="22" t="s">
        <v>72</v>
      </c>
      <c r="AA68" s="22" t="s">
        <v>149</v>
      </c>
      <c r="AB68" s="22" t="s">
        <v>74</v>
      </c>
      <c r="AC68" s="22"/>
      <c r="AD68" s="22" t="n">
        <v>0</v>
      </c>
      <c r="AE68" s="22"/>
      <c r="AF68" s="22"/>
      <c r="AG68" s="22" t="s">
        <v>75</v>
      </c>
      <c r="AH68" s="22" t="s">
        <v>242</v>
      </c>
      <c r="AI68" s="22" t="n">
        <v>10</v>
      </c>
      <c r="AJ68" s="22" t="n">
        <v>30</v>
      </c>
      <c r="AK68" s="22" t="s">
        <v>61</v>
      </c>
      <c r="AL68" s="26" t="n">
        <v>34783</v>
      </c>
      <c r="AM68" s="26" t="n">
        <v>45000.4315518056</v>
      </c>
      <c r="AN68" s="25" t="n">
        <v>45000.4333564815</v>
      </c>
      <c r="AO68" s="22" t="n">
        <v>5</v>
      </c>
      <c r="AP68" s="22" t="n">
        <v>40</v>
      </c>
      <c r="AQ68" s="22" t="s">
        <v>0</v>
      </c>
      <c r="AR68" s="23" t="s">
        <v>732</v>
      </c>
      <c r="AS68" s="23" t="s">
        <v>78</v>
      </c>
      <c r="AT68" s="23"/>
      <c r="AU68" s="23"/>
      <c r="AV68" s="23"/>
      <c r="AW68" s="23"/>
      <c r="AX68" s="23"/>
      <c r="AY68" s="23"/>
    </row>
    <row r="69" customFormat="false" ht="15.75" hidden="false" customHeight="true" outlineLevel="0" collapsed="false">
      <c r="A69" s="22" t="n">
        <v>65</v>
      </c>
      <c r="B69" s="23" t="s">
        <v>733</v>
      </c>
      <c r="C69" s="22"/>
      <c r="D69" s="22" t="s">
        <v>734</v>
      </c>
      <c r="E69" s="22" t="s">
        <v>81</v>
      </c>
      <c r="F69" s="22" t="s">
        <v>95</v>
      </c>
      <c r="G69" s="22" t="s">
        <v>59</v>
      </c>
      <c r="H69" s="22" t="s">
        <v>60</v>
      </c>
      <c r="I69" s="22"/>
      <c r="J69" s="22" t="s">
        <v>61</v>
      </c>
      <c r="K69" s="22" t="s">
        <v>735</v>
      </c>
      <c r="L69" s="22" t="s">
        <v>62</v>
      </c>
      <c r="M69" s="22" t="s">
        <v>63</v>
      </c>
      <c r="N69" s="22" t="s">
        <v>736</v>
      </c>
      <c r="O69" s="22" t="s">
        <v>737</v>
      </c>
      <c r="P69" s="22" t="s">
        <v>738</v>
      </c>
      <c r="Q69" s="22" t="s">
        <v>739</v>
      </c>
      <c r="R69" s="22" t="s">
        <v>740</v>
      </c>
      <c r="S69" s="22" t="s">
        <v>61</v>
      </c>
      <c r="T69" s="22"/>
      <c r="U69" s="22" t="s">
        <v>741</v>
      </c>
      <c r="V69" s="22" t="s">
        <v>70</v>
      </c>
      <c r="W69" s="22" t="s">
        <v>71</v>
      </c>
      <c r="X69" s="25" t="n">
        <v>44409</v>
      </c>
      <c r="Y69" s="25" t="n">
        <v>45809</v>
      </c>
      <c r="Z69" s="22" t="s">
        <v>72</v>
      </c>
      <c r="AA69" s="22" t="s">
        <v>149</v>
      </c>
      <c r="AB69" s="22" t="s">
        <v>74</v>
      </c>
      <c r="AC69" s="22"/>
      <c r="AD69" s="22" t="n">
        <v>0</v>
      </c>
      <c r="AE69" s="22"/>
      <c r="AF69" s="22"/>
      <c r="AG69" s="22" t="s">
        <v>75</v>
      </c>
      <c r="AH69" s="22"/>
      <c r="AI69" s="22" t="n">
        <v>10</v>
      </c>
      <c r="AJ69" s="22" t="n">
        <v>30</v>
      </c>
      <c r="AK69" s="22" t="s">
        <v>76</v>
      </c>
      <c r="AL69" s="26" t="n">
        <v>34855</v>
      </c>
      <c r="AM69" s="26" t="n">
        <v>45007.6933299074</v>
      </c>
      <c r="AN69" s="25" t="n">
        <v>45009.3900925926</v>
      </c>
      <c r="AO69" s="22" t="n">
        <v>5</v>
      </c>
      <c r="AP69" s="22" t="n">
        <v>40</v>
      </c>
      <c r="AQ69" s="22" t="s">
        <v>1</v>
      </c>
      <c r="AR69" s="27" t="s">
        <v>708</v>
      </c>
      <c r="AS69" s="27" t="s">
        <v>206</v>
      </c>
      <c r="AT69" s="27" t="s">
        <v>742</v>
      </c>
      <c r="AU69" s="27" t="s">
        <v>220</v>
      </c>
      <c r="AV69" s="27"/>
      <c r="AW69" s="27"/>
      <c r="AX69" s="27"/>
      <c r="AY69" s="27"/>
    </row>
    <row r="70" customFormat="false" ht="15.75" hidden="false" customHeight="true" outlineLevel="0" collapsed="false">
      <c r="A70" s="22" t="n">
        <v>66</v>
      </c>
      <c r="B70" s="23" t="s">
        <v>743</v>
      </c>
      <c r="C70" s="22" t="s">
        <v>744</v>
      </c>
      <c r="D70" s="22" t="s">
        <v>745</v>
      </c>
      <c r="E70" s="22" t="s">
        <v>57</v>
      </c>
      <c r="F70" s="22" t="s">
        <v>107</v>
      </c>
      <c r="G70" s="22" t="s">
        <v>59</v>
      </c>
      <c r="H70" s="22" t="s">
        <v>96</v>
      </c>
      <c r="I70" s="22"/>
      <c r="J70" s="22" t="s">
        <v>61</v>
      </c>
      <c r="K70" s="22" t="s">
        <v>746</v>
      </c>
      <c r="L70" s="22" t="s">
        <v>62</v>
      </c>
      <c r="M70" s="22" t="s">
        <v>747</v>
      </c>
      <c r="N70" s="22" t="s">
        <v>748</v>
      </c>
      <c r="O70" s="22" t="s">
        <v>749</v>
      </c>
      <c r="P70" s="22" t="s">
        <v>750</v>
      </c>
      <c r="Q70" s="22"/>
      <c r="R70" s="22" t="s">
        <v>751</v>
      </c>
      <c r="S70" s="22" t="s">
        <v>61</v>
      </c>
      <c r="T70" s="22"/>
      <c r="U70" s="22" t="s">
        <v>752</v>
      </c>
      <c r="V70" s="22" t="s">
        <v>70</v>
      </c>
      <c r="W70" s="22" t="s">
        <v>71</v>
      </c>
      <c r="X70" s="25" t="n">
        <v>43862</v>
      </c>
      <c r="Y70" s="25" t="n">
        <v>45323</v>
      </c>
      <c r="Z70" s="22" t="s">
        <v>72</v>
      </c>
      <c r="AA70" s="22" t="s">
        <v>91</v>
      </c>
      <c r="AB70" s="22" t="s">
        <v>74</v>
      </c>
      <c r="AC70" s="22"/>
      <c r="AD70" s="22" t="n">
        <v>0</v>
      </c>
      <c r="AE70" s="22"/>
      <c r="AF70" s="22"/>
      <c r="AG70" s="22" t="s">
        <v>75</v>
      </c>
      <c r="AH70" s="22"/>
      <c r="AI70" s="22" t="n">
        <v>10</v>
      </c>
      <c r="AJ70" s="22" t="n">
        <v>30</v>
      </c>
      <c r="AK70" s="22" t="s">
        <v>61</v>
      </c>
      <c r="AL70" s="26" t="n">
        <v>34881</v>
      </c>
      <c r="AM70" s="26" t="n">
        <v>45000.3908645833</v>
      </c>
      <c r="AN70" s="25" t="n">
        <v>45002.4857986111</v>
      </c>
      <c r="AO70" s="22" t="n">
        <v>7</v>
      </c>
      <c r="AP70" s="22" t="n">
        <v>40</v>
      </c>
      <c r="AQ70" s="22" t="s">
        <v>1</v>
      </c>
      <c r="AR70" s="27" t="s">
        <v>753</v>
      </c>
      <c r="AS70" s="27" t="s">
        <v>206</v>
      </c>
      <c r="AT70" s="27" t="s">
        <v>742</v>
      </c>
      <c r="AU70" s="27" t="s">
        <v>220</v>
      </c>
      <c r="AV70" s="27"/>
      <c r="AW70" s="27"/>
      <c r="AX70" s="27"/>
      <c r="AY70" s="27"/>
    </row>
    <row r="71" customFormat="false" ht="15.75" hidden="false" customHeight="true" outlineLevel="0" collapsed="false">
      <c r="A71" s="22" t="n">
        <v>67</v>
      </c>
      <c r="B71" s="23" t="s">
        <v>754</v>
      </c>
      <c r="C71" s="22" t="s">
        <v>755</v>
      </c>
      <c r="D71" s="22" t="s">
        <v>756</v>
      </c>
      <c r="E71" s="22" t="s">
        <v>81</v>
      </c>
      <c r="F71" s="22" t="s">
        <v>107</v>
      </c>
      <c r="G71" s="22" t="s">
        <v>59</v>
      </c>
      <c r="H71" s="22" t="s">
        <v>96</v>
      </c>
      <c r="I71" s="22"/>
      <c r="J71" s="22" t="s">
        <v>61</v>
      </c>
      <c r="K71" s="22" t="s">
        <v>757</v>
      </c>
      <c r="L71" s="22" t="s">
        <v>62</v>
      </c>
      <c r="M71" s="22" t="s">
        <v>365</v>
      </c>
      <c r="N71" s="22" t="s">
        <v>758</v>
      </c>
      <c r="O71" s="22" t="s">
        <v>759</v>
      </c>
      <c r="P71" s="22" t="s">
        <v>760</v>
      </c>
      <c r="Q71" s="22" t="s">
        <v>761</v>
      </c>
      <c r="R71" s="22" t="s">
        <v>762</v>
      </c>
      <c r="S71" s="22" t="s">
        <v>61</v>
      </c>
      <c r="T71" s="22"/>
      <c r="U71" s="22" t="s">
        <v>672</v>
      </c>
      <c r="V71" s="22" t="s">
        <v>70</v>
      </c>
      <c r="W71" s="22" t="s">
        <v>71</v>
      </c>
      <c r="X71" s="25" t="n">
        <v>43313</v>
      </c>
      <c r="Y71" s="25" t="n">
        <v>45505</v>
      </c>
      <c r="Z71" s="22" t="s">
        <v>72</v>
      </c>
      <c r="AA71" s="22" t="s">
        <v>91</v>
      </c>
      <c r="AB71" s="22" t="s">
        <v>74</v>
      </c>
      <c r="AC71" s="22"/>
      <c r="AD71" s="22" t="n">
        <v>0</v>
      </c>
      <c r="AE71" s="22"/>
      <c r="AF71" s="22"/>
      <c r="AG71" s="22" t="s">
        <v>75</v>
      </c>
      <c r="AH71" s="22"/>
      <c r="AI71" s="22" t="n">
        <v>10</v>
      </c>
      <c r="AJ71" s="22" t="n">
        <v>30</v>
      </c>
      <c r="AK71" s="22" t="s">
        <v>76</v>
      </c>
      <c r="AL71" s="26" t="n">
        <v>34886</v>
      </c>
      <c r="AM71" s="26" t="n">
        <v>45000.6820693287</v>
      </c>
      <c r="AN71" s="25" t="n">
        <v>45000.6839699074</v>
      </c>
      <c r="AO71" s="22" t="n">
        <v>6</v>
      </c>
      <c r="AP71" s="22" t="n">
        <v>40</v>
      </c>
      <c r="AQ71" s="22" t="s">
        <v>1</v>
      </c>
      <c r="AR71" s="27" t="s">
        <v>708</v>
      </c>
      <c r="AS71" s="27" t="s">
        <v>206</v>
      </c>
      <c r="AT71" s="27" t="s">
        <v>763</v>
      </c>
      <c r="AU71" s="27" t="s">
        <v>723</v>
      </c>
      <c r="AV71" s="27"/>
      <c r="AW71" s="27"/>
      <c r="AX71" s="27"/>
      <c r="AY71" s="27"/>
    </row>
    <row r="72" customFormat="false" ht="15.75" hidden="false" customHeight="true" outlineLevel="0" collapsed="false">
      <c r="A72" s="22" t="n">
        <v>68</v>
      </c>
      <c r="B72" s="23" t="s">
        <v>764</v>
      </c>
      <c r="C72" s="22"/>
      <c r="D72" s="22" t="s">
        <v>765</v>
      </c>
      <c r="E72" s="22" t="s">
        <v>81</v>
      </c>
      <c r="F72" s="22" t="s">
        <v>82</v>
      </c>
      <c r="G72" s="22" t="s">
        <v>59</v>
      </c>
      <c r="H72" s="22" t="s">
        <v>96</v>
      </c>
      <c r="I72" s="22"/>
      <c r="J72" s="22" t="s">
        <v>61</v>
      </c>
      <c r="K72" s="22" t="s">
        <v>766</v>
      </c>
      <c r="L72" s="22" t="s">
        <v>62</v>
      </c>
      <c r="M72" s="22" t="s">
        <v>63</v>
      </c>
      <c r="N72" s="22" t="s">
        <v>767</v>
      </c>
      <c r="O72" s="22" t="s">
        <v>768</v>
      </c>
      <c r="P72" s="22" t="s">
        <v>769</v>
      </c>
      <c r="Q72" s="22" t="s">
        <v>770</v>
      </c>
      <c r="R72" s="22" t="s">
        <v>771</v>
      </c>
      <c r="S72" s="22" t="s">
        <v>61</v>
      </c>
      <c r="T72" s="22"/>
      <c r="U72" s="22" t="s">
        <v>741</v>
      </c>
      <c r="V72" s="22" t="s">
        <v>70</v>
      </c>
      <c r="W72" s="22" t="s">
        <v>71</v>
      </c>
      <c r="X72" s="25" t="n">
        <v>44440</v>
      </c>
      <c r="Y72" s="25" t="n">
        <v>45901</v>
      </c>
      <c r="Z72" s="22" t="s">
        <v>72</v>
      </c>
      <c r="AA72" s="22" t="s">
        <v>149</v>
      </c>
      <c r="AB72" s="22" t="s">
        <v>74</v>
      </c>
      <c r="AC72" s="22"/>
      <c r="AD72" s="22" t="n">
        <v>0</v>
      </c>
      <c r="AE72" s="22"/>
      <c r="AF72" s="22"/>
      <c r="AG72" s="22" t="s">
        <v>75</v>
      </c>
      <c r="AH72" s="22"/>
      <c r="AI72" s="22" t="n">
        <v>10</v>
      </c>
      <c r="AJ72" s="22" t="n">
        <v>30</v>
      </c>
      <c r="AK72" s="22" t="s">
        <v>61</v>
      </c>
      <c r="AL72" s="26" t="n">
        <v>34948</v>
      </c>
      <c r="AM72" s="26" t="n">
        <v>45009.4154533565</v>
      </c>
      <c r="AN72" s="25" t="n">
        <v>45009.4180555556</v>
      </c>
      <c r="AO72" s="22" t="n">
        <v>6</v>
      </c>
      <c r="AP72" s="22" t="n">
        <v>40</v>
      </c>
      <c r="AQ72" s="22" t="s">
        <v>0</v>
      </c>
      <c r="AR72" s="23" t="s">
        <v>708</v>
      </c>
      <c r="AS72" s="23" t="s">
        <v>78</v>
      </c>
      <c r="AT72" s="23"/>
      <c r="AU72" s="23"/>
      <c r="AV72" s="23"/>
      <c r="AW72" s="23"/>
      <c r="AX72" s="23"/>
      <c r="AY72" s="23"/>
    </row>
    <row r="73" customFormat="false" ht="15.75" hidden="false" customHeight="true" outlineLevel="0" collapsed="false">
      <c r="A73" s="22" t="n">
        <v>69</v>
      </c>
      <c r="B73" s="23" t="s">
        <v>772</v>
      </c>
      <c r="C73" s="22"/>
      <c r="D73" s="22" t="s">
        <v>773</v>
      </c>
      <c r="E73" s="22" t="s">
        <v>81</v>
      </c>
      <c r="F73" s="22" t="s">
        <v>95</v>
      </c>
      <c r="G73" s="22" t="s">
        <v>59</v>
      </c>
      <c r="H73" s="22" t="s">
        <v>96</v>
      </c>
      <c r="I73" s="22"/>
      <c r="J73" s="22" t="s">
        <v>61</v>
      </c>
      <c r="K73" s="22" t="s">
        <v>774</v>
      </c>
      <c r="L73" s="22" t="s">
        <v>62</v>
      </c>
      <c r="M73" s="22" t="s">
        <v>775</v>
      </c>
      <c r="N73" s="22" t="s">
        <v>776</v>
      </c>
      <c r="O73" s="22" t="s">
        <v>777</v>
      </c>
      <c r="P73" s="22" t="s">
        <v>778</v>
      </c>
      <c r="Q73" s="22"/>
      <c r="R73" s="22" t="s">
        <v>779</v>
      </c>
      <c r="S73" s="22" t="s">
        <v>61</v>
      </c>
      <c r="T73" s="22"/>
      <c r="U73" s="22" t="s">
        <v>780</v>
      </c>
      <c r="V73" s="22" t="s">
        <v>70</v>
      </c>
      <c r="W73" s="22" t="s">
        <v>71</v>
      </c>
      <c r="X73" s="25" t="n">
        <v>43678</v>
      </c>
      <c r="Y73" s="25" t="n">
        <v>45413</v>
      </c>
      <c r="Z73" s="22" t="s">
        <v>72</v>
      </c>
      <c r="AA73" s="22" t="s">
        <v>149</v>
      </c>
      <c r="AB73" s="22" t="s">
        <v>74</v>
      </c>
      <c r="AC73" s="22"/>
      <c r="AD73" s="22" t="n">
        <v>0</v>
      </c>
      <c r="AE73" s="22"/>
      <c r="AF73" s="22"/>
      <c r="AG73" s="22" t="s">
        <v>75</v>
      </c>
      <c r="AH73" s="22"/>
      <c r="AI73" s="22" t="n">
        <v>10</v>
      </c>
      <c r="AJ73" s="22" t="n">
        <v>30</v>
      </c>
      <c r="AK73" s="22" t="s">
        <v>61</v>
      </c>
      <c r="AL73" s="26" t="n">
        <v>35020</v>
      </c>
      <c r="AM73" s="26" t="n">
        <v>45001.4410826968</v>
      </c>
      <c r="AN73" s="25" t="n">
        <v>45001.4434606482</v>
      </c>
      <c r="AO73" s="22" t="n">
        <v>8</v>
      </c>
      <c r="AP73" s="22" t="n">
        <v>40</v>
      </c>
      <c r="AQ73" s="22" t="s">
        <v>1</v>
      </c>
      <c r="AR73" s="27" t="s">
        <v>708</v>
      </c>
      <c r="AS73" s="27" t="s">
        <v>206</v>
      </c>
      <c r="AT73" s="27" t="s">
        <v>722</v>
      </c>
      <c r="AU73" s="27" t="s">
        <v>723</v>
      </c>
      <c r="AV73" s="27"/>
      <c r="AW73" s="27"/>
      <c r="AX73" s="27"/>
      <c r="AY73" s="27"/>
    </row>
    <row r="74" customFormat="false" ht="15.75" hidden="false" customHeight="true" outlineLevel="0" collapsed="false">
      <c r="A74" s="22" t="n">
        <v>70</v>
      </c>
      <c r="B74" s="23" t="s">
        <v>781</v>
      </c>
      <c r="C74" s="22" t="s">
        <v>782</v>
      </c>
      <c r="D74" s="22" t="s">
        <v>783</v>
      </c>
      <c r="E74" s="22" t="s">
        <v>81</v>
      </c>
      <c r="F74" s="22" t="s">
        <v>107</v>
      </c>
      <c r="G74" s="22" t="s">
        <v>59</v>
      </c>
      <c r="H74" s="22" t="s">
        <v>156</v>
      </c>
      <c r="I74" s="22"/>
      <c r="J74" s="22" t="s">
        <v>61</v>
      </c>
      <c r="K74" s="22" t="s">
        <v>784</v>
      </c>
      <c r="L74" s="22" t="s">
        <v>62</v>
      </c>
      <c r="M74" s="22" t="s">
        <v>84</v>
      </c>
      <c r="N74" s="22" t="s">
        <v>785</v>
      </c>
      <c r="O74" s="22" t="s">
        <v>786</v>
      </c>
      <c r="P74" s="22" t="s">
        <v>787</v>
      </c>
      <c r="Q74" s="22"/>
      <c r="R74" s="22" t="s">
        <v>788</v>
      </c>
      <c r="S74" s="22" t="s">
        <v>61</v>
      </c>
      <c r="T74" s="22"/>
      <c r="U74" s="22" t="s">
        <v>789</v>
      </c>
      <c r="V74" s="22" t="s">
        <v>70</v>
      </c>
      <c r="W74" s="22" t="s">
        <v>71</v>
      </c>
      <c r="X74" s="25" t="n">
        <v>44228</v>
      </c>
      <c r="Y74" s="25" t="n">
        <v>45992</v>
      </c>
      <c r="Z74" s="22" t="s">
        <v>72</v>
      </c>
      <c r="AA74" s="22" t="s">
        <v>91</v>
      </c>
      <c r="AB74" s="22" t="s">
        <v>74</v>
      </c>
      <c r="AC74" s="22"/>
      <c r="AD74" s="22" t="n">
        <v>0</v>
      </c>
      <c r="AE74" s="22"/>
      <c r="AF74" s="22"/>
      <c r="AG74" s="22" t="s">
        <v>75</v>
      </c>
      <c r="AH74" s="22"/>
      <c r="AI74" s="22" t="n">
        <v>10</v>
      </c>
      <c r="AJ74" s="22" t="n">
        <v>30</v>
      </c>
      <c r="AK74" s="22" t="s">
        <v>76</v>
      </c>
      <c r="AL74" s="26" t="n">
        <v>35043</v>
      </c>
      <c r="AM74" s="26" t="n">
        <v>45001.4251127778</v>
      </c>
      <c r="AN74" s="25" t="n">
        <v>45002.4413078704</v>
      </c>
      <c r="AO74" s="22" t="n">
        <v>5</v>
      </c>
      <c r="AP74" s="22" t="n">
        <v>40</v>
      </c>
      <c r="AQ74" s="22" t="s">
        <v>0</v>
      </c>
      <c r="AR74" s="23" t="s">
        <v>708</v>
      </c>
      <c r="AS74" s="23" t="s">
        <v>78</v>
      </c>
      <c r="AT74" s="27"/>
      <c r="AU74" s="23"/>
      <c r="AV74" s="23"/>
      <c r="AW74" s="23"/>
      <c r="AX74" s="23"/>
      <c r="AY74" s="23"/>
    </row>
    <row r="75" customFormat="false" ht="15.75" hidden="false" customHeight="true" outlineLevel="0" collapsed="false">
      <c r="A75" s="22" t="n">
        <v>71</v>
      </c>
      <c r="B75" s="23" t="s">
        <v>790</v>
      </c>
      <c r="C75" s="22"/>
      <c r="D75" s="22" t="s">
        <v>791</v>
      </c>
      <c r="E75" s="22" t="s">
        <v>81</v>
      </c>
      <c r="F75" s="22" t="s">
        <v>107</v>
      </c>
      <c r="G75" s="22" t="s">
        <v>59</v>
      </c>
      <c r="H75" s="22" t="s">
        <v>60</v>
      </c>
      <c r="I75" s="22"/>
      <c r="J75" s="22" t="s">
        <v>61</v>
      </c>
      <c r="K75" s="22" t="s">
        <v>792</v>
      </c>
      <c r="L75" s="22" t="s">
        <v>62</v>
      </c>
      <c r="M75" s="22" t="s">
        <v>63</v>
      </c>
      <c r="N75" s="22" t="s">
        <v>793</v>
      </c>
      <c r="O75" s="22" t="s">
        <v>685</v>
      </c>
      <c r="P75" s="22" t="s">
        <v>794</v>
      </c>
      <c r="Q75" s="22" t="s">
        <v>430</v>
      </c>
      <c r="R75" s="22" t="s">
        <v>795</v>
      </c>
      <c r="S75" s="22" t="s">
        <v>61</v>
      </c>
      <c r="T75" s="22"/>
      <c r="U75" s="22" t="s">
        <v>634</v>
      </c>
      <c r="V75" s="22" t="s">
        <v>70</v>
      </c>
      <c r="W75" s="22" t="s">
        <v>71</v>
      </c>
      <c r="X75" s="25" t="n">
        <v>42736</v>
      </c>
      <c r="Y75" s="25" t="n">
        <v>45627</v>
      </c>
      <c r="Z75" s="22" t="s">
        <v>72</v>
      </c>
      <c r="AA75" s="22" t="s">
        <v>91</v>
      </c>
      <c r="AB75" s="22" t="s">
        <v>74</v>
      </c>
      <c r="AC75" s="22"/>
      <c r="AD75" s="22" t="n">
        <v>0</v>
      </c>
      <c r="AE75" s="22"/>
      <c r="AF75" s="22"/>
      <c r="AG75" s="22" t="s">
        <v>75</v>
      </c>
      <c r="AH75" s="22"/>
      <c r="AI75" s="22" t="n">
        <v>10</v>
      </c>
      <c r="AJ75" s="22" t="n">
        <v>30</v>
      </c>
      <c r="AK75" s="22" t="s">
        <v>61</v>
      </c>
      <c r="AL75" s="26" t="n">
        <v>35103</v>
      </c>
      <c r="AM75" s="26" t="n">
        <v>45002.8709896412</v>
      </c>
      <c r="AN75" s="25" t="n">
        <v>45007.5065162037</v>
      </c>
      <c r="AO75" s="22" t="n">
        <v>7</v>
      </c>
      <c r="AP75" s="22" t="n">
        <v>40</v>
      </c>
      <c r="AQ75" s="22" t="s">
        <v>0</v>
      </c>
      <c r="AR75" s="27" t="s">
        <v>708</v>
      </c>
      <c r="AS75" s="23" t="s">
        <v>78</v>
      </c>
      <c r="AT75" s="27"/>
      <c r="AU75" s="27"/>
      <c r="AV75" s="27"/>
      <c r="AW75" s="27"/>
      <c r="AX75" s="27"/>
      <c r="AY75" s="27"/>
    </row>
    <row r="76" customFormat="false" ht="15.75" hidden="false" customHeight="true" outlineLevel="0" collapsed="false">
      <c r="A76" s="22" t="n">
        <v>72</v>
      </c>
      <c r="B76" s="23" t="s">
        <v>796</v>
      </c>
      <c r="C76" s="22"/>
      <c r="D76" s="22" t="s">
        <v>797</v>
      </c>
      <c r="E76" s="22" t="s">
        <v>81</v>
      </c>
      <c r="F76" s="22" t="s">
        <v>107</v>
      </c>
      <c r="G76" s="22" t="s">
        <v>59</v>
      </c>
      <c r="H76" s="22" t="s">
        <v>60</v>
      </c>
      <c r="I76" s="22"/>
      <c r="J76" s="22" t="s">
        <v>61</v>
      </c>
      <c r="K76" s="22" t="s">
        <v>798</v>
      </c>
      <c r="L76" s="22" t="s">
        <v>62</v>
      </c>
      <c r="M76" s="22" t="s">
        <v>557</v>
      </c>
      <c r="N76" s="22" t="s">
        <v>799</v>
      </c>
      <c r="O76" s="22" t="s">
        <v>800</v>
      </c>
      <c r="P76" s="22" t="s">
        <v>801</v>
      </c>
      <c r="Q76" s="22" t="s">
        <v>802</v>
      </c>
      <c r="R76" s="22" t="s">
        <v>803</v>
      </c>
      <c r="S76" s="22" t="s">
        <v>61</v>
      </c>
      <c r="T76" s="22"/>
      <c r="U76" s="22" t="s">
        <v>804</v>
      </c>
      <c r="V76" s="22" t="s">
        <v>70</v>
      </c>
      <c r="W76" s="22" t="s">
        <v>71</v>
      </c>
      <c r="X76" s="25" t="n">
        <v>43862</v>
      </c>
      <c r="Y76" s="25" t="n">
        <v>45444</v>
      </c>
      <c r="Z76" s="22" t="s">
        <v>72</v>
      </c>
      <c r="AA76" s="22" t="s">
        <v>73</v>
      </c>
      <c r="AB76" s="22" t="s">
        <v>74</v>
      </c>
      <c r="AC76" s="22"/>
      <c r="AD76" s="22" t="n">
        <v>0</v>
      </c>
      <c r="AE76" s="22"/>
      <c r="AF76" s="22"/>
      <c r="AG76" s="22" t="s">
        <v>75</v>
      </c>
      <c r="AH76" s="22"/>
      <c r="AI76" s="22" t="n">
        <v>10</v>
      </c>
      <c r="AJ76" s="22" t="n">
        <v>30</v>
      </c>
      <c r="AK76" s="22" t="s">
        <v>76</v>
      </c>
      <c r="AL76" s="26" t="n">
        <v>35109</v>
      </c>
      <c r="AM76" s="26" t="n">
        <v>45009.4658363657</v>
      </c>
      <c r="AN76" s="25" t="n">
        <v>45009.4690162037</v>
      </c>
      <c r="AO76" s="22" t="n">
        <v>5</v>
      </c>
      <c r="AP76" s="22" t="n">
        <v>40</v>
      </c>
      <c r="AQ76" s="22" t="s">
        <v>1</v>
      </c>
      <c r="AR76" s="27" t="s">
        <v>708</v>
      </c>
      <c r="AS76" s="27" t="s">
        <v>805</v>
      </c>
      <c r="AT76" s="27" t="s">
        <v>564</v>
      </c>
      <c r="AU76" s="27" t="s">
        <v>806</v>
      </c>
      <c r="AV76" s="27"/>
      <c r="AW76" s="27"/>
      <c r="AX76" s="27"/>
      <c r="AY76" s="27"/>
    </row>
    <row r="77" customFormat="false" ht="15.75" hidden="false" customHeight="true" outlineLevel="0" collapsed="false">
      <c r="A77" s="22" t="n">
        <v>73</v>
      </c>
      <c r="B77" s="23" t="s">
        <v>807</v>
      </c>
      <c r="C77" s="22" t="s">
        <v>808</v>
      </c>
      <c r="D77" s="22" t="s">
        <v>809</v>
      </c>
      <c r="E77" s="22" t="s">
        <v>81</v>
      </c>
      <c r="F77" s="22" t="s">
        <v>107</v>
      </c>
      <c r="G77" s="22" t="s">
        <v>59</v>
      </c>
      <c r="H77" s="22" t="s">
        <v>60</v>
      </c>
      <c r="I77" s="22"/>
      <c r="J77" s="22" t="s">
        <v>61</v>
      </c>
      <c r="K77" s="22" t="s">
        <v>810</v>
      </c>
      <c r="L77" s="22" t="s">
        <v>62</v>
      </c>
      <c r="M77" s="22" t="s">
        <v>63</v>
      </c>
      <c r="N77" s="22" t="s">
        <v>811</v>
      </c>
      <c r="O77" s="22" t="s">
        <v>179</v>
      </c>
      <c r="P77" s="22" t="s">
        <v>812</v>
      </c>
      <c r="Q77" s="22"/>
      <c r="R77" s="22" t="s">
        <v>813</v>
      </c>
      <c r="S77" s="22" t="s">
        <v>61</v>
      </c>
      <c r="T77" s="22"/>
      <c r="U77" s="22" t="s">
        <v>672</v>
      </c>
      <c r="V77" s="22" t="s">
        <v>70</v>
      </c>
      <c r="W77" s="22" t="s">
        <v>71</v>
      </c>
      <c r="X77" s="25" t="n">
        <v>43313</v>
      </c>
      <c r="Y77" s="25" t="n">
        <v>45261</v>
      </c>
      <c r="Z77" s="22" t="s">
        <v>72</v>
      </c>
      <c r="AA77" s="22" t="s">
        <v>149</v>
      </c>
      <c r="AB77" s="22" t="s">
        <v>74</v>
      </c>
      <c r="AC77" s="22"/>
      <c r="AD77" s="22" t="n">
        <v>0</v>
      </c>
      <c r="AE77" s="22"/>
      <c r="AF77" s="22"/>
      <c r="AG77" s="22" t="s">
        <v>75</v>
      </c>
      <c r="AH77" s="22"/>
      <c r="AI77" s="22" t="n">
        <v>10</v>
      </c>
      <c r="AJ77" s="22" t="n">
        <v>30</v>
      </c>
      <c r="AK77" s="22" t="s">
        <v>76</v>
      </c>
      <c r="AL77" s="26" t="n">
        <v>35121</v>
      </c>
      <c r="AM77" s="26" t="n">
        <v>45005.8517246181</v>
      </c>
      <c r="AN77" s="25" t="n">
        <v>45005.8526967593</v>
      </c>
      <c r="AO77" s="22" t="n">
        <v>9</v>
      </c>
      <c r="AP77" s="22" t="n">
        <v>40</v>
      </c>
      <c r="AQ77" s="22" t="s">
        <v>0</v>
      </c>
      <c r="AR77" s="23" t="s">
        <v>708</v>
      </c>
      <c r="AS77" s="23" t="s">
        <v>78</v>
      </c>
      <c r="AT77" s="27"/>
      <c r="AU77" s="23"/>
      <c r="AV77" s="23"/>
      <c r="AW77" s="23"/>
      <c r="AX77" s="23"/>
      <c r="AY77" s="23"/>
    </row>
    <row r="78" customFormat="false" ht="15.75" hidden="false" customHeight="true" outlineLevel="0" collapsed="false">
      <c r="A78" s="22" t="n">
        <v>74</v>
      </c>
      <c r="B78" s="23" t="s">
        <v>814</v>
      </c>
      <c r="C78" s="22"/>
      <c r="D78" s="22" t="s">
        <v>815</v>
      </c>
      <c r="E78" s="22" t="s">
        <v>81</v>
      </c>
      <c r="F78" s="22" t="s">
        <v>107</v>
      </c>
      <c r="G78" s="22" t="s">
        <v>59</v>
      </c>
      <c r="H78" s="22" t="s">
        <v>96</v>
      </c>
      <c r="I78" s="22"/>
      <c r="J78" s="22" t="s">
        <v>61</v>
      </c>
      <c r="K78" s="22" t="s">
        <v>816</v>
      </c>
      <c r="L78" s="22" t="s">
        <v>62</v>
      </c>
      <c r="M78" s="22" t="s">
        <v>63</v>
      </c>
      <c r="N78" s="22" t="s">
        <v>817</v>
      </c>
      <c r="O78" s="22" t="s">
        <v>818</v>
      </c>
      <c r="P78" s="22" t="s">
        <v>819</v>
      </c>
      <c r="Q78" s="22"/>
      <c r="R78" s="22" t="s">
        <v>820</v>
      </c>
      <c r="S78" s="22" t="s">
        <v>61</v>
      </c>
      <c r="T78" s="22"/>
      <c r="U78" s="22" t="s">
        <v>821</v>
      </c>
      <c r="V78" s="22" t="s">
        <v>70</v>
      </c>
      <c r="W78" s="22" t="s">
        <v>71</v>
      </c>
      <c r="X78" s="25" t="n">
        <v>44044</v>
      </c>
      <c r="Y78" s="25" t="n">
        <v>45809</v>
      </c>
      <c r="Z78" s="22" t="s">
        <v>72</v>
      </c>
      <c r="AA78" s="22" t="s">
        <v>149</v>
      </c>
      <c r="AB78" s="22" t="s">
        <v>74</v>
      </c>
      <c r="AC78" s="22"/>
      <c r="AD78" s="22" t="n">
        <v>0</v>
      </c>
      <c r="AE78" s="22"/>
      <c r="AF78" s="22"/>
      <c r="AG78" s="22" t="s">
        <v>75</v>
      </c>
      <c r="AH78" s="22"/>
      <c r="AI78" s="22" t="n">
        <v>10</v>
      </c>
      <c r="AJ78" s="22" t="n">
        <v>30</v>
      </c>
      <c r="AK78" s="22" t="s">
        <v>61</v>
      </c>
      <c r="AL78" s="26" t="n">
        <v>35180</v>
      </c>
      <c r="AM78" s="26" t="n">
        <v>45001.5383132292</v>
      </c>
      <c r="AN78" s="25" t="n">
        <v>45001.5410069445</v>
      </c>
      <c r="AO78" s="22" t="n">
        <v>6</v>
      </c>
      <c r="AP78" s="22" t="n">
        <v>40</v>
      </c>
      <c r="AQ78" s="22" t="s">
        <v>0</v>
      </c>
      <c r="AR78" s="23" t="s">
        <v>708</v>
      </c>
      <c r="AS78" s="23" t="s">
        <v>78</v>
      </c>
      <c r="AT78" s="27"/>
      <c r="AU78" s="23"/>
      <c r="AV78" s="23"/>
      <c r="AW78" s="23"/>
      <c r="AX78" s="23"/>
      <c r="AY78" s="23"/>
    </row>
    <row r="79" customFormat="false" ht="15.75" hidden="false" customHeight="true" outlineLevel="0" collapsed="false">
      <c r="A79" s="22" t="n">
        <v>75</v>
      </c>
      <c r="B79" s="23" t="s">
        <v>822</v>
      </c>
      <c r="C79" s="22"/>
      <c r="D79" s="22" t="s">
        <v>823</v>
      </c>
      <c r="E79" s="22" t="s">
        <v>81</v>
      </c>
      <c r="F79" s="22" t="s">
        <v>107</v>
      </c>
      <c r="G79" s="22" t="s">
        <v>59</v>
      </c>
      <c r="H79" s="22" t="s">
        <v>60</v>
      </c>
      <c r="I79" s="22"/>
      <c r="J79" s="22" t="s">
        <v>61</v>
      </c>
      <c r="K79" s="22" t="s">
        <v>824</v>
      </c>
      <c r="L79" s="22" t="s">
        <v>62</v>
      </c>
      <c r="M79" s="22" t="s">
        <v>63</v>
      </c>
      <c r="N79" s="22" t="s">
        <v>825</v>
      </c>
      <c r="O79" s="22" t="s">
        <v>826</v>
      </c>
      <c r="P79" s="22" t="s">
        <v>827</v>
      </c>
      <c r="Q79" s="22"/>
      <c r="R79" s="22" t="s">
        <v>828</v>
      </c>
      <c r="S79" s="22" t="s">
        <v>61</v>
      </c>
      <c r="T79" s="22"/>
      <c r="U79" s="22" t="s">
        <v>829</v>
      </c>
      <c r="V79" s="22" t="s">
        <v>70</v>
      </c>
      <c r="W79" s="22" t="s">
        <v>71</v>
      </c>
      <c r="X79" s="25" t="n">
        <v>43132</v>
      </c>
      <c r="Y79" s="25" t="n">
        <v>45261</v>
      </c>
      <c r="Z79" s="22" t="s">
        <v>72</v>
      </c>
      <c r="AA79" s="22" t="s">
        <v>91</v>
      </c>
      <c r="AB79" s="22" t="s">
        <v>74</v>
      </c>
      <c r="AC79" s="22"/>
      <c r="AD79" s="22" t="n">
        <v>0</v>
      </c>
      <c r="AE79" s="22"/>
      <c r="AF79" s="22"/>
      <c r="AG79" s="22" t="s">
        <v>75</v>
      </c>
      <c r="AH79" s="22"/>
      <c r="AI79" s="22" t="n">
        <v>10</v>
      </c>
      <c r="AJ79" s="22" t="n">
        <v>30</v>
      </c>
      <c r="AK79" s="22" t="s">
        <v>61</v>
      </c>
      <c r="AL79" s="26" t="n">
        <v>35269</v>
      </c>
      <c r="AM79" s="26" t="n">
        <v>45000.4179906134</v>
      </c>
      <c r="AN79" s="25" t="n">
        <v>45000.419837963</v>
      </c>
      <c r="AO79" s="22" t="n">
        <v>9</v>
      </c>
      <c r="AP79" s="22" t="n">
        <v>40</v>
      </c>
      <c r="AQ79" s="22" t="s">
        <v>1</v>
      </c>
      <c r="AR79" s="27" t="s">
        <v>708</v>
      </c>
      <c r="AS79" s="27" t="s">
        <v>206</v>
      </c>
      <c r="AT79" s="27" t="s">
        <v>722</v>
      </c>
      <c r="AU79" s="27"/>
      <c r="AV79" s="27"/>
      <c r="AW79" s="27"/>
      <c r="AX79" s="27"/>
      <c r="AY79" s="27"/>
    </row>
    <row r="80" customFormat="false" ht="15.75" hidden="false" customHeight="true" outlineLevel="0" collapsed="false">
      <c r="A80" s="22" t="n">
        <v>76</v>
      </c>
      <c r="B80" s="23" t="s">
        <v>830</v>
      </c>
      <c r="C80" s="22" t="n">
        <v>6563181</v>
      </c>
      <c r="D80" s="22" t="n">
        <v>70583736122</v>
      </c>
      <c r="E80" s="22" t="s">
        <v>57</v>
      </c>
      <c r="F80" s="22" t="s">
        <v>107</v>
      </c>
      <c r="G80" s="22" t="s">
        <v>59</v>
      </c>
      <c r="H80" s="22" t="s">
        <v>96</v>
      </c>
      <c r="I80" s="22"/>
      <c r="J80" s="22" t="s">
        <v>61</v>
      </c>
      <c r="K80" s="22" t="n">
        <v>74603170</v>
      </c>
      <c r="L80" s="22" t="s">
        <v>62</v>
      </c>
      <c r="M80" s="22" t="s">
        <v>63</v>
      </c>
      <c r="N80" s="22" t="s">
        <v>831</v>
      </c>
      <c r="O80" s="22" t="s">
        <v>832</v>
      </c>
      <c r="P80" s="22" t="s">
        <v>833</v>
      </c>
      <c r="Q80" s="22" t="s">
        <v>834</v>
      </c>
      <c r="R80" s="22" t="s">
        <v>835</v>
      </c>
      <c r="S80" s="22" t="s">
        <v>61</v>
      </c>
      <c r="T80" s="22"/>
      <c r="U80" s="22" t="s">
        <v>836</v>
      </c>
      <c r="V80" s="22" t="s">
        <v>70</v>
      </c>
      <c r="W80" s="22" t="s">
        <v>71</v>
      </c>
      <c r="X80" s="25" t="n">
        <v>43525</v>
      </c>
      <c r="Y80" s="25" t="n">
        <v>46082</v>
      </c>
      <c r="Z80" s="22" t="s">
        <v>72</v>
      </c>
      <c r="AA80" s="22" t="s">
        <v>837</v>
      </c>
      <c r="AB80" s="22" t="s">
        <v>74</v>
      </c>
      <c r="AC80" s="22"/>
      <c r="AD80" s="22" t="n">
        <v>0</v>
      </c>
      <c r="AE80" s="22"/>
      <c r="AF80" s="22"/>
      <c r="AG80" s="22" t="s">
        <v>75</v>
      </c>
      <c r="AH80" s="22"/>
      <c r="AI80" s="22" t="n">
        <v>10</v>
      </c>
      <c r="AJ80" s="22" t="n">
        <v>30</v>
      </c>
      <c r="AK80" s="22" t="s">
        <v>61</v>
      </c>
      <c r="AL80" s="26" t="n">
        <v>35311</v>
      </c>
      <c r="AM80" s="26" t="n">
        <v>45005.6965277778</v>
      </c>
      <c r="AN80" s="25" t="n">
        <v>45005.7</v>
      </c>
      <c r="AO80" s="22" t="n">
        <v>6</v>
      </c>
      <c r="AP80" s="22" t="n">
        <v>40</v>
      </c>
      <c r="AQ80" s="22" t="s">
        <v>0</v>
      </c>
      <c r="AR80" s="27" t="s">
        <v>708</v>
      </c>
      <c r="AS80" s="27" t="s">
        <v>78</v>
      </c>
      <c r="AT80" s="27"/>
      <c r="AU80" s="27"/>
      <c r="AV80" s="27"/>
      <c r="AW80" s="27"/>
      <c r="AX80" s="27"/>
      <c r="AY80" s="27"/>
    </row>
    <row r="81" customFormat="false" ht="15.75" hidden="false" customHeight="true" outlineLevel="0" collapsed="false">
      <c r="A81" s="22" t="n">
        <v>77</v>
      </c>
      <c r="B81" s="23" t="s">
        <v>838</v>
      </c>
      <c r="C81" s="22"/>
      <c r="D81" s="22" t="s">
        <v>839</v>
      </c>
      <c r="E81" s="22" t="s">
        <v>81</v>
      </c>
      <c r="F81" s="22" t="s">
        <v>107</v>
      </c>
      <c r="G81" s="22" t="s">
        <v>59</v>
      </c>
      <c r="H81" s="22" t="s">
        <v>60</v>
      </c>
      <c r="I81" s="22"/>
      <c r="J81" s="22" t="s">
        <v>61</v>
      </c>
      <c r="K81" s="22" t="s">
        <v>840</v>
      </c>
      <c r="L81" s="22" t="s">
        <v>62</v>
      </c>
      <c r="M81" s="22" t="s">
        <v>63</v>
      </c>
      <c r="N81" s="22" t="s">
        <v>841</v>
      </c>
      <c r="O81" s="22" t="s">
        <v>842</v>
      </c>
      <c r="P81" s="22" t="s">
        <v>843</v>
      </c>
      <c r="Q81" s="22"/>
      <c r="R81" s="22" t="s">
        <v>844</v>
      </c>
      <c r="S81" s="22" t="s">
        <v>61</v>
      </c>
      <c r="T81" s="22"/>
      <c r="U81" s="22" t="s">
        <v>845</v>
      </c>
      <c r="V81" s="22" t="s">
        <v>70</v>
      </c>
      <c r="W81" s="22" t="s">
        <v>71</v>
      </c>
      <c r="X81" s="25" t="n">
        <v>44228</v>
      </c>
      <c r="Y81" s="25" t="n">
        <v>45992</v>
      </c>
      <c r="Z81" s="22" t="s">
        <v>72</v>
      </c>
      <c r="AA81" s="22" t="s">
        <v>149</v>
      </c>
      <c r="AB81" s="22" t="s">
        <v>74</v>
      </c>
      <c r="AC81" s="22"/>
      <c r="AD81" s="22" t="n">
        <v>0</v>
      </c>
      <c r="AE81" s="22"/>
      <c r="AF81" s="22"/>
      <c r="AG81" s="22" t="s">
        <v>75</v>
      </c>
      <c r="AH81" s="22"/>
      <c r="AI81" s="22" t="n">
        <v>10</v>
      </c>
      <c r="AJ81" s="22" t="n">
        <v>30</v>
      </c>
      <c r="AK81" s="22" t="s">
        <v>61</v>
      </c>
      <c r="AL81" s="26" t="n">
        <v>35340</v>
      </c>
      <c r="AM81" s="26" t="n">
        <v>45009.4835008449</v>
      </c>
      <c r="AN81" s="25" t="n">
        <v>45009.4851273148</v>
      </c>
      <c r="AO81" s="22" t="n">
        <v>5</v>
      </c>
      <c r="AP81" s="22" t="n">
        <v>40</v>
      </c>
      <c r="AQ81" s="22" t="s">
        <v>0</v>
      </c>
      <c r="AR81" s="23" t="s">
        <v>708</v>
      </c>
      <c r="AS81" s="23" t="s">
        <v>78</v>
      </c>
      <c r="AT81" s="27"/>
      <c r="AU81" s="23"/>
      <c r="AV81" s="23"/>
      <c r="AW81" s="23"/>
      <c r="AX81" s="23"/>
      <c r="AY81" s="23"/>
    </row>
    <row r="82" customFormat="false" ht="15.75" hidden="false" customHeight="true" outlineLevel="0" collapsed="false">
      <c r="A82" s="22" t="n">
        <v>78</v>
      </c>
      <c r="B82" s="23" t="s">
        <v>846</v>
      </c>
      <c r="C82" s="22" t="s">
        <v>847</v>
      </c>
      <c r="D82" s="22" t="s">
        <v>848</v>
      </c>
      <c r="E82" s="22" t="s">
        <v>81</v>
      </c>
      <c r="F82" s="22" t="s">
        <v>82</v>
      </c>
      <c r="G82" s="22" t="s">
        <v>59</v>
      </c>
      <c r="H82" s="22" t="s">
        <v>60</v>
      </c>
      <c r="I82" s="22"/>
      <c r="J82" s="22" t="s">
        <v>61</v>
      </c>
      <c r="K82" s="22" t="s">
        <v>849</v>
      </c>
      <c r="L82" s="22" t="s">
        <v>62</v>
      </c>
      <c r="M82" s="22" t="s">
        <v>63</v>
      </c>
      <c r="N82" s="22" t="s">
        <v>850</v>
      </c>
      <c r="O82" s="22" t="s">
        <v>851</v>
      </c>
      <c r="P82" s="22" t="s">
        <v>852</v>
      </c>
      <c r="Q82" s="22"/>
      <c r="R82" s="22" t="s">
        <v>853</v>
      </c>
      <c r="S82" s="22" t="s">
        <v>61</v>
      </c>
      <c r="T82" s="22"/>
      <c r="U82" s="22" t="s">
        <v>731</v>
      </c>
      <c r="V82" s="22" t="s">
        <v>70</v>
      </c>
      <c r="W82" s="22" t="s">
        <v>71</v>
      </c>
      <c r="X82" s="25" t="n">
        <v>44197</v>
      </c>
      <c r="Y82" s="25" t="n">
        <v>46174</v>
      </c>
      <c r="Z82" s="22" t="s">
        <v>72</v>
      </c>
      <c r="AA82" s="22" t="s">
        <v>149</v>
      </c>
      <c r="AB82" s="22" t="s">
        <v>74</v>
      </c>
      <c r="AC82" s="22"/>
      <c r="AD82" s="22" t="n">
        <v>0</v>
      </c>
      <c r="AE82" s="22"/>
      <c r="AF82" s="22"/>
      <c r="AG82" s="22" t="s">
        <v>75</v>
      </c>
      <c r="AH82" s="22"/>
      <c r="AI82" s="22" t="n">
        <v>10</v>
      </c>
      <c r="AJ82" s="22" t="n">
        <v>30</v>
      </c>
      <c r="AK82" s="22" t="s">
        <v>61</v>
      </c>
      <c r="AL82" s="26" t="n">
        <v>35364</v>
      </c>
      <c r="AM82" s="26" t="n">
        <v>45001.6621597685</v>
      </c>
      <c r="AN82" s="25" t="n">
        <v>45001.6670949074</v>
      </c>
      <c r="AO82" s="22" t="n">
        <v>5</v>
      </c>
      <c r="AP82" s="22" t="n">
        <v>40</v>
      </c>
      <c r="AQ82" s="22" t="s">
        <v>0</v>
      </c>
      <c r="AR82" s="23" t="s">
        <v>708</v>
      </c>
      <c r="AS82" s="23" t="s">
        <v>78</v>
      </c>
      <c r="AT82" s="27"/>
      <c r="AU82" s="23"/>
      <c r="AV82" s="23"/>
      <c r="AW82" s="23"/>
      <c r="AX82" s="23"/>
      <c r="AY82" s="23"/>
    </row>
    <row r="83" customFormat="false" ht="15.75" hidden="false" customHeight="true" outlineLevel="0" collapsed="false">
      <c r="A83" s="22" t="n">
        <v>79</v>
      </c>
      <c r="B83" s="23" t="s">
        <v>854</v>
      </c>
      <c r="C83" s="22" t="s">
        <v>855</v>
      </c>
      <c r="D83" s="22" t="s">
        <v>856</v>
      </c>
      <c r="E83" s="22" t="s">
        <v>81</v>
      </c>
      <c r="F83" s="22" t="s">
        <v>107</v>
      </c>
      <c r="G83" s="22" t="s">
        <v>59</v>
      </c>
      <c r="H83" s="22" t="s">
        <v>96</v>
      </c>
      <c r="I83" s="22"/>
      <c r="J83" s="22" t="s">
        <v>61</v>
      </c>
      <c r="K83" s="22" t="s">
        <v>857</v>
      </c>
      <c r="L83" s="22" t="s">
        <v>62</v>
      </c>
      <c r="M83" s="22" t="s">
        <v>84</v>
      </c>
      <c r="N83" s="22" t="s">
        <v>858</v>
      </c>
      <c r="O83" s="22" t="s">
        <v>859</v>
      </c>
      <c r="P83" s="22" t="s">
        <v>860</v>
      </c>
      <c r="Q83" s="22"/>
      <c r="R83" s="22" t="s">
        <v>861</v>
      </c>
      <c r="S83" s="22" t="s">
        <v>61</v>
      </c>
      <c r="T83" s="22"/>
      <c r="U83" s="22" t="s">
        <v>479</v>
      </c>
      <c r="V83" s="22" t="s">
        <v>70</v>
      </c>
      <c r="W83" s="22" t="s">
        <v>71</v>
      </c>
      <c r="X83" s="25" t="n">
        <v>43101</v>
      </c>
      <c r="Y83" s="25" t="n">
        <v>45658</v>
      </c>
      <c r="Z83" s="22" t="s">
        <v>72</v>
      </c>
      <c r="AA83" s="22" t="s">
        <v>91</v>
      </c>
      <c r="AB83" s="22" t="s">
        <v>74</v>
      </c>
      <c r="AC83" s="22"/>
      <c r="AD83" s="22" t="n">
        <v>0</v>
      </c>
      <c r="AE83" s="22"/>
      <c r="AF83" s="22"/>
      <c r="AG83" s="22" t="s">
        <v>75</v>
      </c>
      <c r="AH83" s="22"/>
      <c r="AI83" s="22" t="n">
        <v>10</v>
      </c>
      <c r="AJ83" s="22" t="n">
        <v>30</v>
      </c>
      <c r="AK83" s="22" t="s">
        <v>61</v>
      </c>
      <c r="AL83" s="26" t="n">
        <v>35372</v>
      </c>
      <c r="AM83" s="26" t="n">
        <v>45006.2004152662</v>
      </c>
      <c r="AN83" s="25" t="n">
        <v>45006.8989930556</v>
      </c>
      <c r="AO83" s="22" t="n">
        <v>5</v>
      </c>
      <c r="AP83" s="22" t="n">
        <v>40</v>
      </c>
      <c r="AQ83" s="22" t="s">
        <v>1</v>
      </c>
      <c r="AR83" s="27" t="s">
        <v>862</v>
      </c>
      <c r="AS83" s="27" t="s">
        <v>206</v>
      </c>
      <c r="AT83" s="27" t="s">
        <v>722</v>
      </c>
      <c r="AU83" s="27"/>
      <c r="AV83" s="27"/>
      <c r="AW83" s="27"/>
      <c r="AX83" s="27"/>
      <c r="AY83" s="27"/>
    </row>
    <row r="84" customFormat="false" ht="15.75" hidden="false" customHeight="true" outlineLevel="0" collapsed="false">
      <c r="A84" s="22" t="n">
        <v>80</v>
      </c>
      <c r="B84" s="23" t="s">
        <v>863</v>
      </c>
      <c r="C84" s="22"/>
      <c r="D84" s="22" t="n">
        <v>3640077296</v>
      </c>
      <c r="E84" s="22" t="s">
        <v>81</v>
      </c>
      <c r="F84" s="22" t="s">
        <v>107</v>
      </c>
      <c r="G84" s="22" t="s">
        <v>59</v>
      </c>
      <c r="H84" s="22" t="s">
        <v>864</v>
      </c>
      <c r="I84" s="22"/>
      <c r="J84" s="22" t="s">
        <v>61</v>
      </c>
      <c r="K84" s="22" t="n">
        <v>74922320</v>
      </c>
      <c r="L84" s="22" t="s">
        <v>62</v>
      </c>
      <c r="M84" s="22" t="s">
        <v>865</v>
      </c>
      <c r="N84" s="22" t="s">
        <v>866</v>
      </c>
      <c r="O84" s="22" t="s">
        <v>867</v>
      </c>
      <c r="P84" s="22" t="s">
        <v>868</v>
      </c>
      <c r="Q84" s="22" t="s">
        <v>869</v>
      </c>
      <c r="R84" s="22" t="s">
        <v>870</v>
      </c>
      <c r="S84" s="22" t="s">
        <v>61</v>
      </c>
      <c r="T84" s="22"/>
      <c r="U84" s="22" t="s">
        <v>871</v>
      </c>
      <c r="V84" s="22" t="s">
        <v>70</v>
      </c>
      <c r="W84" s="22" t="s">
        <v>71</v>
      </c>
      <c r="X84" s="32" t="n">
        <v>43678</v>
      </c>
      <c r="Y84" s="25" t="n">
        <v>45444</v>
      </c>
      <c r="Z84" s="22" t="s">
        <v>72</v>
      </c>
      <c r="AA84" s="22" t="s">
        <v>837</v>
      </c>
      <c r="AB84" s="22" t="s">
        <v>74</v>
      </c>
      <c r="AC84" s="22"/>
      <c r="AD84" s="22" t="n">
        <v>0</v>
      </c>
      <c r="AE84" s="22"/>
      <c r="AF84" s="22"/>
      <c r="AG84" s="22" t="s">
        <v>75</v>
      </c>
      <c r="AH84" s="22"/>
      <c r="AI84" s="22" t="n">
        <v>10</v>
      </c>
      <c r="AJ84" s="22" t="n">
        <v>30</v>
      </c>
      <c r="AK84" s="22" t="s">
        <v>76</v>
      </c>
      <c r="AL84" s="26" t="n">
        <v>35420</v>
      </c>
      <c r="AM84" s="26" t="n">
        <v>45002.6527777778</v>
      </c>
      <c r="AN84" s="33" t="n">
        <v>45002.6597222222</v>
      </c>
      <c r="AO84" s="22" t="n">
        <v>8</v>
      </c>
      <c r="AP84" s="22" t="n">
        <v>40</v>
      </c>
      <c r="AQ84" s="22" t="s">
        <v>0</v>
      </c>
      <c r="AR84" s="27" t="s">
        <v>708</v>
      </c>
      <c r="AS84" s="27" t="s">
        <v>78</v>
      </c>
      <c r="AT84" s="27"/>
      <c r="AU84" s="27"/>
      <c r="AV84" s="27"/>
      <c r="AW84" s="27"/>
      <c r="AX84" s="27"/>
      <c r="AY84" s="27"/>
    </row>
    <row r="85" customFormat="false" ht="15.75" hidden="false" customHeight="true" outlineLevel="0" collapsed="false">
      <c r="A85" s="22" t="n">
        <v>81</v>
      </c>
      <c r="B85" s="23" t="s">
        <v>872</v>
      </c>
      <c r="C85" s="22"/>
      <c r="D85" s="22" t="s">
        <v>873</v>
      </c>
      <c r="E85" s="22" t="s">
        <v>81</v>
      </c>
      <c r="F85" s="22" t="s">
        <v>107</v>
      </c>
      <c r="G85" s="22" t="s">
        <v>59</v>
      </c>
      <c r="H85" s="22" t="s">
        <v>96</v>
      </c>
      <c r="I85" s="22"/>
      <c r="J85" s="22" t="s">
        <v>61</v>
      </c>
      <c r="K85" s="22" t="s">
        <v>874</v>
      </c>
      <c r="L85" s="22" t="s">
        <v>62</v>
      </c>
      <c r="M85" s="22" t="s">
        <v>63</v>
      </c>
      <c r="N85" s="22" t="s">
        <v>875</v>
      </c>
      <c r="O85" s="22" t="s">
        <v>418</v>
      </c>
      <c r="P85" s="22" t="s">
        <v>876</v>
      </c>
      <c r="Q85" s="22" t="s">
        <v>877</v>
      </c>
      <c r="R85" s="22" t="s">
        <v>878</v>
      </c>
      <c r="S85" s="22" t="s">
        <v>61</v>
      </c>
      <c r="T85" s="22"/>
      <c r="U85" s="22" t="s">
        <v>879</v>
      </c>
      <c r="V85" s="22" t="s">
        <v>70</v>
      </c>
      <c r="W85" s="22" t="s">
        <v>71</v>
      </c>
      <c r="X85" s="25" t="n">
        <v>43282</v>
      </c>
      <c r="Y85" s="25" t="n">
        <v>45261</v>
      </c>
      <c r="Z85" s="22" t="s">
        <v>72</v>
      </c>
      <c r="AA85" s="22" t="s">
        <v>149</v>
      </c>
      <c r="AB85" s="22" t="s">
        <v>74</v>
      </c>
      <c r="AC85" s="22"/>
      <c r="AD85" s="22" t="n">
        <v>0</v>
      </c>
      <c r="AE85" s="22"/>
      <c r="AF85" s="22"/>
      <c r="AG85" s="22" t="s">
        <v>75</v>
      </c>
      <c r="AH85" s="22"/>
      <c r="AI85" s="22" t="n">
        <v>10</v>
      </c>
      <c r="AJ85" s="22" t="n">
        <v>30</v>
      </c>
      <c r="AK85" s="22" t="s">
        <v>61</v>
      </c>
      <c r="AL85" s="26" t="n">
        <v>35438</v>
      </c>
      <c r="AM85" s="26" t="n">
        <v>45009.3169285532</v>
      </c>
      <c r="AN85" s="25" t="n">
        <v>45009.4695949074</v>
      </c>
      <c r="AO85" s="22" t="n">
        <v>9</v>
      </c>
      <c r="AP85" s="22" t="n">
        <v>40</v>
      </c>
      <c r="AQ85" s="22" t="s">
        <v>1</v>
      </c>
      <c r="AR85" s="27" t="s">
        <v>753</v>
      </c>
      <c r="AS85" s="27" t="s">
        <v>206</v>
      </c>
      <c r="AT85" s="27" t="s">
        <v>722</v>
      </c>
      <c r="AU85" s="27" t="s">
        <v>880</v>
      </c>
      <c r="AV85" s="27"/>
      <c r="AW85" s="27"/>
      <c r="AX85" s="27"/>
      <c r="AY85" s="27"/>
    </row>
    <row r="86" customFormat="false" ht="15.75" hidden="false" customHeight="true" outlineLevel="0" collapsed="false">
      <c r="A86" s="22" t="n">
        <v>82</v>
      </c>
      <c r="B86" s="23" t="s">
        <v>881</v>
      </c>
      <c r="C86" s="22"/>
      <c r="D86" s="22" t="s">
        <v>882</v>
      </c>
      <c r="E86" s="22" t="s">
        <v>81</v>
      </c>
      <c r="F86" s="22" t="s">
        <v>107</v>
      </c>
      <c r="G86" s="22" t="s">
        <v>59</v>
      </c>
      <c r="H86" s="22" t="s">
        <v>96</v>
      </c>
      <c r="I86" s="22"/>
      <c r="J86" s="22" t="s">
        <v>61</v>
      </c>
      <c r="K86" s="22" t="s">
        <v>883</v>
      </c>
      <c r="L86" s="22" t="s">
        <v>62</v>
      </c>
      <c r="M86" s="22" t="s">
        <v>63</v>
      </c>
      <c r="N86" s="22" t="s">
        <v>884</v>
      </c>
      <c r="O86" s="22" t="s">
        <v>885</v>
      </c>
      <c r="P86" s="22" t="s">
        <v>886</v>
      </c>
      <c r="Q86" s="22"/>
      <c r="R86" s="22" t="s">
        <v>887</v>
      </c>
      <c r="S86" s="22" t="s">
        <v>61</v>
      </c>
      <c r="T86" s="22"/>
      <c r="U86" s="22" t="s">
        <v>888</v>
      </c>
      <c r="V86" s="22" t="s">
        <v>70</v>
      </c>
      <c r="W86" s="22" t="s">
        <v>71</v>
      </c>
      <c r="X86" s="25" t="n">
        <v>44044</v>
      </c>
      <c r="Y86" s="25" t="n">
        <v>45870</v>
      </c>
      <c r="Z86" s="22" t="s">
        <v>72</v>
      </c>
      <c r="AA86" s="22" t="s">
        <v>91</v>
      </c>
      <c r="AB86" s="22" t="s">
        <v>74</v>
      </c>
      <c r="AC86" s="22"/>
      <c r="AD86" s="22" t="n">
        <v>0</v>
      </c>
      <c r="AE86" s="22"/>
      <c r="AF86" s="22"/>
      <c r="AG86" s="22" t="s">
        <v>75</v>
      </c>
      <c r="AH86" s="22"/>
      <c r="AI86" s="22" t="n">
        <v>10</v>
      </c>
      <c r="AJ86" s="22" t="n">
        <v>30</v>
      </c>
      <c r="AK86" s="22" t="s">
        <v>76</v>
      </c>
      <c r="AL86" s="26" t="n">
        <v>35466</v>
      </c>
      <c r="AM86" s="26" t="n">
        <v>45000.6116545949</v>
      </c>
      <c r="AN86" s="25" t="n">
        <v>45003.2918981482</v>
      </c>
      <c r="AO86" s="22" t="n">
        <v>6</v>
      </c>
      <c r="AP86" s="22" t="n">
        <v>40</v>
      </c>
      <c r="AQ86" s="22" t="s">
        <v>0</v>
      </c>
      <c r="AR86" s="23" t="s">
        <v>708</v>
      </c>
      <c r="AS86" s="23" t="s">
        <v>78</v>
      </c>
      <c r="AT86" s="27"/>
      <c r="AU86" s="23"/>
      <c r="AV86" s="23"/>
      <c r="AW86" s="23"/>
      <c r="AX86" s="23"/>
      <c r="AY86" s="23"/>
    </row>
    <row r="87" customFormat="false" ht="15.75" hidden="false" customHeight="true" outlineLevel="0" collapsed="false">
      <c r="A87" s="22" t="n">
        <v>83</v>
      </c>
      <c r="B87" s="23" t="s">
        <v>889</v>
      </c>
      <c r="C87" s="22" t="s">
        <v>890</v>
      </c>
      <c r="D87" s="22" t="s">
        <v>891</v>
      </c>
      <c r="E87" s="22" t="s">
        <v>57</v>
      </c>
      <c r="F87" s="22" t="s">
        <v>107</v>
      </c>
      <c r="G87" s="22" t="s">
        <v>59</v>
      </c>
      <c r="H87" s="22" t="s">
        <v>327</v>
      </c>
      <c r="I87" s="22"/>
      <c r="J87" s="22" t="s">
        <v>61</v>
      </c>
      <c r="K87" s="22" t="s">
        <v>892</v>
      </c>
      <c r="L87" s="22" t="s">
        <v>62</v>
      </c>
      <c r="M87" s="22" t="s">
        <v>63</v>
      </c>
      <c r="N87" s="22" t="s">
        <v>893</v>
      </c>
      <c r="O87" s="22" t="s">
        <v>894</v>
      </c>
      <c r="P87" s="22" t="s">
        <v>895</v>
      </c>
      <c r="Q87" s="22"/>
      <c r="R87" s="22" t="s">
        <v>896</v>
      </c>
      <c r="S87" s="22" t="s">
        <v>61</v>
      </c>
      <c r="T87" s="22"/>
      <c r="U87" s="22" t="s">
        <v>897</v>
      </c>
      <c r="V87" s="22" t="s">
        <v>70</v>
      </c>
      <c r="W87" s="22" t="s">
        <v>71</v>
      </c>
      <c r="X87" s="25" t="n">
        <v>43313</v>
      </c>
      <c r="Y87" s="25" t="n">
        <v>45505</v>
      </c>
      <c r="Z87" s="22" t="s">
        <v>72</v>
      </c>
      <c r="AA87" s="22" t="s">
        <v>91</v>
      </c>
      <c r="AB87" s="22" t="s">
        <v>74</v>
      </c>
      <c r="AC87" s="22"/>
      <c r="AD87" s="22" t="n">
        <v>0</v>
      </c>
      <c r="AE87" s="22"/>
      <c r="AF87" s="22"/>
      <c r="AG87" s="22" t="s">
        <v>75</v>
      </c>
      <c r="AH87" s="22"/>
      <c r="AI87" s="22" t="n">
        <v>10</v>
      </c>
      <c r="AJ87" s="22" t="n">
        <v>30</v>
      </c>
      <c r="AK87" s="22" t="s">
        <v>76</v>
      </c>
      <c r="AL87" s="26" t="n">
        <v>35487</v>
      </c>
      <c r="AM87" s="26" t="n">
        <v>45000.39556625</v>
      </c>
      <c r="AN87" s="25" t="n">
        <v>45001.4411226852</v>
      </c>
      <c r="AO87" s="22" t="n">
        <v>8</v>
      </c>
      <c r="AP87" s="22" t="n">
        <v>40</v>
      </c>
      <c r="AQ87" s="22" t="s">
        <v>1</v>
      </c>
      <c r="AR87" s="27" t="s">
        <v>708</v>
      </c>
      <c r="AS87" s="27" t="s">
        <v>402</v>
      </c>
      <c r="AT87" s="27" t="s">
        <v>898</v>
      </c>
      <c r="AU87" s="27" t="s">
        <v>220</v>
      </c>
      <c r="AV87" s="27"/>
      <c r="AW87" s="27"/>
      <c r="AX87" s="27"/>
      <c r="AY87" s="27"/>
    </row>
    <row r="88" customFormat="false" ht="15.75" hidden="false" customHeight="true" outlineLevel="0" collapsed="false">
      <c r="A88" s="22" t="n">
        <v>84</v>
      </c>
      <c r="B88" s="23" t="s">
        <v>899</v>
      </c>
      <c r="C88" s="22"/>
      <c r="D88" s="22" t="s">
        <v>900</v>
      </c>
      <c r="E88" s="22" t="s">
        <v>81</v>
      </c>
      <c r="F88" s="22" t="s">
        <v>107</v>
      </c>
      <c r="G88" s="22" t="s">
        <v>59</v>
      </c>
      <c r="H88" s="22" t="s">
        <v>156</v>
      </c>
      <c r="I88" s="22"/>
      <c r="J88" s="22" t="s">
        <v>61</v>
      </c>
      <c r="K88" s="22" t="s">
        <v>901</v>
      </c>
      <c r="L88" s="22" t="s">
        <v>62</v>
      </c>
      <c r="M88" s="22" t="s">
        <v>63</v>
      </c>
      <c r="N88" s="22" t="s">
        <v>902</v>
      </c>
      <c r="O88" s="22" t="s">
        <v>903</v>
      </c>
      <c r="P88" s="22" t="s">
        <v>904</v>
      </c>
      <c r="Q88" s="22"/>
      <c r="R88" s="22" t="s">
        <v>905</v>
      </c>
      <c r="S88" s="22" t="s">
        <v>61</v>
      </c>
      <c r="T88" s="22"/>
      <c r="U88" s="22" t="s">
        <v>906</v>
      </c>
      <c r="V88" s="22" t="s">
        <v>70</v>
      </c>
      <c r="W88" s="22" t="s">
        <v>71</v>
      </c>
      <c r="X88" s="25" t="n">
        <v>44593</v>
      </c>
      <c r="Y88" s="25" t="n">
        <v>46357</v>
      </c>
      <c r="Z88" s="22" t="s">
        <v>72</v>
      </c>
      <c r="AA88" s="22" t="s">
        <v>91</v>
      </c>
      <c r="AB88" s="22" t="s">
        <v>74</v>
      </c>
      <c r="AC88" s="22"/>
      <c r="AD88" s="22" t="n">
        <v>0</v>
      </c>
      <c r="AE88" s="22"/>
      <c r="AF88" s="22"/>
      <c r="AG88" s="22" t="s">
        <v>75</v>
      </c>
      <c r="AH88" s="22"/>
      <c r="AI88" s="22" t="n">
        <v>10</v>
      </c>
      <c r="AJ88" s="22" t="n">
        <v>30</v>
      </c>
      <c r="AK88" s="22" t="s">
        <v>61</v>
      </c>
      <c r="AL88" s="26" t="n">
        <v>35539</v>
      </c>
      <c r="AM88" s="26" t="n">
        <v>45008.6560699306</v>
      </c>
      <c r="AN88" s="25" t="n">
        <v>45008.6575231482</v>
      </c>
      <c r="AO88" s="22" t="n">
        <v>5</v>
      </c>
      <c r="AP88" s="22" t="n">
        <v>40</v>
      </c>
      <c r="AQ88" s="22" t="s">
        <v>1</v>
      </c>
      <c r="AR88" s="27" t="s">
        <v>708</v>
      </c>
      <c r="AS88" s="27" t="s">
        <v>220</v>
      </c>
      <c r="AT88" s="27" t="s">
        <v>907</v>
      </c>
      <c r="AU88" s="27" t="s">
        <v>220</v>
      </c>
      <c r="AV88" s="27"/>
      <c r="AW88" s="27"/>
      <c r="AX88" s="27"/>
      <c r="AY88" s="27"/>
    </row>
    <row r="89" customFormat="false" ht="15.75" hidden="false" customHeight="true" outlineLevel="0" collapsed="false">
      <c r="A89" s="22" t="n">
        <v>85</v>
      </c>
      <c r="B89" s="23" t="s">
        <v>908</v>
      </c>
      <c r="C89" s="22"/>
      <c r="D89" s="22" t="s">
        <v>909</v>
      </c>
      <c r="E89" s="22" t="s">
        <v>57</v>
      </c>
      <c r="F89" s="22" t="s">
        <v>107</v>
      </c>
      <c r="G89" s="22" t="s">
        <v>59</v>
      </c>
      <c r="H89" s="22" t="s">
        <v>96</v>
      </c>
      <c r="I89" s="22"/>
      <c r="J89" s="22" t="s">
        <v>61</v>
      </c>
      <c r="K89" s="22" t="s">
        <v>667</v>
      </c>
      <c r="L89" s="22" t="s">
        <v>62</v>
      </c>
      <c r="M89" s="22" t="s">
        <v>63</v>
      </c>
      <c r="N89" s="22" t="s">
        <v>910</v>
      </c>
      <c r="O89" s="22" t="s">
        <v>669</v>
      </c>
      <c r="P89" s="22" t="s">
        <v>911</v>
      </c>
      <c r="Q89" s="22" t="s">
        <v>912</v>
      </c>
      <c r="R89" s="22" t="s">
        <v>913</v>
      </c>
      <c r="S89" s="22" t="s">
        <v>61</v>
      </c>
      <c r="T89" s="22"/>
      <c r="U89" s="22" t="s">
        <v>672</v>
      </c>
      <c r="V89" s="22" t="s">
        <v>70</v>
      </c>
      <c r="W89" s="22" t="s">
        <v>71</v>
      </c>
      <c r="X89" s="25" t="n">
        <v>43313</v>
      </c>
      <c r="Y89" s="25" t="n">
        <v>45627</v>
      </c>
      <c r="Z89" s="22" t="s">
        <v>72</v>
      </c>
      <c r="AA89" s="22" t="s">
        <v>91</v>
      </c>
      <c r="AB89" s="22" t="s">
        <v>74</v>
      </c>
      <c r="AC89" s="22"/>
      <c r="AD89" s="22" t="n">
        <v>0</v>
      </c>
      <c r="AE89" s="22"/>
      <c r="AF89" s="22"/>
      <c r="AG89" s="22" t="s">
        <v>75</v>
      </c>
      <c r="AH89" s="22"/>
      <c r="AI89" s="22" t="n">
        <v>10</v>
      </c>
      <c r="AJ89" s="22" t="n">
        <v>30</v>
      </c>
      <c r="AK89" s="22" t="s">
        <v>61</v>
      </c>
      <c r="AL89" s="26" t="n">
        <v>35574</v>
      </c>
      <c r="AM89" s="26" t="n">
        <v>45006.015684294</v>
      </c>
      <c r="AN89" s="25" t="n">
        <v>45006.0168865741</v>
      </c>
      <c r="AO89" s="22" t="n">
        <v>7</v>
      </c>
      <c r="AP89" s="22" t="n">
        <v>40</v>
      </c>
      <c r="AQ89" s="22" t="s">
        <v>0</v>
      </c>
      <c r="AR89" s="27" t="s">
        <v>753</v>
      </c>
      <c r="AS89" s="27" t="s">
        <v>78</v>
      </c>
      <c r="AT89" s="27"/>
      <c r="AU89" s="27"/>
      <c r="AV89" s="27"/>
      <c r="AW89" s="27"/>
      <c r="AX89" s="27"/>
      <c r="AY89" s="27"/>
    </row>
    <row r="90" customFormat="false" ht="15.75" hidden="false" customHeight="true" outlineLevel="0" collapsed="false">
      <c r="A90" s="22" t="n">
        <v>86</v>
      </c>
      <c r="B90" s="23" t="s">
        <v>914</v>
      </c>
      <c r="C90" s="22" t="s">
        <v>915</v>
      </c>
      <c r="D90" s="22" t="s">
        <v>916</v>
      </c>
      <c r="E90" s="22" t="s">
        <v>81</v>
      </c>
      <c r="F90" s="22" t="s">
        <v>107</v>
      </c>
      <c r="G90" s="22" t="s">
        <v>59</v>
      </c>
      <c r="H90" s="22" t="s">
        <v>96</v>
      </c>
      <c r="I90" s="22"/>
      <c r="J90" s="22" t="s">
        <v>61</v>
      </c>
      <c r="K90" s="22" t="s">
        <v>917</v>
      </c>
      <c r="L90" s="22" t="s">
        <v>62</v>
      </c>
      <c r="M90" s="22" t="s">
        <v>63</v>
      </c>
      <c r="N90" s="22" t="s">
        <v>918</v>
      </c>
      <c r="O90" s="22" t="s">
        <v>919</v>
      </c>
      <c r="P90" s="22" t="s">
        <v>920</v>
      </c>
      <c r="Q90" s="22"/>
      <c r="R90" s="22" t="s">
        <v>921</v>
      </c>
      <c r="S90" s="22" t="s">
        <v>61</v>
      </c>
      <c r="T90" s="22"/>
      <c r="U90" s="22" t="s">
        <v>922</v>
      </c>
      <c r="V90" s="22" t="s">
        <v>70</v>
      </c>
      <c r="W90" s="22" t="s">
        <v>71</v>
      </c>
      <c r="X90" s="25" t="n">
        <v>44044</v>
      </c>
      <c r="Y90" s="25" t="n">
        <v>45870</v>
      </c>
      <c r="Z90" s="22" t="s">
        <v>72</v>
      </c>
      <c r="AA90" s="22" t="s">
        <v>91</v>
      </c>
      <c r="AB90" s="22" t="s">
        <v>74</v>
      </c>
      <c r="AC90" s="22"/>
      <c r="AD90" s="22" t="n">
        <v>0</v>
      </c>
      <c r="AE90" s="22"/>
      <c r="AF90" s="22"/>
      <c r="AG90" s="22" t="s">
        <v>75</v>
      </c>
      <c r="AH90" s="22"/>
      <c r="AI90" s="22" t="n">
        <v>10</v>
      </c>
      <c r="AJ90" s="22" t="n">
        <v>30</v>
      </c>
      <c r="AK90" s="22" t="s">
        <v>76</v>
      </c>
      <c r="AL90" s="26" t="n">
        <v>35613</v>
      </c>
      <c r="AM90" s="26" t="n">
        <v>45007.6263146644</v>
      </c>
      <c r="AN90" s="25" t="n">
        <v>45007.6323726852</v>
      </c>
      <c r="AO90" s="22" t="n">
        <v>6</v>
      </c>
      <c r="AP90" s="22" t="n">
        <v>40</v>
      </c>
      <c r="AQ90" s="22" t="s">
        <v>0</v>
      </c>
      <c r="AR90" s="23" t="s">
        <v>923</v>
      </c>
      <c r="AS90" s="23" t="s">
        <v>78</v>
      </c>
      <c r="AT90" s="23"/>
      <c r="AU90" s="23"/>
      <c r="AV90" s="23"/>
      <c r="AW90" s="23"/>
      <c r="AX90" s="23"/>
      <c r="AY90" s="23"/>
    </row>
    <row r="91" customFormat="false" ht="15.75" hidden="false" customHeight="true" outlineLevel="0" collapsed="false">
      <c r="A91" s="22" t="n">
        <v>87</v>
      </c>
      <c r="B91" s="23" t="s">
        <v>924</v>
      </c>
      <c r="C91" s="22"/>
      <c r="D91" s="22" t="s">
        <v>925</v>
      </c>
      <c r="E91" s="22" t="s">
        <v>81</v>
      </c>
      <c r="F91" s="22" t="s">
        <v>107</v>
      </c>
      <c r="G91" s="22" t="s">
        <v>59</v>
      </c>
      <c r="H91" s="22" t="s">
        <v>60</v>
      </c>
      <c r="I91" s="22"/>
      <c r="J91" s="22" t="s">
        <v>61</v>
      </c>
      <c r="K91" s="22" t="s">
        <v>926</v>
      </c>
      <c r="L91" s="22" t="s">
        <v>62</v>
      </c>
      <c r="M91" s="22" t="s">
        <v>63</v>
      </c>
      <c r="N91" s="22" t="s">
        <v>927</v>
      </c>
      <c r="O91" s="22" t="s">
        <v>928</v>
      </c>
      <c r="P91" s="22" t="s">
        <v>929</v>
      </c>
      <c r="Q91" s="22" t="s">
        <v>930</v>
      </c>
      <c r="R91" s="22" t="s">
        <v>931</v>
      </c>
      <c r="S91" s="22" t="s">
        <v>61</v>
      </c>
      <c r="T91" s="22"/>
      <c r="U91" s="22" t="s">
        <v>932</v>
      </c>
      <c r="V91" s="22" t="s">
        <v>70</v>
      </c>
      <c r="W91" s="22" t="s">
        <v>71</v>
      </c>
      <c r="X91" s="25" t="n">
        <v>43466</v>
      </c>
      <c r="Y91" s="25" t="n">
        <v>45627</v>
      </c>
      <c r="Z91" s="22" t="s">
        <v>72</v>
      </c>
      <c r="AA91" s="22" t="s">
        <v>91</v>
      </c>
      <c r="AB91" s="22" t="s">
        <v>74</v>
      </c>
      <c r="AC91" s="22"/>
      <c r="AD91" s="22" t="n">
        <v>0</v>
      </c>
      <c r="AE91" s="22"/>
      <c r="AF91" s="22"/>
      <c r="AG91" s="22" t="s">
        <v>75</v>
      </c>
      <c r="AH91" s="22"/>
      <c r="AI91" s="22" t="n">
        <v>10</v>
      </c>
      <c r="AJ91" s="22" t="n">
        <v>30</v>
      </c>
      <c r="AK91" s="22" t="s">
        <v>61</v>
      </c>
      <c r="AL91" s="26" t="n">
        <v>35639</v>
      </c>
      <c r="AM91" s="26" t="n">
        <v>45007.9321229398</v>
      </c>
      <c r="AN91" s="25" t="n">
        <v>45007.9336689815</v>
      </c>
      <c r="AO91" s="22" t="n">
        <v>7</v>
      </c>
      <c r="AP91" s="22" t="n">
        <v>40</v>
      </c>
      <c r="AQ91" s="22" t="s">
        <v>0</v>
      </c>
      <c r="AR91" s="23" t="s">
        <v>923</v>
      </c>
      <c r="AS91" s="23" t="s">
        <v>78</v>
      </c>
      <c r="AT91" s="23"/>
      <c r="AU91" s="23"/>
      <c r="AV91" s="23"/>
      <c r="AW91" s="23"/>
      <c r="AX91" s="23"/>
      <c r="AY91" s="23"/>
    </row>
    <row r="92" customFormat="false" ht="15.75" hidden="false" customHeight="true" outlineLevel="0" collapsed="false">
      <c r="A92" s="22" t="n">
        <v>88</v>
      </c>
      <c r="B92" s="23" t="s">
        <v>933</v>
      </c>
      <c r="C92" s="22" t="s">
        <v>934</v>
      </c>
      <c r="D92" s="22" t="s">
        <v>935</v>
      </c>
      <c r="E92" s="22" t="s">
        <v>57</v>
      </c>
      <c r="F92" s="22" t="s">
        <v>107</v>
      </c>
      <c r="G92" s="22" t="s">
        <v>59</v>
      </c>
      <c r="H92" s="22" t="s">
        <v>96</v>
      </c>
      <c r="I92" s="22"/>
      <c r="J92" s="22" t="s">
        <v>61</v>
      </c>
      <c r="K92" s="22" t="s">
        <v>936</v>
      </c>
      <c r="L92" s="22" t="s">
        <v>62</v>
      </c>
      <c r="M92" s="22" t="s">
        <v>63</v>
      </c>
      <c r="N92" s="22" t="s">
        <v>937</v>
      </c>
      <c r="O92" s="22" t="s">
        <v>449</v>
      </c>
      <c r="P92" s="22" t="s">
        <v>938</v>
      </c>
      <c r="Q92" s="22"/>
      <c r="R92" s="22" t="s">
        <v>939</v>
      </c>
      <c r="S92" s="22" t="s">
        <v>61</v>
      </c>
      <c r="T92" s="22"/>
      <c r="U92" s="22" t="s">
        <v>940</v>
      </c>
      <c r="V92" s="22" t="s">
        <v>70</v>
      </c>
      <c r="W92" s="22" t="s">
        <v>71</v>
      </c>
      <c r="X92" s="25" t="n">
        <v>44986</v>
      </c>
      <c r="Y92" s="25" t="n">
        <v>46174</v>
      </c>
      <c r="Z92" s="22" t="s">
        <v>72</v>
      </c>
      <c r="AA92" s="22" t="s">
        <v>91</v>
      </c>
      <c r="AB92" s="22" t="s">
        <v>74</v>
      </c>
      <c r="AC92" s="22"/>
      <c r="AD92" s="22" t="n">
        <v>0</v>
      </c>
      <c r="AE92" s="22"/>
      <c r="AF92" s="22"/>
      <c r="AG92" s="22" t="s">
        <v>75</v>
      </c>
      <c r="AH92" s="22"/>
      <c r="AI92" s="22" t="n">
        <v>10</v>
      </c>
      <c r="AJ92" s="22" t="n">
        <v>30</v>
      </c>
      <c r="AK92" s="22" t="s">
        <v>61</v>
      </c>
      <c r="AL92" s="26" t="n">
        <v>35717</v>
      </c>
      <c r="AM92" s="26" t="n">
        <v>45002.9911202083</v>
      </c>
      <c r="AN92" s="25" t="n">
        <v>45003.3998726852</v>
      </c>
      <c r="AO92" s="22" t="n">
        <v>5</v>
      </c>
      <c r="AP92" s="22" t="n">
        <v>40</v>
      </c>
      <c r="AQ92" s="22" t="s">
        <v>1</v>
      </c>
      <c r="AR92" s="27" t="s">
        <v>923</v>
      </c>
      <c r="AS92" s="27" t="s">
        <v>206</v>
      </c>
      <c r="AT92" s="27" t="s">
        <v>722</v>
      </c>
      <c r="AU92" s="27"/>
      <c r="AV92" s="27"/>
      <c r="AW92" s="27"/>
      <c r="AX92" s="27"/>
      <c r="AY92" s="27"/>
    </row>
    <row r="93" customFormat="false" ht="15.75" hidden="false" customHeight="true" outlineLevel="0" collapsed="false">
      <c r="A93" s="22" t="n">
        <v>89</v>
      </c>
      <c r="B93" s="23" t="s">
        <v>941</v>
      </c>
      <c r="C93" s="22" t="s">
        <v>942</v>
      </c>
      <c r="D93" s="22" t="s">
        <v>943</v>
      </c>
      <c r="E93" s="22" t="s">
        <v>57</v>
      </c>
      <c r="F93" s="22" t="s">
        <v>107</v>
      </c>
      <c r="G93" s="22" t="s">
        <v>59</v>
      </c>
      <c r="H93" s="22" t="s">
        <v>96</v>
      </c>
      <c r="I93" s="22"/>
      <c r="J93" s="22" t="s">
        <v>61</v>
      </c>
      <c r="K93" s="22" t="s">
        <v>944</v>
      </c>
      <c r="L93" s="22" t="s">
        <v>62</v>
      </c>
      <c r="M93" s="22" t="s">
        <v>84</v>
      </c>
      <c r="N93" s="22" t="s">
        <v>945</v>
      </c>
      <c r="O93" s="22" t="s">
        <v>946</v>
      </c>
      <c r="P93" s="22" t="s">
        <v>947</v>
      </c>
      <c r="Q93" s="22" t="s">
        <v>948</v>
      </c>
      <c r="R93" s="22" t="s">
        <v>949</v>
      </c>
      <c r="S93" s="22" t="s">
        <v>61</v>
      </c>
      <c r="T93" s="22"/>
      <c r="U93" s="22" t="s">
        <v>183</v>
      </c>
      <c r="V93" s="22" t="s">
        <v>70</v>
      </c>
      <c r="W93" s="22" t="s">
        <v>71</v>
      </c>
      <c r="X93" s="25" t="n">
        <v>44197</v>
      </c>
      <c r="Y93" s="25" t="n">
        <v>45992</v>
      </c>
      <c r="Z93" s="22" t="s">
        <v>72</v>
      </c>
      <c r="AA93" s="22" t="s">
        <v>91</v>
      </c>
      <c r="AB93" s="22" t="s">
        <v>74</v>
      </c>
      <c r="AC93" s="22"/>
      <c r="AD93" s="22" t="n">
        <v>0</v>
      </c>
      <c r="AE93" s="22"/>
      <c r="AF93" s="22"/>
      <c r="AG93" s="22" t="s">
        <v>75</v>
      </c>
      <c r="AH93" s="22"/>
      <c r="AI93" s="22" t="n">
        <v>10</v>
      </c>
      <c r="AJ93" s="22" t="n">
        <v>30</v>
      </c>
      <c r="AK93" s="22" t="s">
        <v>76</v>
      </c>
      <c r="AL93" s="26" t="n">
        <v>35779</v>
      </c>
      <c r="AM93" s="26" t="n">
        <v>45005.984739838</v>
      </c>
      <c r="AN93" s="25" t="n">
        <v>45006.043912037</v>
      </c>
      <c r="AO93" s="22" t="n">
        <v>5</v>
      </c>
      <c r="AP93" s="22" t="n">
        <v>40</v>
      </c>
      <c r="AQ93" s="22" t="s">
        <v>1</v>
      </c>
      <c r="AR93" s="27" t="s">
        <v>923</v>
      </c>
      <c r="AS93" s="27" t="s">
        <v>206</v>
      </c>
      <c r="AT93" s="27" t="s">
        <v>722</v>
      </c>
      <c r="AU93" s="27"/>
      <c r="AV93" s="27"/>
      <c r="AW93" s="27"/>
      <c r="AX93" s="27"/>
      <c r="AY93" s="27"/>
    </row>
    <row r="94" customFormat="false" ht="15.75" hidden="false" customHeight="true" outlineLevel="0" collapsed="false">
      <c r="A94" s="22" t="n">
        <v>90</v>
      </c>
      <c r="B94" s="23" t="s">
        <v>950</v>
      </c>
      <c r="C94" s="22" t="s">
        <v>951</v>
      </c>
      <c r="D94" s="22" t="s">
        <v>952</v>
      </c>
      <c r="E94" s="22" t="s">
        <v>57</v>
      </c>
      <c r="F94" s="22" t="s">
        <v>107</v>
      </c>
      <c r="G94" s="22" t="s">
        <v>59</v>
      </c>
      <c r="H94" s="22" t="s">
        <v>60</v>
      </c>
      <c r="I94" s="22"/>
      <c r="J94" s="22" t="s">
        <v>61</v>
      </c>
      <c r="K94" s="22" t="s">
        <v>953</v>
      </c>
      <c r="L94" s="22" t="s">
        <v>62</v>
      </c>
      <c r="M94" s="22" t="s">
        <v>63</v>
      </c>
      <c r="N94" s="22" t="s">
        <v>954</v>
      </c>
      <c r="O94" s="22" t="s">
        <v>955</v>
      </c>
      <c r="P94" s="22" t="s">
        <v>956</v>
      </c>
      <c r="Q94" s="22" t="s">
        <v>957</v>
      </c>
      <c r="R94" s="22" t="s">
        <v>958</v>
      </c>
      <c r="S94" s="22" t="s">
        <v>61</v>
      </c>
      <c r="T94" s="22"/>
      <c r="U94" s="22" t="s">
        <v>281</v>
      </c>
      <c r="V94" s="22" t="s">
        <v>70</v>
      </c>
      <c r="W94" s="22" t="s">
        <v>71</v>
      </c>
      <c r="X94" s="25" t="n">
        <v>43466</v>
      </c>
      <c r="Y94" s="25" t="n">
        <v>45261</v>
      </c>
      <c r="Z94" s="22" t="s">
        <v>72</v>
      </c>
      <c r="AA94" s="22" t="s">
        <v>91</v>
      </c>
      <c r="AB94" s="22" t="s">
        <v>74</v>
      </c>
      <c r="AC94" s="22"/>
      <c r="AD94" s="22" t="n">
        <v>0</v>
      </c>
      <c r="AE94" s="22"/>
      <c r="AF94" s="22"/>
      <c r="AG94" s="22" t="s">
        <v>75</v>
      </c>
      <c r="AH94" s="22"/>
      <c r="AI94" s="22" t="n">
        <v>10</v>
      </c>
      <c r="AJ94" s="22" t="n">
        <v>30</v>
      </c>
      <c r="AK94" s="22" t="s">
        <v>76</v>
      </c>
      <c r="AL94" s="26" t="n">
        <v>35783</v>
      </c>
      <c r="AM94" s="26" t="n">
        <v>45007.6223647338</v>
      </c>
      <c r="AN94" s="25" t="n">
        <v>45007.6249189815</v>
      </c>
      <c r="AO94" s="22" t="n">
        <v>9</v>
      </c>
      <c r="AP94" s="22" t="n">
        <v>40</v>
      </c>
      <c r="AQ94" s="22" t="s">
        <v>0</v>
      </c>
      <c r="AR94" s="27" t="s">
        <v>923</v>
      </c>
      <c r="AS94" s="27" t="s">
        <v>220</v>
      </c>
      <c r="AT94" s="27"/>
      <c r="AU94" s="27"/>
      <c r="AV94" s="27"/>
      <c r="AW94" s="27"/>
      <c r="AX94" s="27"/>
      <c r="AY94" s="27"/>
    </row>
    <row r="95" customFormat="false" ht="15.75" hidden="false" customHeight="true" outlineLevel="0" collapsed="false">
      <c r="A95" s="22" t="n">
        <v>91</v>
      </c>
      <c r="B95" s="23" t="s">
        <v>959</v>
      </c>
      <c r="C95" s="22"/>
      <c r="D95" s="22" t="s">
        <v>960</v>
      </c>
      <c r="E95" s="22" t="s">
        <v>57</v>
      </c>
      <c r="F95" s="22" t="s">
        <v>107</v>
      </c>
      <c r="G95" s="22" t="s">
        <v>59</v>
      </c>
      <c r="H95" s="22" t="s">
        <v>96</v>
      </c>
      <c r="I95" s="22"/>
      <c r="J95" s="22" t="s">
        <v>61</v>
      </c>
      <c r="K95" s="22" t="s">
        <v>961</v>
      </c>
      <c r="L95" s="22" t="s">
        <v>62</v>
      </c>
      <c r="M95" s="22" t="s">
        <v>84</v>
      </c>
      <c r="N95" s="22" t="s">
        <v>962</v>
      </c>
      <c r="O95" s="22" t="s">
        <v>963</v>
      </c>
      <c r="P95" s="22" t="s">
        <v>964</v>
      </c>
      <c r="Q95" s="22"/>
      <c r="R95" s="22" t="s">
        <v>965</v>
      </c>
      <c r="S95" s="22" t="s">
        <v>61</v>
      </c>
      <c r="T95" s="22"/>
      <c r="U95" s="22" t="s">
        <v>966</v>
      </c>
      <c r="V95" s="22" t="s">
        <v>70</v>
      </c>
      <c r="W95" s="22" t="s">
        <v>71</v>
      </c>
      <c r="X95" s="25" t="n">
        <v>42401</v>
      </c>
      <c r="Y95" s="25" t="n">
        <v>45627</v>
      </c>
      <c r="Z95" s="22" t="s">
        <v>72</v>
      </c>
      <c r="AA95" s="22" t="s">
        <v>91</v>
      </c>
      <c r="AB95" s="22" t="s">
        <v>74</v>
      </c>
      <c r="AC95" s="22"/>
      <c r="AD95" s="22" t="n">
        <v>0</v>
      </c>
      <c r="AE95" s="22"/>
      <c r="AF95" s="22"/>
      <c r="AG95" s="22" t="s">
        <v>75</v>
      </c>
      <c r="AH95" s="22"/>
      <c r="AI95" s="22" t="n">
        <v>10</v>
      </c>
      <c r="AJ95" s="22" t="n">
        <v>30</v>
      </c>
      <c r="AK95" s="22" t="s">
        <v>76</v>
      </c>
      <c r="AL95" s="26" t="n">
        <v>35798</v>
      </c>
      <c r="AM95" s="26" t="n">
        <v>45008.616385162</v>
      </c>
      <c r="AN95" s="25" t="n">
        <v>45009.3719212963</v>
      </c>
      <c r="AO95" s="22" t="n">
        <v>8</v>
      </c>
      <c r="AP95" s="22" t="n">
        <v>40</v>
      </c>
      <c r="AQ95" s="22" t="s">
        <v>0</v>
      </c>
      <c r="AR95" s="27" t="s">
        <v>923</v>
      </c>
      <c r="AS95" s="27" t="s">
        <v>967</v>
      </c>
      <c r="AT95" s="27" t="s">
        <v>722</v>
      </c>
      <c r="AU95" s="27"/>
      <c r="AV95" s="27"/>
      <c r="AW95" s="27"/>
      <c r="AX95" s="27"/>
      <c r="AY95" s="27"/>
    </row>
    <row r="96" customFormat="false" ht="15.75" hidden="false" customHeight="true" outlineLevel="0" collapsed="false">
      <c r="A96" s="22" t="n">
        <v>92</v>
      </c>
      <c r="B96" s="23" t="s">
        <v>968</v>
      </c>
      <c r="C96" s="22" t="s">
        <v>969</v>
      </c>
      <c r="D96" s="22" t="s">
        <v>970</v>
      </c>
      <c r="E96" s="22" t="s">
        <v>81</v>
      </c>
      <c r="F96" s="22" t="s">
        <v>82</v>
      </c>
      <c r="G96" s="22" t="s">
        <v>59</v>
      </c>
      <c r="H96" s="22" t="s">
        <v>96</v>
      </c>
      <c r="I96" s="22"/>
      <c r="J96" s="22" t="s">
        <v>61</v>
      </c>
      <c r="K96" s="22" t="s">
        <v>971</v>
      </c>
      <c r="L96" s="22" t="s">
        <v>62</v>
      </c>
      <c r="M96" s="22" t="s">
        <v>972</v>
      </c>
      <c r="N96" s="22" t="s">
        <v>973</v>
      </c>
      <c r="O96" s="22" t="s">
        <v>974</v>
      </c>
      <c r="P96" s="22" t="s">
        <v>975</v>
      </c>
      <c r="Q96" s="22"/>
      <c r="R96" s="22" t="s">
        <v>976</v>
      </c>
      <c r="S96" s="22" t="s">
        <v>61</v>
      </c>
      <c r="T96" s="22"/>
      <c r="U96" s="22" t="s">
        <v>977</v>
      </c>
      <c r="V96" s="22" t="s">
        <v>70</v>
      </c>
      <c r="W96" s="22" t="s">
        <v>71</v>
      </c>
      <c r="X96" s="25" t="n">
        <v>43831</v>
      </c>
      <c r="Y96" s="25" t="n">
        <v>45627</v>
      </c>
      <c r="Z96" s="22" t="s">
        <v>72</v>
      </c>
      <c r="AA96" s="22" t="s">
        <v>91</v>
      </c>
      <c r="AB96" s="22" t="s">
        <v>74</v>
      </c>
      <c r="AC96" s="22"/>
      <c r="AD96" s="22" t="n">
        <v>0</v>
      </c>
      <c r="AE96" s="22"/>
      <c r="AF96" s="22"/>
      <c r="AG96" s="22" t="s">
        <v>75</v>
      </c>
      <c r="AH96" s="22"/>
      <c r="AI96" s="22" t="n">
        <v>10</v>
      </c>
      <c r="AJ96" s="22" t="n">
        <v>30</v>
      </c>
      <c r="AK96" s="22" t="s">
        <v>61</v>
      </c>
      <c r="AL96" s="26" t="n">
        <v>35835</v>
      </c>
      <c r="AM96" s="26" t="n">
        <v>45000.7024527083</v>
      </c>
      <c r="AN96" s="25" t="n">
        <v>45000.7676388889</v>
      </c>
      <c r="AO96" s="22" t="n">
        <v>6</v>
      </c>
      <c r="AP96" s="22" t="n">
        <v>40</v>
      </c>
      <c r="AQ96" s="22" t="s">
        <v>1</v>
      </c>
      <c r="AR96" s="27" t="s">
        <v>923</v>
      </c>
      <c r="AS96" s="27" t="s">
        <v>206</v>
      </c>
      <c r="AT96" s="27" t="s">
        <v>722</v>
      </c>
      <c r="AU96" s="27"/>
      <c r="AV96" s="27"/>
      <c r="AW96" s="27"/>
      <c r="AX96" s="27"/>
      <c r="AY96" s="27"/>
    </row>
    <row r="97" customFormat="false" ht="15.75" hidden="false" customHeight="true" outlineLevel="0" collapsed="false">
      <c r="A97" s="22" t="n">
        <v>93</v>
      </c>
      <c r="B97" s="23" t="s">
        <v>978</v>
      </c>
      <c r="C97" s="22" t="s">
        <v>979</v>
      </c>
      <c r="D97" s="22" t="s">
        <v>980</v>
      </c>
      <c r="E97" s="22" t="s">
        <v>81</v>
      </c>
      <c r="F97" s="22" t="s">
        <v>107</v>
      </c>
      <c r="G97" s="22" t="s">
        <v>59</v>
      </c>
      <c r="H97" s="22" t="s">
        <v>60</v>
      </c>
      <c r="I97" s="22"/>
      <c r="J97" s="22" t="s">
        <v>61</v>
      </c>
      <c r="K97" s="22" t="s">
        <v>981</v>
      </c>
      <c r="L97" s="22" t="s">
        <v>62</v>
      </c>
      <c r="M97" s="22" t="s">
        <v>84</v>
      </c>
      <c r="N97" s="22" t="s">
        <v>982</v>
      </c>
      <c r="O97" s="22" t="s">
        <v>983</v>
      </c>
      <c r="P97" s="22" t="s">
        <v>984</v>
      </c>
      <c r="Q97" s="22"/>
      <c r="R97" s="22" t="s">
        <v>985</v>
      </c>
      <c r="S97" s="22" t="s">
        <v>61</v>
      </c>
      <c r="T97" s="22"/>
      <c r="U97" s="22" t="s">
        <v>986</v>
      </c>
      <c r="V97" s="22" t="s">
        <v>70</v>
      </c>
      <c r="W97" s="22" t="s">
        <v>71</v>
      </c>
      <c r="X97" s="25" t="n">
        <v>43466</v>
      </c>
      <c r="Y97" s="25" t="n">
        <v>45261</v>
      </c>
      <c r="Z97" s="22" t="s">
        <v>72</v>
      </c>
      <c r="AA97" s="22" t="s">
        <v>91</v>
      </c>
      <c r="AB97" s="22" t="s">
        <v>74</v>
      </c>
      <c r="AC97" s="22"/>
      <c r="AD97" s="22" t="n">
        <v>0</v>
      </c>
      <c r="AE97" s="22"/>
      <c r="AF97" s="22"/>
      <c r="AG97" s="22" t="s">
        <v>75</v>
      </c>
      <c r="AH97" s="22"/>
      <c r="AI97" s="22" t="n">
        <v>10</v>
      </c>
      <c r="AJ97" s="22" t="n">
        <v>30</v>
      </c>
      <c r="AK97" s="22" t="s">
        <v>61</v>
      </c>
      <c r="AL97" s="26" t="n">
        <v>35864</v>
      </c>
      <c r="AM97" s="26" t="n">
        <v>45001.4192668519</v>
      </c>
      <c r="AN97" s="25" t="n">
        <v>45001.4208217593</v>
      </c>
      <c r="AO97" s="22" t="n">
        <v>9</v>
      </c>
      <c r="AP97" s="22" t="n">
        <v>40</v>
      </c>
      <c r="AQ97" s="22" t="s">
        <v>1</v>
      </c>
      <c r="AR97" s="27" t="s">
        <v>987</v>
      </c>
      <c r="AS97" s="27" t="s">
        <v>206</v>
      </c>
      <c r="AT97" s="27" t="s">
        <v>722</v>
      </c>
      <c r="AU97" s="27"/>
      <c r="AV97" s="27"/>
      <c r="AW97" s="27"/>
      <c r="AX97" s="27"/>
      <c r="AY97" s="27"/>
    </row>
    <row r="98" customFormat="false" ht="15.75" hidden="false" customHeight="true" outlineLevel="0" collapsed="false">
      <c r="A98" s="22" t="n">
        <v>94</v>
      </c>
      <c r="B98" s="23" t="s">
        <v>988</v>
      </c>
      <c r="C98" s="22" t="s">
        <v>989</v>
      </c>
      <c r="D98" s="22" t="s">
        <v>990</v>
      </c>
      <c r="E98" s="22" t="s">
        <v>57</v>
      </c>
      <c r="F98" s="22" t="s">
        <v>107</v>
      </c>
      <c r="G98" s="22" t="s">
        <v>59</v>
      </c>
      <c r="H98" s="22" t="s">
        <v>327</v>
      </c>
      <c r="I98" s="22"/>
      <c r="J98" s="22" t="s">
        <v>61</v>
      </c>
      <c r="K98" s="22" t="s">
        <v>991</v>
      </c>
      <c r="L98" s="22" t="s">
        <v>62</v>
      </c>
      <c r="M98" s="22" t="s">
        <v>84</v>
      </c>
      <c r="N98" s="22" t="s">
        <v>992</v>
      </c>
      <c r="O98" s="22" t="s">
        <v>993</v>
      </c>
      <c r="P98" s="22" t="s">
        <v>994</v>
      </c>
      <c r="Q98" s="22" t="s">
        <v>995</v>
      </c>
      <c r="R98" s="22" t="s">
        <v>996</v>
      </c>
      <c r="S98" s="22" t="s">
        <v>61</v>
      </c>
      <c r="T98" s="22"/>
      <c r="U98" s="22" t="s">
        <v>997</v>
      </c>
      <c r="V98" s="22" t="s">
        <v>70</v>
      </c>
      <c r="W98" s="22" t="s">
        <v>71</v>
      </c>
      <c r="X98" s="25" t="n">
        <v>43862</v>
      </c>
      <c r="Y98" s="25" t="n">
        <v>45658</v>
      </c>
      <c r="Z98" s="22" t="s">
        <v>72</v>
      </c>
      <c r="AA98" s="22" t="s">
        <v>91</v>
      </c>
      <c r="AB98" s="22" t="s">
        <v>74</v>
      </c>
      <c r="AC98" s="22"/>
      <c r="AD98" s="22" t="n">
        <v>0</v>
      </c>
      <c r="AE98" s="22"/>
      <c r="AF98" s="22"/>
      <c r="AG98" s="22" t="s">
        <v>75</v>
      </c>
      <c r="AH98" s="22"/>
      <c r="AI98" s="22" t="n">
        <v>10</v>
      </c>
      <c r="AJ98" s="22" t="n">
        <v>30</v>
      </c>
      <c r="AK98" s="22" t="s">
        <v>76</v>
      </c>
      <c r="AL98" s="26" t="n">
        <v>35936</v>
      </c>
      <c r="AM98" s="26" t="n">
        <v>45000.8430996644</v>
      </c>
      <c r="AN98" s="25" t="n">
        <v>45009.4096875</v>
      </c>
      <c r="AO98" s="22" t="n">
        <v>6</v>
      </c>
      <c r="AP98" s="22" t="n">
        <v>40</v>
      </c>
      <c r="AQ98" s="22" t="s">
        <v>0</v>
      </c>
      <c r="AR98" s="27" t="s">
        <v>923</v>
      </c>
      <c r="AS98" s="27" t="s">
        <v>78</v>
      </c>
      <c r="AT98" s="27" t="s">
        <v>722</v>
      </c>
      <c r="AU98" s="27"/>
      <c r="AV98" s="27"/>
      <c r="AW98" s="27"/>
      <c r="AX98" s="27"/>
      <c r="AY98" s="27"/>
    </row>
    <row r="99" customFormat="false" ht="15.75" hidden="false" customHeight="true" outlineLevel="0" collapsed="false">
      <c r="A99" s="22" t="n">
        <v>95</v>
      </c>
      <c r="B99" s="23" t="s">
        <v>998</v>
      </c>
      <c r="C99" s="22"/>
      <c r="D99" s="22" t="s">
        <v>999</v>
      </c>
      <c r="E99" s="22" t="s">
        <v>81</v>
      </c>
      <c r="F99" s="22" t="s">
        <v>107</v>
      </c>
      <c r="G99" s="22" t="s">
        <v>59</v>
      </c>
      <c r="H99" s="22" t="s">
        <v>156</v>
      </c>
      <c r="I99" s="22"/>
      <c r="J99" s="22" t="s">
        <v>61</v>
      </c>
      <c r="K99" s="22" t="s">
        <v>1000</v>
      </c>
      <c r="L99" s="22" t="s">
        <v>62</v>
      </c>
      <c r="M99" s="22" t="s">
        <v>1001</v>
      </c>
      <c r="N99" s="22" t="s">
        <v>1002</v>
      </c>
      <c r="O99" s="22" t="s">
        <v>1003</v>
      </c>
      <c r="P99" s="22" t="s">
        <v>1004</v>
      </c>
      <c r="Q99" s="22"/>
      <c r="R99" s="22" t="s">
        <v>1005</v>
      </c>
      <c r="S99" s="22" t="s">
        <v>61</v>
      </c>
      <c r="T99" s="22"/>
      <c r="U99" s="22" t="s">
        <v>1006</v>
      </c>
      <c r="V99" s="22" t="s">
        <v>70</v>
      </c>
      <c r="W99" s="22" t="s">
        <v>71</v>
      </c>
      <c r="X99" s="25" t="n">
        <v>43132</v>
      </c>
      <c r="Y99" s="25" t="n">
        <v>45627</v>
      </c>
      <c r="Z99" s="22" t="s">
        <v>72</v>
      </c>
      <c r="AA99" s="22" t="s">
        <v>91</v>
      </c>
      <c r="AB99" s="22" t="s">
        <v>74</v>
      </c>
      <c r="AC99" s="22"/>
      <c r="AD99" s="22" t="n">
        <v>0</v>
      </c>
      <c r="AE99" s="22"/>
      <c r="AF99" s="22"/>
      <c r="AG99" s="22" t="s">
        <v>75</v>
      </c>
      <c r="AH99" s="22"/>
      <c r="AI99" s="22" t="n">
        <v>10</v>
      </c>
      <c r="AJ99" s="22" t="n">
        <v>30</v>
      </c>
      <c r="AK99" s="22" t="s">
        <v>61</v>
      </c>
      <c r="AL99" s="26" t="n">
        <v>35958</v>
      </c>
      <c r="AM99" s="26" t="n">
        <v>45005.7717176273</v>
      </c>
      <c r="AN99" s="25" t="n">
        <v>45007.7781828704</v>
      </c>
      <c r="AO99" s="22" t="n">
        <v>7</v>
      </c>
      <c r="AP99" s="22" t="n">
        <v>40</v>
      </c>
      <c r="AQ99" s="22" t="s">
        <v>1</v>
      </c>
      <c r="AR99" s="27" t="s">
        <v>1007</v>
      </c>
      <c r="AS99" s="27" t="s">
        <v>206</v>
      </c>
      <c r="AT99" s="27" t="s">
        <v>1008</v>
      </c>
      <c r="AU99" s="27"/>
      <c r="AV99" s="27"/>
      <c r="AW99" s="27"/>
      <c r="AX99" s="27"/>
      <c r="AY99" s="27"/>
    </row>
    <row r="100" customFormat="false" ht="15.75" hidden="false" customHeight="true" outlineLevel="0" collapsed="false">
      <c r="A100" s="22" t="n">
        <v>96</v>
      </c>
      <c r="B100" s="23" t="s">
        <v>1009</v>
      </c>
      <c r="C100" s="22"/>
      <c r="D100" s="22" t="s">
        <v>1010</v>
      </c>
      <c r="E100" s="22" t="s">
        <v>81</v>
      </c>
      <c r="F100" s="22" t="s">
        <v>82</v>
      </c>
      <c r="G100" s="22" t="s">
        <v>59</v>
      </c>
      <c r="H100" s="22" t="s">
        <v>156</v>
      </c>
      <c r="I100" s="22"/>
      <c r="J100" s="22" t="s">
        <v>61</v>
      </c>
      <c r="K100" s="22" t="s">
        <v>1011</v>
      </c>
      <c r="L100" s="22" t="s">
        <v>62</v>
      </c>
      <c r="M100" s="22" t="s">
        <v>63</v>
      </c>
      <c r="N100" s="22" t="s">
        <v>1012</v>
      </c>
      <c r="O100" s="22" t="s">
        <v>768</v>
      </c>
      <c r="P100" s="22" t="s">
        <v>1013</v>
      </c>
      <c r="Q100" s="22"/>
      <c r="R100" s="22" t="s">
        <v>1014</v>
      </c>
      <c r="S100" s="22" t="s">
        <v>61</v>
      </c>
      <c r="T100" s="22"/>
      <c r="U100" s="22" t="s">
        <v>1015</v>
      </c>
      <c r="V100" s="22" t="s">
        <v>70</v>
      </c>
      <c r="W100" s="22" t="s">
        <v>71</v>
      </c>
      <c r="X100" s="25" t="n">
        <v>44256</v>
      </c>
      <c r="Y100" s="25" t="n">
        <v>45992</v>
      </c>
      <c r="Z100" s="22" t="s">
        <v>72</v>
      </c>
      <c r="AA100" s="22" t="s">
        <v>149</v>
      </c>
      <c r="AB100" s="22" t="s">
        <v>74</v>
      </c>
      <c r="AC100" s="22"/>
      <c r="AD100" s="22" t="n">
        <v>0</v>
      </c>
      <c r="AE100" s="22"/>
      <c r="AF100" s="22"/>
      <c r="AG100" s="22" t="s">
        <v>75</v>
      </c>
      <c r="AH100" s="22"/>
      <c r="AI100" s="22" t="n">
        <v>10</v>
      </c>
      <c r="AJ100" s="22" t="n">
        <v>30</v>
      </c>
      <c r="AK100" s="22" t="s">
        <v>61</v>
      </c>
      <c r="AL100" s="26" t="n">
        <v>36004</v>
      </c>
      <c r="AM100" s="26" t="n">
        <v>45000.4990545139</v>
      </c>
      <c r="AN100" s="25" t="n">
        <v>45000.5012962963</v>
      </c>
      <c r="AO100" s="22" t="n">
        <v>5</v>
      </c>
      <c r="AP100" s="22" t="n">
        <v>40</v>
      </c>
      <c r="AQ100" s="22" t="s">
        <v>0</v>
      </c>
      <c r="AR100" s="27" t="s">
        <v>1016</v>
      </c>
      <c r="AS100" s="27" t="s">
        <v>220</v>
      </c>
      <c r="AT100" s="27"/>
      <c r="AU100" s="27"/>
      <c r="AV100" s="27"/>
      <c r="AW100" s="27"/>
      <c r="AX100" s="27"/>
      <c r="AY100" s="27"/>
    </row>
    <row r="101" customFormat="false" ht="15.75" hidden="false" customHeight="true" outlineLevel="0" collapsed="false">
      <c r="A101" s="22" t="n">
        <v>97</v>
      </c>
      <c r="B101" s="23" t="s">
        <v>1017</v>
      </c>
      <c r="C101" s="22"/>
      <c r="D101" s="22" t="s">
        <v>1018</v>
      </c>
      <c r="E101" s="22" t="s">
        <v>57</v>
      </c>
      <c r="F101" s="22" t="s">
        <v>107</v>
      </c>
      <c r="G101" s="22" t="s">
        <v>59</v>
      </c>
      <c r="H101" s="22" t="s">
        <v>60</v>
      </c>
      <c r="I101" s="22"/>
      <c r="J101" s="22" t="s">
        <v>61</v>
      </c>
      <c r="K101" s="22" t="s">
        <v>1019</v>
      </c>
      <c r="L101" s="22" t="s">
        <v>62</v>
      </c>
      <c r="M101" s="22" t="s">
        <v>63</v>
      </c>
      <c r="N101" s="22" t="s">
        <v>1020</v>
      </c>
      <c r="O101" s="22" t="s">
        <v>1021</v>
      </c>
      <c r="P101" s="22" t="s">
        <v>1022</v>
      </c>
      <c r="Q101" s="22"/>
      <c r="R101" s="22" t="s">
        <v>1023</v>
      </c>
      <c r="S101" s="22" t="s">
        <v>61</v>
      </c>
      <c r="T101" s="22"/>
      <c r="U101" s="22" t="s">
        <v>313</v>
      </c>
      <c r="V101" s="22" t="s">
        <v>70</v>
      </c>
      <c r="W101" s="22" t="s">
        <v>71</v>
      </c>
      <c r="X101" s="25" t="n">
        <v>43497</v>
      </c>
      <c r="Y101" s="25" t="n">
        <v>45261</v>
      </c>
      <c r="Z101" s="22" t="s">
        <v>72</v>
      </c>
      <c r="AA101" s="22" t="s">
        <v>149</v>
      </c>
      <c r="AB101" s="22" t="s">
        <v>74</v>
      </c>
      <c r="AC101" s="22"/>
      <c r="AD101" s="22" t="n">
        <v>0</v>
      </c>
      <c r="AE101" s="22"/>
      <c r="AF101" s="22"/>
      <c r="AG101" s="22" t="s">
        <v>75</v>
      </c>
      <c r="AH101" s="22"/>
      <c r="AI101" s="22" t="n">
        <v>10</v>
      </c>
      <c r="AJ101" s="22" t="n">
        <v>30</v>
      </c>
      <c r="AK101" s="22" t="s">
        <v>76</v>
      </c>
      <c r="AL101" s="26" t="n">
        <v>36007</v>
      </c>
      <c r="AM101" s="26" t="n">
        <v>45000.8037791898</v>
      </c>
      <c r="AN101" s="25" t="n">
        <v>45000.807974537</v>
      </c>
      <c r="AO101" s="22" t="n">
        <v>9</v>
      </c>
      <c r="AP101" s="22" t="n">
        <v>40</v>
      </c>
      <c r="AQ101" s="22" t="s">
        <v>1</v>
      </c>
      <c r="AR101" s="27" t="s">
        <v>1016</v>
      </c>
      <c r="AS101" s="27" t="s">
        <v>220</v>
      </c>
      <c r="AT101" s="28" t="n">
        <v>45054.4861111111</v>
      </c>
      <c r="AU101" s="27" t="s">
        <v>220</v>
      </c>
      <c r="AV101" s="27"/>
      <c r="AW101" s="27"/>
      <c r="AX101" s="27"/>
      <c r="AY101" s="27"/>
    </row>
    <row r="102" customFormat="false" ht="15.75" hidden="false" customHeight="true" outlineLevel="0" collapsed="false">
      <c r="A102" s="22" t="n">
        <v>98</v>
      </c>
      <c r="B102" s="23" t="s">
        <v>1024</v>
      </c>
      <c r="C102" s="22"/>
      <c r="D102" s="22" t="s">
        <v>1025</v>
      </c>
      <c r="E102" s="22" t="s">
        <v>57</v>
      </c>
      <c r="F102" s="22" t="s">
        <v>107</v>
      </c>
      <c r="G102" s="22" t="s">
        <v>59</v>
      </c>
      <c r="H102" s="22" t="s">
        <v>96</v>
      </c>
      <c r="I102" s="22"/>
      <c r="J102" s="22" t="s">
        <v>61</v>
      </c>
      <c r="K102" s="22" t="s">
        <v>1026</v>
      </c>
      <c r="L102" s="22" t="s">
        <v>62</v>
      </c>
      <c r="M102" s="22" t="s">
        <v>84</v>
      </c>
      <c r="N102" s="22" t="s">
        <v>1027</v>
      </c>
      <c r="O102" s="22" t="s">
        <v>1028</v>
      </c>
      <c r="P102" s="22" t="s">
        <v>1029</v>
      </c>
      <c r="Q102" s="22"/>
      <c r="R102" s="22" t="s">
        <v>1030</v>
      </c>
      <c r="S102" s="22" t="s">
        <v>61</v>
      </c>
      <c r="T102" s="22"/>
      <c r="U102" s="22" t="s">
        <v>906</v>
      </c>
      <c r="V102" s="22" t="s">
        <v>70</v>
      </c>
      <c r="W102" s="22" t="s">
        <v>71</v>
      </c>
      <c r="X102" s="25" t="n">
        <v>43678</v>
      </c>
      <c r="Y102" s="25" t="n">
        <v>45627</v>
      </c>
      <c r="Z102" s="22" t="s">
        <v>72</v>
      </c>
      <c r="AA102" s="22" t="s">
        <v>91</v>
      </c>
      <c r="AB102" s="22" t="s">
        <v>74</v>
      </c>
      <c r="AC102" s="22"/>
      <c r="AD102" s="22" t="n">
        <v>0</v>
      </c>
      <c r="AE102" s="22"/>
      <c r="AF102" s="22"/>
      <c r="AG102" s="22" t="s">
        <v>75</v>
      </c>
      <c r="AH102" s="22"/>
      <c r="AI102" s="22" t="n">
        <v>10</v>
      </c>
      <c r="AJ102" s="22" t="n">
        <v>30</v>
      </c>
      <c r="AK102" s="22" t="s">
        <v>76</v>
      </c>
      <c r="AL102" s="26" t="n">
        <v>36014</v>
      </c>
      <c r="AM102" s="26" t="n">
        <v>45002.5728692824</v>
      </c>
      <c r="AN102" s="25" t="n">
        <v>45002.573587963</v>
      </c>
      <c r="AO102" s="22" t="n">
        <v>7</v>
      </c>
      <c r="AP102" s="22" t="n">
        <v>40</v>
      </c>
      <c r="AQ102" s="22" t="s">
        <v>1</v>
      </c>
      <c r="AR102" s="27" t="s">
        <v>1016</v>
      </c>
      <c r="AS102" s="27" t="s">
        <v>805</v>
      </c>
      <c r="AT102" s="27" t="s">
        <v>564</v>
      </c>
      <c r="AU102" s="27" t="s">
        <v>1031</v>
      </c>
      <c r="AV102" s="27"/>
      <c r="AW102" s="27"/>
      <c r="AX102" s="27"/>
      <c r="AY102" s="27"/>
    </row>
    <row r="103" customFormat="false" ht="15.75" hidden="false" customHeight="true" outlineLevel="0" collapsed="false">
      <c r="A103" s="22" t="n">
        <v>99</v>
      </c>
      <c r="B103" s="23" t="s">
        <v>1032</v>
      </c>
      <c r="C103" s="22" t="s">
        <v>1033</v>
      </c>
      <c r="D103" s="22" t="s">
        <v>1034</v>
      </c>
      <c r="E103" s="22" t="s">
        <v>57</v>
      </c>
      <c r="F103" s="22" t="s">
        <v>107</v>
      </c>
      <c r="G103" s="22" t="s">
        <v>59</v>
      </c>
      <c r="H103" s="22" t="s">
        <v>156</v>
      </c>
      <c r="I103" s="22"/>
      <c r="J103" s="22" t="s">
        <v>61</v>
      </c>
      <c r="K103" s="22" t="s">
        <v>1035</v>
      </c>
      <c r="L103" s="22" t="s">
        <v>62</v>
      </c>
      <c r="M103" s="22" t="s">
        <v>63</v>
      </c>
      <c r="N103" s="22" t="s">
        <v>1036</v>
      </c>
      <c r="O103" s="22" t="s">
        <v>1037</v>
      </c>
      <c r="P103" s="22" t="s">
        <v>1038</v>
      </c>
      <c r="Q103" s="22" t="s">
        <v>1039</v>
      </c>
      <c r="R103" s="22" t="s">
        <v>1040</v>
      </c>
      <c r="S103" s="22" t="s">
        <v>61</v>
      </c>
      <c r="T103" s="22"/>
      <c r="U103" s="22" t="s">
        <v>1041</v>
      </c>
      <c r="V103" s="22" t="s">
        <v>70</v>
      </c>
      <c r="W103" s="22" t="s">
        <v>71</v>
      </c>
      <c r="X103" s="25" t="n">
        <v>44044</v>
      </c>
      <c r="Y103" s="25" t="n">
        <v>45809</v>
      </c>
      <c r="Z103" s="22" t="s">
        <v>72</v>
      </c>
      <c r="AA103" s="22" t="s">
        <v>91</v>
      </c>
      <c r="AB103" s="22" t="s">
        <v>74</v>
      </c>
      <c r="AC103" s="22"/>
      <c r="AD103" s="22" t="n">
        <v>0</v>
      </c>
      <c r="AE103" s="22"/>
      <c r="AF103" s="22"/>
      <c r="AG103" s="22" t="s">
        <v>75</v>
      </c>
      <c r="AH103" s="22"/>
      <c r="AI103" s="22" t="n">
        <v>10</v>
      </c>
      <c r="AJ103" s="22" t="n">
        <v>30</v>
      </c>
      <c r="AK103" s="22" t="s">
        <v>61</v>
      </c>
      <c r="AL103" s="26" t="n">
        <v>36018</v>
      </c>
      <c r="AM103" s="26" t="n">
        <v>45000.5580126505</v>
      </c>
      <c r="AN103" s="25" t="n">
        <v>45000.5637962963</v>
      </c>
      <c r="AO103" s="22" t="n">
        <v>6</v>
      </c>
      <c r="AP103" s="22" t="n">
        <v>40</v>
      </c>
      <c r="AQ103" s="22" t="s">
        <v>1</v>
      </c>
      <c r="AR103" s="27" t="s">
        <v>1042</v>
      </c>
      <c r="AS103" s="27" t="s">
        <v>206</v>
      </c>
      <c r="AT103" s="27" t="s">
        <v>722</v>
      </c>
      <c r="AU103" s="27"/>
      <c r="AV103" s="27"/>
      <c r="AW103" s="27"/>
      <c r="AX103" s="27"/>
      <c r="AY103" s="27"/>
    </row>
    <row r="104" customFormat="false" ht="15.75" hidden="false" customHeight="true" outlineLevel="0" collapsed="false">
      <c r="A104" s="22" t="n">
        <v>100</v>
      </c>
      <c r="B104" s="23" t="s">
        <v>1043</v>
      </c>
      <c r="C104" s="22" t="s">
        <v>1044</v>
      </c>
      <c r="D104" s="22" t="s">
        <v>1045</v>
      </c>
      <c r="E104" s="22" t="s">
        <v>81</v>
      </c>
      <c r="F104" s="22" t="s">
        <v>107</v>
      </c>
      <c r="G104" s="22" t="s">
        <v>59</v>
      </c>
      <c r="H104" s="22" t="s">
        <v>60</v>
      </c>
      <c r="I104" s="22"/>
      <c r="J104" s="22" t="s">
        <v>61</v>
      </c>
      <c r="K104" s="22" t="s">
        <v>1046</v>
      </c>
      <c r="L104" s="22" t="s">
        <v>62</v>
      </c>
      <c r="M104" s="22" t="s">
        <v>63</v>
      </c>
      <c r="N104" s="22" t="s">
        <v>1047</v>
      </c>
      <c r="O104" s="22" t="s">
        <v>1048</v>
      </c>
      <c r="P104" s="22" t="s">
        <v>1049</v>
      </c>
      <c r="Q104" s="22"/>
      <c r="R104" s="22" t="s">
        <v>1050</v>
      </c>
      <c r="S104" s="22" t="s">
        <v>61</v>
      </c>
      <c r="T104" s="22"/>
      <c r="U104" s="22" t="s">
        <v>281</v>
      </c>
      <c r="V104" s="22" t="s">
        <v>70</v>
      </c>
      <c r="W104" s="22" t="s">
        <v>71</v>
      </c>
      <c r="X104" s="25" t="n">
        <v>43831</v>
      </c>
      <c r="Y104" s="25" t="n">
        <v>45992</v>
      </c>
      <c r="Z104" s="22" t="s">
        <v>72</v>
      </c>
      <c r="AA104" s="22" t="s">
        <v>91</v>
      </c>
      <c r="AB104" s="22" t="s">
        <v>74</v>
      </c>
      <c r="AC104" s="22"/>
      <c r="AD104" s="22" t="n">
        <v>0</v>
      </c>
      <c r="AE104" s="22"/>
      <c r="AF104" s="22"/>
      <c r="AG104" s="22" t="s">
        <v>75</v>
      </c>
      <c r="AH104" s="22"/>
      <c r="AI104" s="22" t="n">
        <v>10</v>
      </c>
      <c r="AJ104" s="22" t="n">
        <v>30</v>
      </c>
      <c r="AK104" s="22" t="s">
        <v>61</v>
      </c>
      <c r="AL104" s="26" t="n">
        <v>36024</v>
      </c>
      <c r="AM104" s="26" t="n">
        <v>45006.3736501389</v>
      </c>
      <c r="AN104" s="25" t="n">
        <v>45006.3757175926</v>
      </c>
      <c r="AO104" s="22" t="n">
        <v>5</v>
      </c>
      <c r="AP104" s="22" t="n">
        <v>40</v>
      </c>
      <c r="AQ104" s="22" t="s">
        <v>1</v>
      </c>
      <c r="AR104" s="27" t="s">
        <v>1016</v>
      </c>
      <c r="AS104" s="27" t="s">
        <v>206</v>
      </c>
      <c r="AT104" s="27" t="s">
        <v>722</v>
      </c>
      <c r="AU104" s="27"/>
      <c r="AV104" s="27"/>
      <c r="AW104" s="27"/>
      <c r="AX104" s="27"/>
      <c r="AY104" s="27"/>
    </row>
    <row r="105" customFormat="false" ht="15.75" hidden="false" customHeight="true" outlineLevel="0" collapsed="false">
      <c r="A105" s="22" t="n">
        <v>101</v>
      </c>
      <c r="B105" s="23" t="s">
        <v>1051</v>
      </c>
      <c r="C105" s="22" t="s">
        <v>1052</v>
      </c>
      <c r="D105" s="22" t="s">
        <v>1053</v>
      </c>
      <c r="E105" s="22" t="s">
        <v>81</v>
      </c>
      <c r="F105" s="22" t="s">
        <v>107</v>
      </c>
      <c r="G105" s="22" t="s">
        <v>59</v>
      </c>
      <c r="H105" s="22" t="s">
        <v>96</v>
      </c>
      <c r="I105" s="22"/>
      <c r="J105" s="22" t="s">
        <v>61</v>
      </c>
      <c r="K105" s="22" t="s">
        <v>1054</v>
      </c>
      <c r="L105" s="22" t="s">
        <v>62</v>
      </c>
      <c r="M105" s="22" t="s">
        <v>84</v>
      </c>
      <c r="N105" s="22" t="s">
        <v>1055</v>
      </c>
      <c r="O105" s="22" t="s">
        <v>1056</v>
      </c>
      <c r="P105" s="22" t="s">
        <v>1057</v>
      </c>
      <c r="Q105" s="22" t="s">
        <v>1058</v>
      </c>
      <c r="R105" s="22" t="s">
        <v>1059</v>
      </c>
      <c r="S105" s="22" t="s">
        <v>61</v>
      </c>
      <c r="T105" s="22"/>
      <c r="U105" s="22" t="s">
        <v>1060</v>
      </c>
      <c r="V105" s="22" t="s">
        <v>70</v>
      </c>
      <c r="W105" s="22" t="s">
        <v>71</v>
      </c>
      <c r="X105" s="25" t="n">
        <v>44228</v>
      </c>
      <c r="Y105" s="25" t="n">
        <v>46054</v>
      </c>
      <c r="Z105" s="22" t="s">
        <v>72</v>
      </c>
      <c r="AA105" s="22" t="s">
        <v>91</v>
      </c>
      <c r="AB105" s="22" t="s">
        <v>74</v>
      </c>
      <c r="AC105" s="22"/>
      <c r="AD105" s="22" t="n">
        <v>0</v>
      </c>
      <c r="AE105" s="22"/>
      <c r="AF105" s="22"/>
      <c r="AG105" s="22" t="s">
        <v>75</v>
      </c>
      <c r="AH105" s="22"/>
      <c r="AI105" s="22" t="n">
        <v>10</v>
      </c>
      <c r="AJ105" s="22" t="n">
        <v>30</v>
      </c>
      <c r="AK105" s="22" t="s">
        <v>76</v>
      </c>
      <c r="AL105" s="26" t="n">
        <v>36035</v>
      </c>
      <c r="AM105" s="26" t="n">
        <v>45000.6002800232</v>
      </c>
      <c r="AN105" s="25" t="n">
        <v>45000.6011921296</v>
      </c>
      <c r="AO105" s="22" t="n">
        <v>5</v>
      </c>
      <c r="AP105" s="22" t="n">
        <v>40</v>
      </c>
      <c r="AQ105" s="22" t="s">
        <v>1</v>
      </c>
      <c r="AR105" s="34" t="s">
        <v>1016</v>
      </c>
      <c r="AS105" s="35" t="s">
        <v>1061</v>
      </c>
      <c r="AT105" s="27" t="s">
        <v>1062</v>
      </c>
      <c r="AU105" s="27"/>
      <c r="AV105" s="27"/>
      <c r="AW105" s="27"/>
      <c r="AX105" s="27"/>
      <c r="AY105" s="27"/>
    </row>
    <row r="106" customFormat="false" ht="15.75" hidden="false" customHeight="true" outlineLevel="0" collapsed="false">
      <c r="A106" s="22" t="n">
        <v>102</v>
      </c>
      <c r="B106" s="23" t="s">
        <v>1063</v>
      </c>
      <c r="C106" s="22" t="s">
        <v>1064</v>
      </c>
      <c r="D106" s="22" t="s">
        <v>1065</v>
      </c>
      <c r="E106" s="22" t="s">
        <v>81</v>
      </c>
      <c r="F106" s="22" t="s">
        <v>107</v>
      </c>
      <c r="G106" s="22" t="s">
        <v>59</v>
      </c>
      <c r="H106" s="22" t="s">
        <v>96</v>
      </c>
      <c r="I106" s="22"/>
      <c r="J106" s="22" t="s">
        <v>61</v>
      </c>
      <c r="K106" s="22" t="s">
        <v>1066</v>
      </c>
      <c r="L106" s="22" t="s">
        <v>62</v>
      </c>
      <c r="M106" s="22" t="s">
        <v>84</v>
      </c>
      <c r="N106" s="22" t="s">
        <v>1067</v>
      </c>
      <c r="O106" s="22" t="s">
        <v>1068</v>
      </c>
      <c r="P106" s="22" t="s">
        <v>1069</v>
      </c>
      <c r="Q106" s="22" t="s">
        <v>1070</v>
      </c>
      <c r="R106" s="22" t="s">
        <v>1071</v>
      </c>
      <c r="S106" s="22" t="s">
        <v>61</v>
      </c>
      <c r="T106" s="22"/>
      <c r="U106" s="22" t="s">
        <v>204</v>
      </c>
      <c r="V106" s="22" t="s">
        <v>70</v>
      </c>
      <c r="W106" s="22" t="s">
        <v>71</v>
      </c>
      <c r="X106" s="25" t="n">
        <v>42767</v>
      </c>
      <c r="Y106" s="25" t="n">
        <v>45323</v>
      </c>
      <c r="Z106" s="22" t="s">
        <v>72</v>
      </c>
      <c r="AA106" s="22" t="s">
        <v>149</v>
      </c>
      <c r="AB106" s="22" t="s">
        <v>74</v>
      </c>
      <c r="AC106" s="22"/>
      <c r="AD106" s="22" t="n">
        <v>0</v>
      </c>
      <c r="AE106" s="22"/>
      <c r="AF106" s="22"/>
      <c r="AG106" s="22" t="s">
        <v>75</v>
      </c>
      <c r="AH106" s="22"/>
      <c r="AI106" s="22" t="n">
        <v>10</v>
      </c>
      <c r="AJ106" s="22" t="n">
        <v>30</v>
      </c>
      <c r="AK106" s="22" t="s">
        <v>61</v>
      </c>
      <c r="AL106" s="26" t="n">
        <v>36042</v>
      </c>
      <c r="AM106" s="26" t="n">
        <v>45007.4386727315</v>
      </c>
      <c r="AN106" s="25" t="n">
        <v>45009.3477893519</v>
      </c>
      <c r="AO106" s="22" t="n">
        <v>7</v>
      </c>
      <c r="AP106" s="22" t="n">
        <v>40</v>
      </c>
      <c r="AQ106" s="22" t="s">
        <v>1</v>
      </c>
      <c r="AR106" s="27" t="s">
        <v>1042</v>
      </c>
      <c r="AS106" s="27" t="s">
        <v>206</v>
      </c>
      <c r="AT106" s="27" t="s">
        <v>1072</v>
      </c>
      <c r="AU106" s="27" t="s">
        <v>206</v>
      </c>
      <c r="AV106" s="27"/>
      <c r="AW106" s="27"/>
      <c r="AX106" s="27"/>
      <c r="AY106" s="27"/>
    </row>
    <row r="107" customFormat="false" ht="15.75" hidden="false" customHeight="true" outlineLevel="0" collapsed="false">
      <c r="A107" s="22" t="n">
        <v>103</v>
      </c>
      <c r="B107" s="23" t="s">
        <v>1073</v>
      </c>
      <c r="C107" s="22" t="s">
        <v>1074</v>
      </c>
      <c r="D107" s="22" t="s">
        <v>1075</v>
      </c>
      <c r="E107" s="22" t="s">
        <v>81</v>
      </c>
      <c r="F107" s="22" t="s">
        <v>107</v>
      </c>
      <c r="G107" s="22" t="s">
        <v>59</v>
      </c>
      <c r="H107" s="22" t="s">
        <v>96</v>
      </c>
      <c r="I107" s="22"/>
      <c r="J107" s="22" t="s">
        <v>61</v>
      </c>
      <c r="K107" s="22" t="s">
        <v>1076</v>
      </c>
      <c r="L107" s="22" t="s">
        <v>62</v>
      </c>
      <c r="M107" s="22" t="s">
        <v>63</v>
      </c>
      <c r="N107" s="22" t="s">
        <v>1077</v>
      </c>
      <c r="O107" s="22" t="s">
        <v>547</v>
      </c>
      <c r="P107" s="22" t="s">
        <v>1078</v>
      </c>
      <c r="Q107" s="22" t="s">
        <v>1079</v>
      </c>
      <c r="R107" s="22" t="s">
        <v>1080</v>
      </c>
      <c r="S107" s="22" t="s">
        <v>61</v>
      </c>
      <c r="T107" s="22"/>
      <c r="U107" s="22" t="s">
        <v>1081</v>
      </c>
      <c r="V107" s="22" t="s">
        <v>70</v>
      </c>
      <c r="W107" s="22" t="s">
        <v>71</v>
      </c>
      <c r="X107" s="25" t="n">
        <v>40544</v>
      </c>
      <c r="Y107" s="25" t="n">
        <v>45261</v>
      </c>
      <c r="Z107" s="22" t="s">
        <v>72</v>
      </c>
      <c r="AA107" s="22" t="s">
        <v>149</v>
      </c>
      <c r="AB107" s="22" t="s">
        <v>74</v>
      </c>
      <c r="AC107" s="22"/>
      <c r="AD107" s="22" t="n">
        <v>0</v>
      </c>
      <c r="AE107" s="22"/>
      <c r="AF107" s="22"/>
      <c r="AG107" s="22" t="s">
        <v>75</v>
      </c>
      <c r="AH107" s="22"/>
      <c r="AI107" s="22" t="n">
        <v>10</v>
      </c>
      <c r="AJ107" s="22" t="n">
        <v>30</v>
      </c>
      <c r="AK107" s="22" t="s">
        <v>61</v>
      </c>
      <c r="AL107" s="26" t="n">
        <v>36049</v>
      </c>
      <c r="AM107" s="26" t="n">
        <v>45001.7897696875</v>
      </c>
      <c r="AN107" s="25" t="n">
        <v>45004.7065046296</v>
      </c>
      <c r="AO107" s="22" t="n">
        <v>9</v>
      </c>
      <c r="AP107" s="22" t="n">
        <v>40</v>
      </c>
      <c r="AQ107" s="22" t="s">
        <v>1</v>
      </c>
      <c r="AR107" s="27" t="s">
        <v>1016</v>
      </c>
      <c r="AS107" s="27" t="s">
        <v>206</v>
      </c>
      <c r="AT107" s="27" t="s">
        <v>1072</v>
      </c>
      <c r="AU107" s="27" t="s">
        <v>1082</v>
      </c>
      <c r="AV107" s="27"/>
      <c r="AW107" s="27"/>
      <c r="AX107" s="27"/>
      <c r="AY107" s="27"/>
    </row>
    <row r="108" customFormat="false" ht="15.75" hidden="false" customHeight="true" outlineLevel="0" collapsed="false">
      <c r="A108" s="22" t="n">
        <v>104</v>
      </c>
      <c r="B108" s="23" t="s">
        <v>1083</v>
      </c>
      <c r="C108" s="22"/>
      <c r="D108" s="22" t="s">
        <v>1084</v>
      </c>
      <c r="E108" s="22" t="s">
        <v>81</v>
      </c>
      <c r="F108" s="22" t="s">
        <v>107</v>
      </c>
      <c r="G108" s="22" t="s">
        <v>59</v>
      </c>
      <c r="H108" s="22" t="s">
        <v>60</v>
      </c>
      <c r="I108" s="22"/>
      <c r="J108" s="22" t="s">
        <v>61</v>
      </c>
      <c r="K108" s="22" t="s">
        <v>1085</v>
      </c>
      <c r="L108" s="22" t="s">
        <v>62</v>
      </c>
      <c r="M108" s="22" t="s">
        <v>365</v>
      </c>
      <c r="N108" s="22" t="s">
        <v>1086</v>
      </c>
      <c r="O108" s="22" t="s">
        <v>1087</v>
      </c>
      <c r="P108" s="22" t="s">
        <v>1088</v>
      </c>
      <c r="Q108" s="22"/>
      <c r="R108" s="22" t="s">
        <v>1089</v>
      </c>
      <c r="S108" s="22" t="s">
        <v>61</v>
      </c>
      <c r="T108" s="22"/>
      <c r="U108" s="22" t="s">
        <v>634</v>
      </c>
      <c r="V108" s="22" t="s">
        <v>70</v>
      </c>
      <c r="W108" s="22" t="s">
        <v>71</v>
      </c>
      <c r="X108" s="25" t="n">
        <v>43678</v>
      </c>
      <c r="Y108" s="25" t="n">
        <v>45870</v>
      </c>
      <c r="Z108" s="22" t="s">
        <v>72</v>
      </c>
      <c r="AA108" s="22" t="s">
        <v>149</v>
      </c>
      <c r="AB108" s="22" t="s">
        <v>74</v>
      </c>
      <c r="AC108" s="22"/>
      <c r="AD108" s="22" t="n">
        <v>0</v>
      </c>
      <c r="AE108" s="22"/>
      <c r="AF108" s="22"/>
      <c r="AG108" s="22" t="s">
        <v>75</v>
      </c>
      <c r="AH108" s="22"/>
      <c r="AI108" s="22" t="n">
        <v>10</v>
      </c>
      <c r="AJ108" s="22" t="n">
        <v>30</v>
      </c>
      <c r="AK108" s="22" t="s">
        <v>61</v>
      </c>
      <c r="AL108" s="26" t="n">
        <v>36064</v>
      </c>
      <c r="AM108" s="26" t="n">
        <v>45002.3837599421</v>
      </c>
      <c r="AN108" s="25" t="n">
        <v>45006.7346064815</v>
      </c>
      <c r="AO108" s="22" t="n">
        <v>5</v>
      </c>
      <c r="AP108" s="22" t="n">
        <v>40</v>
      </c>
      <c r="AQ108" s="22" t="s">
        <v>0</v>
      </c>
      <c r="AR108" s="23" t="s">
        <v>1016</v>
      </c>
      <c r="AS108" s="23" t="s">
        <v>78</v>
      </c>
      <c r="AT108" s="23"/>
      <c r="AU108" s="23"/>
      <c r="AV108" s="23"/>
      <c r="AW108" s="23"/>
      <c r="AX108" s="23"/>
      <c r="AY108" s="23"/>
    </row>
    <row r="109" customFormat="false" ht="15.75" hidden="false" customHeight="true" outlineLevel="0" collapsed="false">
      <c r="A109" s="22" t="n">
        <v>105</v>
      </c>
      <c r="B109" s="23" t="s">
        <v>1090</v>
      </c>
      <c r="C109" s="22"/>
      <c r="D109" s="22" t="s">
        <v>1091</v>
      </c>
      <c r="E109" s="22" t="s">
        <v>81</v>
      </c>
      <c r="F109" s="22" t="s">
        <v>107</v>
      </c>
      <c r="G109" s="22" t="s">
        <v>59</v>
      </c>
      <c r="H109" s="22" t="s">
        <v>327</v>
      </c>
      <c r="I109" s="22"/>
      <c r="J109" s="22" t="s">
        <v>61</v>
      </c>
      <c r="K109" s="22" t="s">
        <v>1092</v>
      </c>
      <c r="L109" s="22" t="s">
        <v>62</v>
      </c>
      <c r="M109" s="22" t="s">
        <v>365</v>
      </c>
      <c r="N109" s="22" t="s">
        <v>1093</v>
      </c>
      <c r="O109" s="22" t="s">
        <v>677</v>
      </c>
      <c r="P109" s="22" t="s">
        <v>1094</v>
      </c>
      <c r="Q109" s="22"/>
      <c r="R109" s="22" t="s">
        <v>1095</v>
      </c>
      <c r="S109" s="22" t="s">
        <v>61</v>
      </c>
      <c r="T109" s="22"/>
      <c r="U109" s="22" t="s">
        <v>1096</v>
      </c>
      <c r="V109" s="22" t="s">
        <v>70</v>
      </c>
      <c r="W109" s="22" t="s">
        <v>71</v>
      </c>
      <c r="X109" s="25" t="n">
        <v>42370</v>
      </c>
      <c r="Y109" s="25" t="n">
        <v>45839</v>
      </c>
      <c r="Z109" s="22" t="s">
        <v>72</v>
      </c>
      <c r="AA109" s="22" t="s">
        <v>149</v>
      </c>
      <c r="AB109" s="22" t="s">
        <v>74</v>
      </c>
      <c r="AC109" s="22"/>
      <c r="AD109" s="22" t="n">
        <v>0</v>
      </c>
      <c r="AE109" s="22"/>
      <c r="AF109" s="22"/>
      <c r="AG109" s="22" t="s">
        <v>75</v>
      </c>
      <c r="AH109" s="22"/>
      <c r="AI109" s="22" t="n">
        <v>10</v>
      </c>
      <c r="AJ109" s="22" t="n">
        <v>30</v>
      </c>
      <c r="AK109" s="22" t="s">
        <v>61</v>
      </c>
      <c r="AL109" s="26" t="n">
        <v>36077</v>
      </c>
      <c r="AM109" s="26" t="n">
        <v>45001.5788365278</v>
      </c>
      <c r="AN109" s="25" t="n">
        <v>45001.5836111111</v>
      </c>
      <c r="AO109" s="22" t="n">
        <v>6</v>
      </c>
      <c r="AP109" s="22" t="n">
        <v>40</v>
      </c>
      <c r="AQ109" s="22" t="s">
        <v>0</v>
      </c>
      <c r="AR109" s="23" t="s">
        <v>1016</v>
      </c>
      <c r="AS109" s="23" t="s">
        <v>78</v>
      </c>
      <c r="AT109" s="23"/>
      <c r="AU109" s="23"/>
      <c r="AV109" s="23"/>
      <c r="AW109" s="23"/>
      <c r="AX109" s="23"/>
      <c r="AY109" s="23"/>
    </row>
    <row r="110" customFormat="false" ht="15.75" hidden="false" customHeight="true" outlineLevel="0" collapsed="false">
      <c r="A110" s="22" t="n">
        <v>106</v>
      </c>
      <c r="B110" s="23" t="s">
        <v>1097</v>
      </c>
      <c r="C110" s="22"/>
      <c r="D110" s="22" t="s">
        <v>1098</v>
      </c>
      <c r="E110" s="22" t="s">
        <v>81</v>
      </c>
      <c r="F110" s="22" t="s">
        <v>107</v>
      </c>
      <c r="G110" s="22" t="s">
        <v>59</v>
      </c>
      <c r="H110" s="22" t="s">
        <v>60</v>
      </c>
      <c r="I110" s="22"/>
      <c r="J110" s="22" t="s">
        <v>61</v>
      </c>
      <c r="K110" s="22" t="s">
        <v>1099</v>
      </c>
      <c r="L110" s="22" t="s">
        <v>62</v>
      </c>
      <c r="M110" s="22" t="s">
        <v>1100</v>
      </c>
      <c r="N110" s="22" t="s">
        <v>1101</v>
      </c>
      <c r="O110" s="22" t="s">
        <v>1102</v>
      </c>
      <c r="P110" s="22" t="s">
        <v>1103</v>
      </c>
      <c r="Q110" s="22"/>
      <c r="R110" s="22" t="s">
        <v>1104</v>
      </c>
      <c r="S110" s="22" t="s">
        <v>61</v>
      </c>
      <c r="T110" s="22"/>
      <c r="U110" s="22" t="s">
        <v>1105</v>
      </c>
      <c r="V110" s="22" t="s">
        <v>70</v>
      </c>
      <c r="W110" s="22" t="s">
        <v>71</v>
      </c>
      <c r="X110" s="25" t="n">
        <v>44197</v>
      </c>
      <c r="Y110" s="25" t="n">
        <v>45992</v>
      </c>
      <c r="Z110" s="22" t="s">
        <v>72</v>
      </c>
      <c r="AA110" s="22" t="s">
        <v>91</v>
      </c>
      <c r="AB110" s="22" t="s">
        <v>74</v>
      </c>
      <c r="AC110" s="22"/>
      <c r="AD110" s="22" t="n">
        <v>0</v>
      </c>
      <c r="AE110" s="22"/>
      <c r="AF110" s="22"/>
      <c r="AG110" s="22" t="s">
        <v>75</v>
      </c>
      <c r="AH110" s="22"/>
      <c r="AI110" s="22" t="n">
        <v>10</v>
      </c>
      <c r="AJ110" s="22" t="n">
        <v>30</v>
      </c>
      <c r="AK110" s="22" t="s">
        <v>61</v>
      </c>
      <c r="AL110" s="26" t="n">
        <v>36083</v>
      </c>
      <c r="AM110" s="26" t="n">
        <v>45005.5236301389</v>
      </c>
      <c r="AN110" s="25" t="n">
        <v>45008.5215393519</v>
      </c>
      <c r="AO110" s="22" t="n">
        <v>5</v>
      </c>
      <c r="AP110" s="22" t="n">
        <v>40</v>
      </c>
      <c r="AQ110" s="22" t="s">
        <v>1</v>
      </c>
      <c r="AR110" s="27" t="s">
        <v>1106</v>
      </c>
      <c r="AS110" s="27" t="s">
        <v>206</v>
      </c>
      <c r="AT110" s="27" t="s">
        <v>1107</v>
      </c>
      <c r="AU110" s="27"/>
      <c r="AV110" s="27"/>
      <c r="AW110" s="27"/>
      <c r="AX110" s="27"/>
      <c r="AY110" s="27"/>
    </row>
    <row r="111" customFormat="false" ht="15.75" hidden="false" customHeight="true" outlineLevel="0" collapsed="false">
      <c r="A111" s="22" t="n">
        <v>107</v>
      </c>
      <c r="B111" s="23" t="s">
        <v>1108</v>
      </c>
      <c r="C111" s="22"/>
      <c r="D111" s="22" t="s">
        <v>1109</v>
      </c>
      <c r="E111" s="22" t="s">
        <v>57</v>
      </c>
      <c r="F111" s="22" t="s">
        <v>107</v>
      </c>
      <c r="G111" s="22" t="s">
        <v>59</v>
      </c>
      <c r="H111" s="22" t="s">
        <v>96</v>
      </c>
      <c r="I111" s="22"/>
      <c r="J111" s="22" t="s">
        <v>61</v>
      </c>
      <c r="K111" s="22" t="s">
        <v>1110</v>
      </c>
      <c r="L111" s="22" t="s">
        <v>62</v>
      </c>
      <c r="M111" s="22" t="s">
        <v>1111</v>
      </c>
      <c r="N111" s="22" t="s">
        <v>1112</v>
      </c>
      <c r="O111" s="22" t="s">
        <v>1113</v>
      </c>
      <c r="P111" s="22" t="s">
        <v>1114</v>
      </c>
      <c r="Q111" s="22" t="s">
        <v>1115</v>
      </c>
      <c r="R111" s="22" t="s">
        <v>1116</v>
      </c>
      <c r="S111" s="22" t="s">
        <v>61</v>
      </c>
      <c r="T111" s="22"/>
      <c r="U111" s="22" t="s">
        <v>1117</v>
      </c>
      <c r="V111" s="22" t="s">
        <v>70</v>
      </c>
      <c r="W111" s="22" t="s">
        <v>71</v>
      </c>
      <c r="X111" s="25" t="n">
        <v>43862</v>
      </c>
      <c r="Y111" s="25" t="n">
        <v>45627</v>
      </c>
      <c r="Z111" s="22" t="s">
        <v>72</v>
      </c>
      <c r="AA111" s="22" t="s">
        <v>91</v>
      </c>
      <c r="AB111" s="22" t="s">
        <v>74</v>
      </c>
      <c r="AC111" s="22"/>
      <c r="AD111" s="22" t="n">
        <v>0</v>
      </c>
      <c r="AE111" s="22"/>
      <c r="AF111" s="22"/>
      <c r="AG111" s="22" t="s">
        <v>75</v>
      </c>
      <c r="AH111" s="22"/>
      <c r="AI111" s="22" t="n">
        <v>10</v>
      </c>
      <c r="AJ111" s="22" t="n">
        <v>30</v>
      </c>
      <c r="AK111" s="22" t="s">
        <v>76</v>
      </c>
      <c r="AL111" s="26" t="n">
        <v>36093</v>
      </c>
      <c r="AM111" s="26" t="n">
        <v>45008.6775422222</v>
      </c>
      <c r="AN111" s="25" t="n">
        <v>45008.9284143519</v>
      </c>
      <c r="AO111" s="22" t="n">
        <v>7</v>
      </c>
      <c r="AP111" s="22" t="n">
        <v>40</v>
      </c>
      <c r="AQ111" s="22" t="s">
        <v>0</v>
      </c>
      <c r="AR111" s="23" t="s">
        <v>1118</v>
      </c>
      <c r="AS111" s="23" t="s">
        <v>78</v>
      </c>
      <c r="AT111" s="23"/>
      <c r="AU111" s="23"/>
      <c r="AV111" s="23"/>
      <c r="AW111" s="23"/>
      <c r="AX111" s="23"/>
      <c r="AY111" s="23"/>
    </row>
    <row r="112" customFormat="false" ht="15.75" hidden="false" customHeight="true" outlineLevel="0" collapsed="false">
      <c r="A112" s="22" t="n">
        <v>108</v>
      </c>
      <c r="B112" s="23" t="s">
        <v>1119</v>
      </c>
      <c r="C112" s="22"/>
      <c r="D112" s="22" t="s">
        <v>1120</v>
      </c>
      <c r="E112" s="22" t="s">
        <v>57</v>
      </c>
      <c r="F112" s="22" t="s">
        <v>107</v>
      </c>
      <c r="G112" s="22" t="s">
        <v>59</v>
      </c>
      <c r="H112" s="22" t="s">
        <v>96</v>
      </c>
      <c r="I112" s="22"/>
      <c r="J112" s="22" t="s">
        <v>61</v>
      </c>
      <c r="K112" s="22" t="s">
        <v>1121</v>
      </c>
      <c r="L112" s="22" t="s">
        <v>62</v>
      </c>
      <c r="M112" s="22" t="s">
        <v>63</v>
      </c>
      <c r="N112" s="22" t="s">
        <v>1122</v>
      </c>
      <c r="O112" s="22" t="s">
        <v>685</v>
      </c>
      <c r="P112" s="22" t="s">
        <v>1123</v>
      </c>
      <c r="Q112" s="22"/>
      <c r="R112" s="22" t="s">
        <v>1124</v>
      </c>
      <c r="S112" s="22" t="s">
        <v>61</v>
      </c>
      <c r="T112" s="22"/>
      <c r="U112" s="22" t="s">
        <v>1125</v>
      </c>
      <c r="V112" s="22" t="s">
        <v>70</v>
      </c>
      <c r="W112" s="22" t="s">
        <v>71</v>
      </c>
      <c r="X112" s="25" t="n">
        <v>44044</v>
      </c>
      <c r="Y112" s="25" t="n">
        <v>45839</v>
      </c>
      <c r="Z112" s="22" t="s">
        <v>72</v>
      </c>
      <c r="AA112" s="22" t="s">
        <v>149</v>
      </c>
      <c r="AB112" s="22" t="s">
        <v>74</v>
      </c>
      <c r="AC112" s="22"/>
      <c r="AD112" s="22" t="n">
        <v>0</v>
      </c>
      <c r="AE112" s="22"/>
      <c r="AF112" s="22"/>
      <c r="AG112" s="22" t="s">
        <v>75</v>
      </c>
      <c r="AH112" s="22"/>
      <c r="AI112" s="22" t="n">
        <v>10</v>
      </c>
      <c r="AJ112" s="22" t="n">
        <v>30</v>
      </c>
      <c r="AK112" s="22" t="s">
        <v>76</v>
      </c>
      <c r="AL112" s="26" t="n">
        <v>36097</v>
      </c>
      <c r="AM112" s="26" t="n">
        <v>45007.4885297222</v>
      </c>
      <c r="AN112" s="25" t="n">
        <v>45008.8176388889</v>
      </c>
      <c r="AO112" s="22" t="n">
        <v>6</v>
      </c>
      <c r="AP112" s="22" t="n">
        <v>40</v>
      </c>
      <c r="AQ112" s="22" t="s">
        <v>0</v>
      </c>
      <c r="AR112" s="23" t="s">
        <v>1126</v>
      </c>
      <c r="AS112" s="23" t="s">
        <v>78</v>
      </c>
      <c r="AT112" s="23"/>
      <c r="AU112" s="23"/>
      <c r="AV112" s="23"/>
      <c r="AW112" s="23"/>
      <c r="AX112" s="23"/>
      <c r="AY112" s="23"/>
    </row>
    <row r="113" customFormat="false" ht="15.75" hidden="false" customHeight="true" outlineLevel="0" collapsed="false">
      <c r="A113" s="22" t="n">
        <v>109</v>
      </c>
      <c r="B113" s="23" t="s">
        <v>1127</v>
      </c>
      <c r="C113" s="22"/>
      <c r="D113" s="22" t="s">
        <v>1128</v>
      </c>
      <c r="E113" s="22" t="s">
        <v>81</v>
      </c>
      <c r="F113" s="22" t="s">
        <v>107</v>
      </c>
      <c r="G113" s="22" t="s">
        <v>59</v>
      </c>
      <c r="H113" s="22" t="s">
        <v>60</v>
      </c>
      <c r="I113" s="22"/>
      <c r="J113" s="22" t="s">
        <v>61</v>
      </c>
      <c r="K113" s="22" t="s">
        <v>1129</v>
      </c>
      <c r="L113" s="22" t="s">
        <v>62</v>
      </c>
      <c r="M113" s="22" t="s">
        <v>1130</v>
      </c>
      <c r="N113" s="22" t="s">
        <v>1131</v>
      </c>
      <c r="O113" s="22" t="s">
        <v>1132</v>
      </c>
      <c r="P113" s="22" t="s">
        <v>1133</v>
      </c>
      <c r="Q113" s="22"/>
      <c r="R113" s="22" t="s">
        <v>1134</v>
      </c>
      <c r="S113" s="22" t="s">
        <v>61</v>
      </c>
      <c r="T113" s="22"/>
      <c r="U113" s="22" t="s">
        <v>1135</v>
      </c>
      <c r="V113" s="22" t="s">
        <v>70</v>
      </c>
      <c r="W113" s="22" t="s">
        <v>71</v>
      </c>
      <c r="X113" s="25" t="n">
        <v>43132</v>
      </c>
      <c r="Y113" s="25" t="n">
        <v>44896</v>
      </c>
      <c r="Z113" s="22" t="s">
        <v>72</v>
      </c>
      <c r="AA113" s="22" t="s">
        <v>91</v>
      </c>
      <c r="AB113" s="22" t="s">
        <v>74</v>
      </c>
      <c r="AC113" s="22"/>
      <c r="AD113" s="22" t="n">
        <v>0</v>
      </c>
      <c r="AE113" s="22"/>
      <c r="AF113" s="22"/>
      <c r="AG113" s="22" t="s">
        <v>75</v>
      </c>
      <c r="AH113" s="22"/>
      <c r="AI113" s="22" t="n">
        <v>10</v>
      </c>
      <c r="AJ113" s="22" t="n">
        <v>30</v>
      </c>
      <c r="AK113" s="22" t="s">
        <v>61</v>
      </c>
      <c r="AL113" s="26" t="n">
        <v>36103</v>
      </c>
      <c r="AM113" s="26" t="n">
        <v>45001.7253080903</v>
      </c>
      <c r="AN113" s="25" t="n">
        <v>45001.7271759259</v>
      </c>
      <c r="AO113" s="22" t="n">
        <v>9</v>
      </c>
      <c r="AP113" s="22" t="n">
        <v>40</v>
      </c>
      <c r="AQ113" s="22" t="s">
        <v>1</v>
      </c>
      <c r="AR113" s="27" t="s">
        <v>1136</v>
      </c>
      <c r="AS113" s="27" t="s">
        <v>206</v>
      </c>
      <c r="AT113" s="27" t="s">
        <v>1137</v>
      </c>
      <c r="AU113" s="27"/>
      <c r="AV113" s="27"/>
      <c r="AW113" s="27"/>
      <c r="AX113" s="27"/>
      <c r="AY113" s="27"/>
    </row>
    <row r="114" customFormat="false" ht="15.75" hidden="false" customHeight="true" outlineLevel="0" collapsed="false">
      <c r="A114" s="22" t="n">
        <v>110</v>
      </c>
      <c r="B114" s="23" t="s">
        <v>1138</v>
      </c>
      <c r="C114" s="22" t="s">
        <v>1139</v>
      </c>
      <c r="D114" s="22" t="s">
        <v>1140</v>
      </c>
      <c r="E114" s="22" t="s">
        <v>57</v>
      </c>
      <c r="F114" s="22" t="s">
        <v>107</v>
      </c>
      <c r="G114" s="22" t="s">
        <v>59</v>
      </c>
      <c r="H114" s="22" t="s">
        <v>60</v>
      </c>
      <c r="I114" s="22"/>
      <c r="J114" s="22" t="s">
        <v>61</v>
      </c>
      <c r="K114" s="22" t="s">
        <v>1141</v>
      </c>
      <c r="L114" s="22" t="s">
        <v>62</v>
      </c>
      <c r="M114" s="22" t="s">
        <v>63</v>
      </c>
      <c r="N114" s="22" t="s">
        <v>1142</v>
      </c>
      <c r="O114" s="22" t="s">
        <v>1143</v>
      </c>
      <c r="P114" s="22" t="s">
        <v>1144</v>
      </c>
      <c r="Q114" s="22"/>
      <c r="R114" s="22" t="s">
        <v>1145</v>
      </c>
      <c r="S114" s="22" t="s">
        <v>61</v>
      </c>
      <c r="T114" s="22"/>
      <c r="U114" s="22" t="s">
        <v>1146</v>
      </c>
      <c r="V114" s="22" t="s">
        <v>70</v>
      </c>
      <c r="W114" s="22" t="s">
        <v>71</v>
      </c>
      <c r="X114" s="25" t="n">
        <v>43252</v>
      </c>
      <c r="Y114" s="25" t="n">
        <v>45078</v>
      </c>
      <c r="Z114" s="22" t="s">
        <v>72</v>
      </c>
      <c r="AA114" s="22" t="s">
        <v>91</v>
      </c>
      <c r="AB114" s="22" t="s">
        <v>74</v>
      </c>
      <c r="AC114" s="22"/>
      <c r="AD114" s="22" t="n">
        <v>0</v>
      </c>
      <c r="AE114" s="22"/>
      <c r="AF114" s="22"/>
      <c r="AG114" s="22" t="s">
        <v>75</v>
      </c>
      <c r="AH114" s="22"/>
      <c r="AI114" s="22" t="n">
        <v>10</v>
      </c>
      <c r="AJ114" s="22" t="n">
        <v>30</v>
      </c>
      <c r="AK114" s="22" t="s">
        <v>76</v>
      </c>
      <c r="AL114" s="26" t="n">
        <v>36130</v>
      </c>
      <c r="AM114" s="26" t="n">
        <v>45004.0093491088</v>
      </c>
      <c r="AN114" s="25" t="n">
        <v>45004.5779513889</v>
      </c>
      <c r="AO114" s="22" t="n">
        <v>9</v>
      </c>
      <c r="AP114" s="22" t="n">
        <v>40</v>
      </c>
      <c r="AQ114" s="22" t="s">
        <v>1</v>
      </c>
      <c r="AR114" s="27" t="s">
        <v>1147</v>
      </c>
      <c r="AS114" s="27" t="s">
        <v>206</v>
      </c>
      <c r="AT114" s="27" t="s">
        <v>1137</v>
      </c>
      <c r="AU114" s="27"/>
      <c r="AV114" s="27"/>
      <c r="AW114" s="27"/>
      <c r="AX114" s="27"/>
      <c r="AY114" s="27"/>
    </row>
    <row r="115" customFormat="false" ht="15.75" hidden="false" customHeight="true" outlineLevel="0" collapsed="false">
      <c r="A115" s="22" t="n">
        <v>111</v>
      </c>
      <c r="B115" s="23" t="s">
        <v>1148</v>
      </c>
      <c r="C115" s="22" t="s">
        <v>1149</v>
      </c>
      <c r="D115" s="22" t="s">
        <v>1150</v>
      </c>
      <c r="E115" s="22" t="s">
        <v>81</v>
      </c>
      <c r="F115" s="22" t="s">
        <v>107</v>
      </c>
      <c r="G115" s="22" t="s">
        <v>59</v>
      </c>
      <c r="H115" s="22" t="s">
        <v>96</v>
      </c>
      <c r="I115" s="22"/>
      <c r="J115" s="22" t="s">
        <v>61</v>
      </c>
      <c r="K115" s="22" t="s">
        <v>1151</v>
      </c>
      <c r="L115" s="22" t="s">
        <v>62</v>
      </c>
      <c r="M115" s="22" t="s">
        <v>63</v>
      </c>
      <c r="N115" s="22" t="s">
        <v>1152</v>
      </c>
      <c r="O115" s="22" t="s">
        <v>1153</v>
      </c>
      <c r="P115" s="22" t="s">
        <v>1154</v>
      </c>
      <c r="Q115" s="22" t="s">
        <v>1155</v>
      </c>
      <c r="R115" s="22" t="s">
        <v>1156</v>
      </c>
      <c r="S115" s="22" t="s">
        <v>61</v>
      </c>
      <c r="T115" s="22"/>
      <c r="U115" s="22" t="s">
        <v>1157</v>
      </c>
      <c r="V115" s="22" t="s">
        <v>70</v>
      </c>
      <c r="W115" s="22" t="s">
        <v>71</v>
      </c>
      <c r="X115" s="25" t="n">
        <v>43101</v>
      </c>
      <c r="Y115" s="25" t="n">
        <v>45261</v>
      </c>
      <c r="Z115" s="22" t="s">
        <v>72</v>
      </c>
      <c r="AA115" s="22" t="s">
        <v>91</v>
      </c>
      <c r="AB115" s="22" t="s">
        <v>74</v>
      </c>
      <c r="AC115" s="22"/>
      <c r="AD115" s="22" t="n">
        <v>0</v>
      </c>
      <c r="AE115" s="22"/>
      <c r="AF115" s="22"/>
      <c r="AG115" s="22" t="s">
        <v>75</v>
      </c>
      <c r="AH115" s="22"/>
      <c r="AI115" s="22" t="n">
        <v>10</v>
      </c>
      <c r="AJ115" s="22" t="n">
        <v>30</v>
      </c>
      <c r="AK115" s="22" t="s">
        <v>76</v>
      </c>
      <c r="AL115" s="26" t="n">
        <v>36130</v>
      </c>
      <c r="AM115" s="26" t="n">
        <v>45006.6899770139</v>
      </c>
      <c r="AN115" s="25" t="n">
        <v>45006.691724537</v>
      </c>
      <c r="AO115" s="22" t="n">
        <v>9</v>
      </c>
      <c r="AP115" s="22" t="n">
        <v>40</v>
      </c>
      <c r="AQ115" s="22" t="s">
        <v>1</v>
      </c>
      <c r="AR115" s="27" t="s">
        <v>1147</v>
      </c>
      <c r="AS115" s="27" t="s">
        <v>206</v>
      </c>
      <c r="AT115" s="27" t="s">
        <v>1137</v>
      </c>
      <c r="AU115" s="27"/>
      <c r="AV115" s="27"/>
      <c r="AW115" s="27"/>
      <c r="AX115" s="27"/>
      <c r="AY115" s="27"/>
    </row>
    <row r="116" customFormat="false" ht="15.75" hidden="false" customHeight="true" outlineLevel="0" collapsed="false">
      <c r="A116" s="22" t="n">
        <v>112</v>
      </c>
      <c r="B116" s="23" t="s">
        <v>1158</v>
      </c>
      <c r="C116" s="22"/>
      <c r="D116" s="22" t="s">
        <v>1159</v>
      </c>
      <c r="E116" s="22" t="s">
        <v>57</v>
      </c>
      <c r="F116" s="22" t="s">
        <v>107</v>
      </c>
      <c r="G116" s="22" t="s">
        <v>59</v>
      </c>
      <c r="H116" s="22" t="s">
        <v>60</v>
      </c>
      <c r="I116" s="22"/>
      <c r="J116" s="22" t="s">
        <v>61</v>
      </c>
      <c r="K116" s="22" t="s">
        <v>1160</v>
      </c>
      <c r="L116" s="22" t="s">
        <v>62</v>
      </c>
      <c r="M116" s="22" t="s">
        <v>1161</v>
      </c>
      <c r="N116" s="22" t="s">
        <v>1162</v>
      </c>
      <c r="O116" s="22" t="s">
        <v>1003</v>
      </c>
      <c r="P116" s="22" t="s">
        <v>1163</v>
      </c>
      <c r="Q116" s="22"/>
      <c r="R116" s="22" t="s">
        <v>1164</v>
      </c>
      <c r="S116" s="22" t="s">
        <v>61</v>
      </c>
      <c r="T116" s="22"/>
      <c r="U116" s="22" t="s">
        <v>672</v>
      </c>
      <c r="V116" s="22" t="s">
        <v>70</v>
      </c>
      <c r="W116" s="22" t="s">
        <v>71</v>
      </c>
      <c r="X116" s="25" t="n">
        <v>43313</v>
      </c>
      <c r="Y116" s="25" t="n">
        <v>45261</v>
      </c>
      <c r="Z116" s="22" t="s">
        <v>72</v>
      </c>
      <c r="AA116" s="22" t="s">
        <v>91</v>
      </c>
      <c r="AB116" s="22" t="s">
        <v>74</v>
      </c>
      <c r="AC116" s="22"/>
      <c r="AD116" s="22" t="n">
        <v>0</v>
      </c>
      <c r="AE116" s="22"/>
      <c r="AF116" s="22"/>
      <c r="AG116" s="22" t="s">
        <v>75</v>
      </c>
      <c r="AH116" s="22"/>
      <c r="AI116" s="22" t="n">
        <v>10</v>
      </c>
      <c r="AJ116" s="22" t="n">
        <v>30</v>
      </c>
      <c r="AK116" s="22" t="s">
        <v>61</v>
      </c>
      <c r="AL116" s="26" t="n">
        <v>36151</v>
      </c>
      <c r="AM116" s="26" t="n">
        <v>45002.4089921181</v>
      </c>
      <c r="AN116" s="25" t="n">
        <v>45006.8919097222</v>
      </c>
      <c r="AO116" s="22" t="n">
        <v>9</v>
      </c>
      <c r="AP116" s="22" t="n">
        <v>40</v>
      </c>
      <c r="AQ116" s="22" t="s">
        <v>0</v>
      </c>
      <c r="AR116" s="36" t="s">
        <v>1165</v>
      </c>
      <c r="AS116" s="27" t="s">
        <v>78</v>
      </c>
      <c r="AT116" s="27"/>
      <c r="AU116" s="27"/>
      <c r="AV116" s="27"/>
      <c r="AW116" s="27"/>
      <c r="AX116" s="27"/>
      <c r="AY116" s="27"/>
    </row>
    <row r="117" customFormat="false" ht="15.75" hidden="false" customHeight="true" outlineLevel="0" collapsed="false">
      <c r="A117" s="22" t="n">
        <v>113</v>
      </c>
      <c r="B117" s="23" t="s">
        <v>1166</v>
      </c>
      <c r="C117" s="22"/>
      <c r="D117" s="22" t="s">
        <v>1167</v>
      </c>
      <c r="E117" s="22" t="s">
        <v>81</v>
      </c>
      <c r="F117" s="22" t="s">
        <v>107</v>
      </c>
      <c r="G117" s="22" t="s">
        <v>59</v>
      </c>
      <c r="H117" s="22" t="s">
        <v>96</v>
      </c>
      <c r="I117" s="22"/>
      <c r="J117" s="22" t="s">
        <v>61</v>
      </c>
      <c r="K117" s="22" t="s">
        <v>1168</v>
      </c>
      <c r="L117" s="22" t="s">
        <v>62</v>
      </c>
      <c r="M117" s="22" t="s">
        <v>1169</v>
      </c>
      <c r="N117" s="22" t="s">
        <v>1170</v>
      </c>
      <c r="O117" s="22" t="s">
        <v>1171</v>
      </c>
      <c r="P117" s="22" t="s">
        <v>1172</v>
      </c>
      <c r="Q117" s="22"/>
      <c r="R117" s="22" t="s">
        <v>1173</v>
      </c>
      <c r="S117" s="22" t="s">
        <v>61</v>
      </c>
      <c r="T117" s="22"/>
      <c r="U117" s="22" t="s">
        <v>1174</v>
      </c>
      <c r="V117" s="22" t="s">
        <v>70</v>
      </c>
      <c r="W117" s="22" t="s">
        <v>71</v>
      </c>
      <c r="X117" s="25" t="n">
        <v>43862</v>
      </c>
      <c r="Y117" s="25" t="n">
        <v>45809</v>
      </c>
      <c r="Z117" s="22" t="s">
        <v>72</v>
      </c>
      <c r="AA117" s="22" t="s">
        <v>91</v>
      </c>
      <c r="AB117" s="22" t="s">
        <v>74</v>
      </c>
      <c r="AC117" s="22"/>
      <c r="AD117" s="22" t="n">
        <v>0</v>
      </c>
      <c r="AE117" s="22"/>
      <c r="AF117" s="22"/>
      <c r="AG117" s="22" t="s">
        <v>75</v>
      </c>
      <c r="AH117" s="22"/>
      <c r="AI117" s="22" t="n">
        <v>10</v>
      </c>
      <c r="AJ117" s="22" t="n">
        <v>30</v>
      </c>
      <c r="AK117" s="22" t="s">
        <v>61</v>
      </c>
      <c r="AL117" s="26" t="n">
        <v>36159</v>
      </c>
      <c r="AM117" s="26" t="n">
        <v>45002.4428973148</v>
      </c>
      <c r="AN117" s="25" t="n">
        <v>45002.4445486111</v>
      </c>
      <c r="AO117" s="22" t="n">
        <v>7</v>
      </c>
      <c r="AP117" s="22" t="n">
        <v>40</v>
      </c>
      <c r="AQ117" s="22" t="s">
        <v>1</v>
      </c>
      <c r="AR117" s="37" t="s">
        <v>1175</v>
      </c>
      <c r="AS117" s="27" t="s">
        <v>206</v>
      </c>
      <c r="AT117" s="27" t="s">
        <v>1137</v>
      </c>
      <c r="AU117" s="27"/>
      <c r="AV117" s="27"/>
      <c r="AW117" s="27"/>
      <c r="AX117" s="27"/>
      <c r="AY117" s="27"/>
    </row>
    <row r="118" customFormat="false" ht="15.75" hidden="false" customHeight="true" outlineLevel="0" collapsed="false">
      <c r="A118" s="22" t="n">
        <v>114</v>
      </c>
      <c r="B118" s="23" t="s">
        <v>1176</v>
      </c>
      <c r="C118" s="22"/>
      <c r="D118" s="22" t="s">
        <v>1177</v>
      </c>
      <c r="E118" s="22" t="s">
        <v>57</v>
      </c>
      <c r="F118" s="22" t="s">
        <v>107</v>
      </c>
      <c r="G118" s="22" t="s">
        <v>59</v>
      </c>
      <c r="H118" s="22" t="s">
        <v>60</v>
      </c>
      <c r="I118" s="22"/>
      <c r="J118" s="22" t="s">
        <v>61</v>
      </c>
      <c r="K118" s="22" t="s">
        <v>1178</v>
      </c>
      <c r="L118" s="22" t="s">
        <v>62</v>
      </c>
      <c r="M118" s="22" t="s">
        <v>63</v>
      </c>
      <c r="N118" s="22" t="s">
        <v>1179</v>
      </c>
      <c r="O118" s="22" t="s">
        <v>227</v>
      </c>
      <c r="P118" s="22" t="s">
        <v>1180</v>
      </c>
      <c r="Q118" s="22" t="s">
        <v>1181</v>
      </c>
      <c r="R118" s="22" t="s">
        <v>1182</v>
      </c>
      <c r="S118" s="22" t="s">
        <v>61</v>
      </c>
      <c r="T118" s="22"/>
      <c r="U118" s="22" t="s">
        <v>1015</v>
      </c>
      <c r="V118" s="22" t="s">
        <v>70</v>
      </c>
      <c r="W118" s="22" t="s">
        <v>71</v>
      </c>
      <c r="X118" s="25" t="n">
        <v>44197</v>
      </c>
      <c r="Y118" s="25" t="n">
        <v>45992</v>
      </c>
      <c r="Z118" s="22" t="s">
        <v>72</v>
      </c>
      <c r="AA118" s="22" t="s">
        <v>149</v>
      </c>
      <c r="AB118" s="22" t="s">
        <v>74</v>
      </c>
      <c r="AC118" s="22"/>
      <c r="AD118" s="22" t="n">
        <v>0</v>
      </c>
      <c r="AE118" s="22"/>
      <c r="AF118" s="22"/>
      <c r="AG118" s="22" t="s">
        <v>75</v>
      </c>
      <c r="AH118" s="22"/>
      <c r="AI118" s="22" t="n">
        <v>10</v>
      </c>
      <c r="AJ118" s="22" t="n">
        <v>30</v>
      </c>
      <c r="AK118" s="22" t="s">
        <v>61</v>
      </c>
      <c r="AL118" s="26" t="n">
        <v>36214</v>
      </c>
      <c r="AM118" s="26" t="n">
        <v>45000.5413778241</v>
      </c>
      <c r="AN118" s="25" t="n">
        <v>45000.6165046296</v>
      </c>
      <c r="AO118" s="22" t="n">
        <v>5</v>
      </c>
      <c r="AP118" s="22" t="n">
        <v>40</v>
      </c>
      <c r="AQ118" s="22" t="s">
        <v>0</v>
      </c>
      <c r="AR118" s="23" t="s">
        <v>1183</v>
      </c>
      <c r="AS118" s="23" t="s">
        <v>78</v>
      </c>
      <c r="AT118" s="23"/>
      <c r="AU118" s="23"/>
      <c r="AV118" s="23"/>
      <c r="AW118" s="23"/>
      <c r="AX118" s="23"/>
      <c r="AY118" s="23"/>
    </row>
    <row r="119" customFormat="false" ht="15.75" hidden="false" customHeight="true" outlineLevel="0" collapsed="false">
      <c r="A119" s="22" t="n">
        <v>115</v>
      </c>
      <c r="B119" s="23" t="s">
        <v>1184</v>
      </c>
      <c r="C119" s="22"/>
      <c r="D119" s="22" t="s">
        <v>1185</v>
      </c>
      <c r="E119" s="22" t="s">
        <v>81</v>
      </c>
      <c r="F119" s="22" t="s">
        <v>107</v>
      </c>
      <c r="G119" s="22" t="s">
        <v>59</v>
      </c>
      <c r="H119" s="22" t="s">
        <v>60</v>
      </c>
      <c r="I119" s="22"/>
      <c r="J119" s="22" t="s">
        <v>61</v>
      </c>
      <c r="K119" s="22" t="s">
        <v>1186</v>
      </c>
      <c r="L119" s="22" t="s">
        <v>62</v>
      </c>
      <c r="M119" s="22" t="s">
        <v>84</v>
      </c>
      <c r="N119" s="22" t="s">
        <v>1187</v>
      </c>
      <c r="O119" s="22" t="s">
        <v>1188</v>
      </c>
      <c r="P119" s="22" t="s">
        <v>1189</v>
      </c>
      <c r="Q119" s="22"/>
      <c r="R119" s="22" t="s">
        <v>1190</v>
      </c>
      <c r="S119" s="22" t="s">
        <v>61</v>
      </c>
      <c r="T119" s="22"/>
      <c r="U119" s="22" t="s">
        <v>390</v>
      </c>
      <c r="V119" s="22" t="s">
        <v>70</v>
      </c>
      <c r="W119" s="22" t="s">
        <v>71</v>
      </c>
      <c r="X119" s="25" t="n">
        <v>43952</v>
      </c>
      <c r="Y119" s="25" t="n">
        <v>45627</v>
      </c>
      <c r="Z119" s="22" t="s">
        <v>72</v>
      </c>
      <c r="AA119" s="22" t="s">
        <v>149</v>
      </c>
      <c r="AB119" s="22" t="s">
        <v>74</v>
      </c>
      <c r="AC119" s="22"/>
      <c r="AD119" s="22" t="n">
        <v>0</v>
      </c>
      <c r="AE119" s="22"/>
      <c r="AF119" s="22"/>
      <c r="AG119" s="22" t="s">
        <v>75</v>
      </c>
      <c r="AH119" s="22"/>
      <c r="AI119" s="22" t="n">
        <v>10</v>
      </c>
      <c r="AJ119" s="22" t="n">
        <v>30</v>
      </c>
      <c r="AK119" s="22" t="s">
        <v>76</v>
      </c>
      <c r="AL119" s="26" t="n">
        <v>36215</v>
      </c>
      <c r="AM119" s="26" t="n">
        <v>45001.7729607986</v>
      </c>
      <c r="AN119" s="25" t="n">
        <v>45001.7735300926</v>
      </c>
      <c r="AO119" s="22" t="n">
        <v>7</v>
      </c>
      <c r="AP119" s="22" t="n">
        <v>40</v>
      </c>
      <c r="AQ119" s="22" t="s">
        <v>1</v>
      </c>
      <c r="AR119" s="37" t="s">
        <v>1191</v>
      </c>
      <c r="AS119" s="27" t="s">
        <v>206</v>
      </c>
      <c r="AT119" s="27" t="s">
        <v>1137</v>
      </c>
      <c r="AU119" s="27"/>
      <c r="AV119" s="27"/>
      <c r="AW119" s="27"/>
      <c r="AX119" s="27"/>
      <c r="AY119" s="27"/>
    </row>
    <row r="120" customFormat="false" ht="15.75" hidden="false" customHeight="true" outlineLevel="0" collapsed="false">
      <c r="A120" s="22" t="n">
        <v>116</v>
      </c>
      <c r="B120" s="23" t="s">
        <v>1192</v>
      </c>
      <c r="C120" s="22"/>
      <c r="D120" s="22" t="s">
        <v>1193</v>
      </c>
      <c r="E120" s="22" t="s">
        <v>81</v>
      </c>
      <c r="F120" s="22" t="s">
        <v>107</v>
      </c>
      <c r="G120" s="22" t="s">
        <v>59</v>
      </c>
      <c r="H120" s="22" t="s">
        <v>96</v>
      </c>
      <c r="I120" s="22"/>
      <c r="J120" s="22" t="s">
        <v>61</v>
      </c>
      <c r="K120" s="22" t="s">
        <v>1194</v>
      </c>
      <c r="L120" s="22" t="s">
        <v>62</v>
      </c>
      <c r="M120" s="22" t="s">
        <v>63</v>
      </c>
      <c r="N120" s="22" t="s">
        <v>1195</v>
      </c>
      <c r="O120" s="22" t="s">
        <v>963</v>
      </c>
      <c r="P120" s="22" t="s">
        <v>1196</v>
      </c>
      <c r="Q120" s="22" t="s">
        <v>1197</v>
      </c>
      <c r="R120" s="22" t="s">
        <v>1198</v>
      </c>
      <c r="S120" s="22" t="s">
        <v>61</v>
      </c>
      <c r="T120" s="22"/>
      <c r="U120" s="22" t="s">
        <v>1199</v>
      </c>
      <c r="V120" s="22" t="s">
        <v>70</v>
      </c>
      <c r="W120" s="22" t="s">
        <v>71</v>
      </c>
      <c r="X120" s="25" t="n">
        <v>43466</v>
      </c>
      <c r="Y120" s="25" t="n">
        <v>45292</v>
      </c>
      <c r="Z120" s="22" t="s">
        <v>72</v>
      </c>
      <c r="AA120" s="22" t="s">
        <v>149</v>
      </c>
      <c r="AB120" s="22" t="s">
        <v>74</v>
      </c>
      <c r="AC120" s="22"/>
      <c r="AD120" s="22" t="n">
        <v>0</v>
      </c>
      <c r="AE120" s="22"/>
      <c r="AF120" s="22"/>
      <c r="AG120" s="22" t="s">
        <v>75</v>
      </c>
      <c r="AH120" s="22"/>
      <c r="AI120" s="22" t="n">
        <v>10</v>
      </c>
      <c r="AJ120" s="22" t="n">
        <v>30</v>
      </c>
      <c r="AK120" s="22" t="s">
        <v>61</v>
      </c>
      <c r="AL120" s="26" t="n">
        <v>36248</v>
      </c>
      <c r="AM120" s="26" t="n">
        <v>45009.4903443634</v>
      </c>
      <c r="AN120" s="25" t="n">
        <v>45009.4952546296</v>
      </c>
      <c r="AO120" s="22" t="n">
        <v>9</v>
      </c>
      <c r="AP120" s="22" t="n">
        <v>40</v>
      </c>
      <c r="AQ120" s="22" t="s">
        <v>0</v>
      </c>
      <c r="AR120" s="38" t="s">
        <v>1200</v>
      </c>
      <c r="AS120" s="27" t="s">
        <v>206</v>
      </c>
      <c r="AT120" s="27" t="s">
        <v>1165</v>
      </c>
      <c r="AU120" s="27" t="s">
        <v>78</v>
      </c>
      <c r="AV120" s="27"/>
      <c r="AW120" s="27"/>
      <c r="AX120" s="27"/>
      <c r="AY120" s="27"/>
    </row>
    <row r="121" customFormat="false" ht="15.75" hidden="false" customHeight="true" outlineLevel="0" collapsed="false">
      <c r="A121" s="22" t="n">
        <v>117</v>
      </c>
      <c r="B121" s="23" t="s">
        <v>1201</v>
      </c>
      <c r="C121" s="22" t="s">
        <v>1202</v>
      </c>
      <c r="D121" s="22" t="s">
        <v>1203</v>
      </c>
      <c r="E121" s="22" t="s">
        <v>81</v>
      </c>
      <c r="F121" s="22" t="s">
        <v>107</v>
      </c>
      <c r="G121" s="22" t="s">
        <v>59</v>
      </c>
      <c r="H121" s="22" t="s">
        <v>96</v>
      </c>
      <c r="I121" s="22"/>
      <c r="J121" s="22" t="s">
        <v>61</v>
      </c>
      <c r="K121" s="22" t="s">
        <v>1204</v>
      </c>
      <c r="L121" s="22" t="s">
        <v>62</v>
      </c>
      <c r="M121" s="22" t="s">
        <v>63</v>
      </c>
      <c r="N121" s="22" t="s">
        <v>1205</v>
      </c>
      <c r="O121" s="22" t="s">
        <v>685</v>
      </c>
      <c r="P121" s="22" t="s">
        <v>1206</v>
      </c>
      <c r="Q121" s="22"/>
      <c r="R121" s="22" t="s">
        <v>1207</v>
      </c>
      <c r="S121" s="22" t="s">
        <v>61</v>
      </c>
      <c r="T121" s="22"/>
      <c r="U121" s="22" t="s">
        <v>261</v>
      </c>
      <c r="V121" s="22" t="s">
        <v>70</v>
      </c>
      <c r="W121" s="22" t="s">
        <v>71</v>
      </c>
      <c r="X121" s="25" t="n">
        <v>43831</v>
      </c>
      <c r="Y121" s="25" t="n">
        <v>45627</v>
      </c>
      <c r="Z121" s="22" t="s">
        <v>72</v>
      </c>
      <c r="AA121" s="22" t="s">
        <v>91</v>
      </c>
      <c r="AB121" s="22" t="s">
        <v>74</v>
      </c>
      <c r="AC121" s="22"/>
      <c r="AD121" s="22" t="n">
        <v>0</v>
      </c>
      <c r="AE121" s="22"/>
      <c r="AF121" s="22"/>
      <c r="AG121" s="22" t="s">
        <v>75</v>
      </c>
      <c r="AH121" s="22"/>
      <c r="AI121" s="22" t="n">
        <v>10</v>
      </c>
      <c r="AJ121" s="22" t="n">
        <v>30</v>
      </c>
      <c r="AK121" s="22" t="s">
        <v>61</v>
      </c>
      <c r="AL121" s="26" t="n">
        <v>36265</v>
      </c>
      <c r="AM121" s="26" t="n">
        <v>45009.4225404514</v>
      </c>
      <c r="AN121" s="25" t="n">
        <v>45009.4266898148</v>
      </c>
      <c r="AO121" s="22" t="n">
        <v>7</v>
      </c>
      <c r="AP121" s="22" t="n">
        <v>40</v>
      </c>
      <c r="AQ121" s="22" t="s">
        <v>1</v>
      </c>
      <c r="AR121" s="37" t="s">
        <v>1208</v>
      </c>
      <c r="AS121" s="27" t="s">
        <v>206</v>
      </c>
      <c r="AT121" s="27" t="s">
        <v>1137</v>
      </c>
      <c r="AU121" s="27"/>
      <c r="AV121" s="27"/>
      <c r="AW121" s="27"/>
      <c r="AX121" s="27"/>
      <c r="AY121" s="27"/>
    </row>
    <row r="122" customFormat="false" ht="15.75" hidden="false" customHeight="true" outlineLevel="0" collapsed="false">
      <c r="A122" s="22" t="n">
        <v>118</v>
      </c>
      <c r="B122" s="23" t="s">
        <v>1209</v>
      </c>
      <c r="C122" s="22"/>
      <c r="D122" s="22" t="s">
        <v>1210</v>
      </c>
      <c r="E122" s="22" t="s">
        <v>57</v>
      </c>
      <c r="F122" s="22" t="s">
        <v>107</v>
      </c>
      <c r="G122" s="22" t="s">
        <v>59</v>
      </c>
      <c r="H122" s="22" t="s">
        <v>60</v>
      </c>
      <c r="I122" s="22"/>
      <c r="J122" s="22" t="s">
        <v>61</v>
      </c>
      <c r="K122" s="22" t="s">
        <v>1211</v>
      </c>
      <c r="L122" s="22" t="s">
        <v>62</v>
      </c>
      <c r="M122" s="22" t="s">
        <v>63</v>
      </c>
      <c r="N122" s="22" t="s">
        <v>1212</v>
      </c>
      <c r="O122" s="22" t="s">
        <v>179</v>
      </c>
      <c r="P122" s="22" t="s">
        <v>1213</v>
      </c>
      <c r="Q122" s="22"/>
      <c r="R122" s="22" t="s">
        <v>1214</v>
      </c>
      <c r="S122" s="22" t="s">
        <v>61</v>
      </c>
      <c r="T122" s="22"/>
      <c r="U122" s="22" t="s">
        <v>1215</v>
      </c>
      <c r="V122" s="22" t="s">
        <v>70</v>
      </c>
      <c r="W122" s="22" t="s">
        <v>71</v>
      </c>
      <c r="X122" s="25" t="n">
        <v>42736</v>
      </c>
      <c r="Y122" s="25" t="n">
        <v>45627</v>
      </c>
      <c r="Z122" s="22" t="s">
        <v>72</v>
      </c>
      <c r="AA122" s="22" t="s">
        <v>149</v>
      </c>
      <c r="AB122" s="22" t="s">
        <v>74</v>
      </c>
      <c r="AC122" s="22"/>
      <c r="AD122" s="22" t="n">
        <v>0</v>
      </c>
      <c r="AE122" s="22"/>
      <c r="AF122" s="22"/>
      <c r="AG122" s="22" t="s">
        <v>75</v>
      </c>
      <c r="AH122" s="22"/>
      <c r="AI122" s="22" t="n">
        <v>10</v>
      </c>
      <c r="AJ122" s="22" t="n">
        <v>30</v>
      </c>
      <c r="AK122" s="22" t="s">
        <v>61</v>
      </c>
      <c r="AL122" s="26" t="n">
        <v>36322</v>
      </c>
      <c r="AM122" s="26" t="n">
        <v>45006.5395943287</v>
      </c>
      <c r="AN122" s="25" t="n">
        <v>45008.4223032407</v>
      </c>
      <c r="AO122" s="22" t="n">
        <v>7</v>
      </c>
      <c r="AP122" s="22" t="n">
        <v>40</v>
      </c>
      <c r="AQ122" s="22" t="s">
        <v>0</v>
      </c>
      <c r="AR122" s="27" t="s">
        <v>1165</v>
      </c>
      <c r="AS122" s="27" t="s">
        <v>78</v>
      </c>
      <c r="AT122" s="27"/>
      <c r="AU122" s="27"/>
      <c r="AV122" s="27"/>
      <c r="AW122" s="27"/>
      <c r="AX122" s="27"/>
      <c r="AY122" s="27"/>
    </row>
    <row r="123" customFormat="false" ht="15.75" hidden="false" customHeight="true" outlineLevel="0" collapsed="false">
      <c r="A123" s="22" t="n">
        <v>119</v>
      </c>
      <c r="B123" s="23" t="s">
        <v>1216</v>
      </c>
      <c r="C123" s="22" t="s">
        <v>1217</v>
      </c>
      <c r="D123" s="22" t="s">
        <v>1218</v>
      </c>
      <c r="E123" s="22" t="s">
        <v>57</v>
      </c>
      <c r="F123" s="22" t="s">
        <v>107</v>
      </c>
      <c r="G123" s="22" t="s">
        <v>59</v>
      </c>
      <c r="H123" s="22" t="s">
        <v>60</v>
      </c>
      <c r="I123" s="22"/>
      <c r="J123" s="22" t="s">
        <v>61</v>
      </c>
      <c r="K123" s="22" t="s">
        <v>1219</v>
      </c>
      <c r="L123" s="22" t="s">
        <v>62</v>
      </c>
      <c r="M123" s="22" t="s">
        <v>1220</v>
      </c>
      <c r="N123" s="22" t="s">
        <v>1221</v>
      </c>
      <c r="O123" s="22" t="s">
        <v>1222</v>
      </c>
      <c r="P123" s="22" t="s">
        <v>1223</v>
      </c>
      <c r="Q123" s="22"/>
      <c r="R123" s="22" t="s">
        <v>1224</v>
      </c>
      <c r="S123" s="22" t="s">
        <v>61</v>
      </c>
      <c r="T123" s="22"/>
      <c r="U123" s="22" t="s">
        <v>1225</v>
      </c>
      <c r="V123" s="22" t="s">
        <v>70</v>
      </c>
      <c r="W123" s="22" t="s">
        <v>71</v>
      </c>
      <c r="X123" s="25" t="n">
        <v>43466</v>
      </c>
      <c r="Y123" s="25" t="n">
        <v>45261</v>
      </c>
      <c r="Z123" s="22" t="s">
        <v>72</v>
      </c>
      <c r="AA123" s="22" t="s">
        <v>91</v>
      </c>
      <c r="AB123" s="22" t="s">
        <v>74</v>
      </c>
      <c r="AC123" s="22"/>
      <c r="AD123" s="22" t="n">
        <v>0</v>
      </c>
      <c r="AE123" s="22"/>
      <c r="AF123" s="22"/>
      <c r="AG123" s="22" t="s">
        <v>75</v>
      </c>
      <c r="AH123" s="22"/>
      <c r="AI123" s="22" t="n">
        <v>10</v>
      </c>
      <c r="AJ123" s="22" t="n">
        <v>30</v>
      </c>
      <c r="AK123" s="22" t="s">
        <v>61</v>
      </c>
      <c r="AL123" s="26" t="n">
        <v>36336</v>
      </c>
      <c r="AM123" s="26" t="n">
        <v>45007.4969089468</v>
      </c>
      <c r="AN123" s="25" t="n">
        <v>45008.4701041667</v>
      </c>
      <c r="AO123" s="22" t="n">
        <v>9</v>
      </c>
      <c r="AP123" s="22" t="n">
        <v>40</v>
      </c>
      <c r="AQ123" s="22" t="s">
        <v>0</v>
      </c>
      <c r="AR123" s="37" t="s">
        <v>1226</v>
      </c>
      <c r="AS123" s="27" t="s">
        <v>206</v>
      </c>
      <c r="AT123" s="27" t="s">
        <v>1137</v>
      </c>
      <c r="AU123" s="27" t="s">
        <v>78</v>
      </c>
      <c r="AV123" s="27"/>
      <c r="AW123" s="27"/>
      <c r="AX123" s="27"/>
      <c r="AY123" s="27"/>
    </row>
    <row r="124" customFormat="false" ht="15.75" hidden="false" customHeight="true" outlineLevel="0" collapsed="false">
      <c r="A124" s="22" t="n">
        <v>120</v>
      </c>
      <c r="B124" s="23" t="s">
        <v>1227</v>
      </c>
      <c r="C124" s="22"/>
      <c r="D124" s="22" t="s">
        <v>1228</v>
      </c>
      <c r="E124" s="22" t="s">
        <v>57</v>
      </c>
      <c r="F124" s="22" t="s">
        <v>107</v>
      </c>
      <c r="G124" s="22" t="s">
        <v>59</v>
      </c>
      <c r="H124" s="22" t="s">
        <v>60</v>
      </c>
      <c r="I124" s="22"/>
      <c r="J124" s="22" t="s">
        <v>61</v>
      </c>
      <c r="K124" s="22" t="s">
        <v>1229</v>
      </c>
      <c r="L124" s="22" t="s">
        <v>62</v>
      </c>
      <c r="M124" s="22" t="s">
        <v>63</v>
      </c>
      <c r="N124" s="22" t="s">
        <v>1230</v>
      </c>
      <c r="O124" s="22" t="s">
        <v>133</v>
      </c>
      <c r="P124" s="22" t="s">
        <v>1231</v>
      </c>
      <c r="Q124" s="22" t="s">
        <v>1232</v>
      </c>
      <c r="R124" s="22" t="s">
        <v>1233</v>
      </c>
      <c r="S124" s="22" t="s">
        <v>61</v>
      </c>
      <c r="T124" s="22"/>
      <c r="U124" s="22" t="s">
        <v>1234</v>
      </c>
      <c r="V124" s="22" t="s">
        <v>70</v>
      </c>
      <c r="W124" s="22" t="s">
        <v>71</v>
      </c>
      <c r="X124" s="25" t="n">
        <v>43497</v>
      </c>
      <c r="Y124" s="25" t="n">
        <v>45261</v>
      </c>
      <c r="Z124" s="22" t="s">
        <v>72</v>
      </c>
      <c r="AA124" s="22" t="s">
        <v>91</v>
      </c>
      <c r="AB124" s="22" t="s">
        <v>74</v>
      </c>
      <c r="AC124" s="22"/>
      <c r="AD124" s="22" t="n">
        <v>0</v>
      </c>
      <c r="AE124" s="22"/>
      <c r="AF124" s="22"/>
      <c r="AG124" s="22" t="s">
        <v>75</v>
      </c>
      <c r="AH124" s="22"/>
      <c r="AI124" s="22" t="n">
        <v>10</v>
      </c>
      <c r="AJ124" s="22" t="n">
        <v>30</v>
      </c>
      <c r="AK124" s="22" t="s">
        <v>76</v>
      </c>
      <c r="AL124" s="26" t="n">
        <v>36360</v>
      </c>
      <c r="AM124" s="26" t="n">
        <v>45001.5938444792</v>
      </c>
      <c r="AN124" s="25" t="n">
        <v>45001.5986689815</v>
      </c>
      <c r="AO124" s="22" t="n">
        <v>9</v>
      </c>
      <c r="AP124" s="22" t="n">
        <v>40</v>
      </c>
      <c r="AQ124" s="22" t="s">
        <v>0</v>
      </c>
      <c r="AR124" s="27" t="s">
        <v>1235</v>
      </c>
      <c r="AS124" s="27" t="s">
        <v>206</v>
      </c>
      <c r="AT124" s="27" t="s">
        <v>1165</v>
      </c>
      <c r="AU124" s="27" t="s">
        <v>78</v>
      </c>
      <c r="AV124" s="27"/>
      <c r="AW124" s="27"/>
      <c r="AX124" s="27"/>
      <c r="AY124" s="27"/>
    </row>
    <row r="125" customFormat="false" ht="15.75" hidden="false" customHeight="true" outlineLevel="0" collapsed="false">
      <c r="A125" s="22" t="n">
        <v>121</v>
      </c>
      <c r="B125" s="23" t="s">
        <v>1236</v>
      </c>
      <c r="C125" s="22" t="s">
        <v>1237</v>
      </c>
      <c r="D125" s="22" t="s">
        <v>1238</v>
      </c>
      <c r="E125" s="22" t="s">
        <v>81</v>
      </c>
      <c r="F125" s="22" t="s">
        <v>107</v>
      </c>
      <c r="G125" s="22" t="s">
        <v>59</v>
      </c>
      <c r="H125" s="22" t="s">
        <v>327</v>
      </c>
      <c r="I125" s="22"/>
      <c r="J125" s="22" t="s">
        <v>61</v>
      </c>
      <c r="K125" s="22" t="s">
        <v>1239</v>
      </c>
      <c r="L125" s="22" t="s">
        <v>62</v>
      </c>
      <c r="M125" s="22" t="s">
        <v>84</v>
      </c>
      <c r="N125" s="22" t="s">
        <v>1240</v>
      </c>
      <c r="O125" s="22" t="s">
        <v>1241</v>
      </c>
      <c r="P125" s="22" t="s">
        <v>1242</v>
      </c>
      <c r="Q125" s="22"/>
      <c r="R125" s="22" t="s">
        <v>1243</v>
      </c>
      <c r="S125" s="22" t="s">
        <v>61</v>
      </c>
      <c r="T125" s="22"/>
      <c r="U125" s="22" t="s">
        <v>634</v>
      </c>
      <c r="V125" s="22" t="s">
        <v>70</v>
      </c>
      <c r="W125" s="22" t="s">
        <v>71</v>
      </c>
      <c r="X125" s="25" t="n">
        <v>44197</v>
      </c>
      <c r="Y125" s="25" t="n">
        <v>46023</v>
      </c>
      <c r="Z125" s="22" t="s">
        <v>72</v>
      </c>
      <c r="AA125" s="22" t="s">
        <v>91</v>
      </c>
      <c r="AB125" s="22" t="s">
        <v>74</v>
      </c>
      <c r="AC125" s="22"/>
      <c r="AD125" s="22" t="n">
        <v>0</v>
      </c>
      <c r="AE125" s="22"/>
      <c r="AF125" s="22"/>
      <c r="AG125" s="22" t="s">
        <v>75</v>
      </c>
      <c r="AH125" s="22"/>
      <c r="AI125" s="22" t="n">
        <v>10</v>
      </c>
      <c r="AJ125" s="22" t="n">
        <v>30</v>
      </c>
      <c r="AK125" s="22" t="s">
        <v>61</v>
      </c>
      <c r="AL125" s="26" t="n">
        <v>36362</v>
      </c>
      <c r="AM125" s="26" t="n">
        <v>45000.9119756134</v>
      </c>
      <c r="AN125" s="25" t="n">
        <v>45000.9415046296</v>
      </c>
      <c r="AO125" s="22" t="n">
        <v>5</v>
      </c>
      <c r="AP125" s="22" t="n">
        <v>40</v>
      </c>
      <c r="AQ125" s="22" t="s">
        <v>1</v>
      </c>
      <c r="AR125" s="39" t="s">
        <v>1244</v>
      </c>
      <c r="AS125" s="39" t="s">
        <v>1245</v>
      </c>
      <c r="AT125" s="27" t="s">
        <v>1137</v>
      </c>
      <c r="AU125" s="39" t="s">
        <v>1246</v>
      </c>
      <c r="AV125" s="27"/>
      <c r="AW125" s="27"/>
      <c r="AX125" s="27"/>
      <c r="AY125" s="27"/>
    </row>
    <row r="126" customFormat="false" ht="15.75" hidden="false" customHeight="true" outlineLevel="0" collapsed="false">
      <c r="A126" s="22" t="n">
        <v>122</v>
      </c>
      <c r="B126" s="23" t="s">
        <v>1247</v>
      </c>
      <c r="C126" s="22" t="s">
        <v>1248</v>
      </c>
      <c r="D126" s="22" t="s">
        <v>1249</v>
      </c>
      <c r="E126" s="22" t="s">
        <v>81</v>
      </c>
      <c r="F126" s="22" t="s">
        <v>107</v>
      </c>
      <c r="G126" s="22" t="s">
        <v>59</v>
      </c>
      <c r="H126" s="22" t="s">
        <v>96</v>
      </c>
      <c r="I126" s="22"/>
      <c r="J126" s="22" t="s">
        <v>61</v>
      </c>
      <c r="K126" s="22" t="s">
        <v>1250</v>
      </c>
      <c r="L126" s="22" t="s">
        <v>62</v>
      </c>
      <c r="M126" s="22" t="s">
        <v>63</v>
      </c>
      <c r="N126" s="22" t="s">
        <v>1251</v>
      </c>
      <c r="O126" s="22" t="s">
        <v>1252</v>
      </c>
      <c r="P126" s="22" t="s">
        <v>1253</v>
      </c>
      <c r="Q126" s="22"/>
      <c r="R126" s="22" t="s">
        <v>1254</v>
      </c>
      <c r="S126" s="22" t="s">
        <v>61</v>
      </c>
      <c r="T126" s="22"/>
      <c r="U126" s="22" t="s">
        <v>1255</v>
      </c>
      <c r="V126" s="22" t="s">
        <v>70</v>
      </c>
      <c r="W126" s="22" t="s">
        <v>71</v>
      </c>
      <c r="X126" s="25" t="n">
        <v>44228</v>
      </c>
      <c r="Y126" s="25" t="n">
        <v>45992</v>
      </c>
      <c r="Z126" s="22" t="s">
        <v>72</v>
      </c>
      <c r="AA126" s="22" t="s">
        <v>149</v>
      </c>
      <c r="AB126" s="22" t="s">
        <v>74</v>
      </c>
      <c r="AC126" s="22"/>
      <c r="AD126" s="22" t="n">
        <v>0</v>
      </c>
      <c r="AE126" s="22"/>
      <c r="AF126" s="22"/>
      <c r="AG126" s="22" t="s">
        <v>75</v>
      </c>
      <c r="AH126" s="22"/>
      <c r="AI126" s="22" t="n">
        <v>10</v>
      </c>
      <c r="AJ126" s="22" t="n">
        <v>30</v>
      </c>
      <c r="AK126" s="22" t="s">
        <v>61</v>
      </c>
      <c r="AL126" s="26" t="n">
        <v>36377</v>
      </c>
      <c r="AM126" s="26" t="n">
        <v>45006.4038579051</v>
      </c>
      <c r="AN126" s="25" t="n">
        <v>45007.9912962963</v>
      </c>
      <c r="AO126" s="22" t="n">
        <v>5</v>
      </c>
      <c r="AP126" s="22" t="n">
        <v>40</v>
      </c>
      <c r="AQ126" s="22" t="s">
        <v>0</v>
      </c>
      <c r="AR126" s="27" t="s">
        <v>1256</v>
      </c>
      <c r="AS126" s="27" t="s">
        <v>206</v>
      </c>
      <c r="AT126" s="27" t="s">
        <v>1165</v>
      </c>
      <c r="AU126" s="27" t="s">
        <v>78</v>
      </c>
      <c r="AV126" s="27"/>
      <c r="AW126" s="27"/>
      <c r="AX126" s="27"/>
      <c r="AY126" s="27"/>
    </row>
    <row r="127" customFormat="false" ht="15.75" hidden="false" customHeight="true" outlineLevel="0" collapsed="false">
      <c r="A127" s="22" t="n">
        <v>123</v>
      </c>
      <c r="B127" s="23" t="s">
        <v>1257</v>
      </c>
      <c r="C127" s="22"/>
      <c r="D127" s="22" t="s">
        <v>1258</v>
      </c>
      <c r="E127" s="22" t="s">
        <v>57</v>
      </c>
      <c r="F127" s="22" t="s">
        <v>107</v>
      </c>
      <c r="G127" s="22" t="s">
        <v>59</v>
      </c>
      <c r="H127" s="22" t="s">
        <v>60</v>
      </c>
      <c r="I127" s="22"/>
      <c r="J127" s="22" t="s">
        <v>61</v>
      </c>
      <c r="K127" s="22" t="s">
        <v>1259</v>
      </c>
      <c r="L127" s="22" t="s">
        <v>62</v>
      </c>
      <c r="M127" s="22" t="s">
        <v>63</v>
      </c>
      <c r="N127" s="22" t="s">
        <v>1260</v>
      </c>
      <c r="O127" s="22" t="s">
        <v>1261</v>
      </c>
      <c r="P127" s="22" t="s">
        <v>1262</v>
      </c>
      <c r="Q127" s="22" t="s">
        <v>1263</v>
      </c>
      <c r="R127" s="22" t="s">
        <v>1264</v>
      </c>
      <c r="S127" s="22" t="s">
        <v>61</v>
      </c>
      <c r="T127" s="22"/>
      <c r="U127" s="22" t="s">
        <v>1265</v>
      </c>
      <c r="V127" s="22" t="s">
        <v>70</v>
      </c>
      <c r="W127" s="22" t="s">
        <v>71</v>
      </c>
      <c r="X127" s="25" t="n">
        <v>43101</v>
      </c>
      <c r="Y127" s="25" t="n">
        <v>45474</v>
      </c>
      <c r="Z127" s="22" t="s">
        <v>72</v>
      </c>
      <c r="AA127" s="22" t="s">
        <v>149</v>
      </c>
      <c r="AB127" s="22" t="s">
        <v>74</v>
      </c>
      <c r="AC127" s="22"/>
      <c r="AD127" s="22" t="n">
        <v>0</v>
      </c>
      <c r="AE127" s="22"/>
      <c r="AF127" s="22"/>
      <c r="AG127" s="22" t="s">
        <v>75</v>
      </c>
      <c r="AH127" s="22"/>
      <c r="AI127" s="22" t="n">
        <v>10</v>
      </c>
      <c r="AJ127" s="22" t="n">
        <v>30</v>
      </c>
      <c r="AK127" s="22" t="s">
        <v>61</v>
      </c>
      <c r="AL127" s="26" t="n">
        <v>36379</v>
      </c>
      <c r="AM127" s="26" t="n">
        <v>45005.8045281366</v>
      </c>
      <c r="AN127" s="25" t="n">
        <v>45005.8075347222</v>
      </c>
      <c r="AO127" s="22" t="n">
        <v>8</v>
      </c>
      <c r="AP127" s="22" t="n">
        <v>40</v>
      </c>
      <c r="AQ127" s="22" t="s">
        <v>1</v>
      </c>
      <c r="AR127" s="37" t="s">
        <v>1266</v>
      </c>
      <c r="AS127" s="27" t="s">
        <v>206</v>
      </c>
      <c r="AT127" s="27" t="s">
        <v>1137</v>
      </c>
      <c r="AU127" s="27"/>
      <c r="AV127" s="27"/>
      <c r="AW127" s="27"/>
      <c r="AX127" s="27"/>
      <c r="AY127" s="27"/>
    </row>
    <row r="128" customFormat="false" ht="15.75" hidden="false" customHeight="true" outlineLevel="0" collapsed="false">
      <c r="A128" s="22" t="n">
        <v>124</v>
      </c>
      <c r="B128" s="23" t="s">
        <v>1267</v>
      </c>
      <c r="C128" s="22"/>
      <c r="D128" s="22" t="s">
        <v>1268</v>
      </c>
      <c r="E128" s="22" t="s">
        <v>57</v>
      </c>
      <c r="F128" s="22" t="s">
        <v>107</v>
      </c>
      <c r="G128" s="22" t="s">
        <v>59</v>
      </c>
      <c r="H128" s="22" t="s">
        <v>60</v>
      </c>
      <c r="I128" s="22"/>
      <c r="J128" s="22" t="s">
        <v>61</v>
      </c>
      <c r="K128" s="22" t="s">
        <v>1269</v>
      </c>
      <c r="L128" s="22" t="s">
        <v>62</v>
      </c>
      <c r="M128" s="22" t="s">
        <v>557</v>
      </c>
      <c r="N128" s="22" t="s">
        <v>1270</v>
      </c>
      <c r="O128" s="22" t="s">
        <v>1271</v>
      </c>
      <c r="P128" s="22" t="s">
        <v>1272</v>
      </c>
      <c r="Q128" s="22"/>
      <c r="R128" s="22" t="s">
        <v>1273</v>
      </c>
      <c r="S128" s="22" t="s">
        <v>61</v>
      </c>
      <c r="T128" s="22"/>
      <c r="U128" s="22" t="s">
        <v>1274</v>
      </c>
      <c r="V128" s="22" t="s">
        <v>70</v>
      </c>
      <c r="W128" s="22" t="s">
        <v>71</v>
      </c>
      <c r="X128" s="25" t="n">
        <v>44044</v>
      </c>
      <c r="Y128" s="25" t="n">
        <v>45870</v>
      </c>
      <c r="Z128" s="22" t="s">
        <v>72</v>
      </c>
      <c r="AA128" s="22" t="s">
        <v>149</v>
      </c>
      <c r="AB128" s="22" t="s">
        <v>74</v>
      </c>
      <c r="AC128" s="22"/>
      <c r="AD128" s="22" t="n">
        <v>0</v>
      </c>
      <c r="AE128" s="22"/>
      <c r="AF128" s="22"/>
      <c r="AG128" s="22" t="s">
        <v>75</v>
      </c>
      <c r="AH128" s="22"/>
      <c r="AI128" s="22" t="n">
        <v>10</v>
      </c>
      <c r="AJ128" s="22" t="n">
        <v>30</v>
      </c>
      <c r="AK128" s="22" t="s">
        <v>76</v>
      </c>
      <c r="AL128" s="26" t="n">
        <v>36420</v>
      </c>
      <c r="AM128" s="26" t="n">
        <v>45007.04244375</v>
      </c>
      <c r="AN128" s="25" t="n">
        <v>45007.5105208333</v>
      </c>
      <c r="AO128" s="22" t="n">
        <v>6</v>
      </c>
      <c r="AP128" s="22" t="n">
        <v>40</v>
      </c>
      <c r="AQ128" s="22" t="s">
        <v>0</v>
      </c>
      <c r="AR128" s="27" t="s">
        <v>1275</v>
      </c>
      <c r="AS128" s="27" t="s">
        <v>206</v>
      </c>
      <c r="AT128" s="27" t="s">
        <v>1165</v>
      </c>
      <c r="AU128" s="27" t="s">
        <v>78</v>
      </c>
      <c r="AV128" s="27"/>
      <c r="AW128" s="27"/>
      <c r="AX128" s="27"/>
      <c r="AY128" s="27"/>
    </row>
    <row r="129" customFormat="false" ht="15.75" hidden="false" customHeight="true" outlineLevel="0" collapsed="false">
      <c r="A129" s="22" t="n">
        <v>125</v>
      </c>
      <c r="B129" s="23" t="s">
        <v>1276</v>
      </c>
      <c r="C129" s="22" t="s">
        <v>1277</v>
      </c>
      <c r="D129" s="22" t="s">
        <v>1278</v>
      </c>
      <c r="E129" s="22" t="s">
        <v>81</v>
      </c>
      <c r="F129" s="22" t="s">
        <v>107</v>
      </c>
      <c r="G129" s="22" t="s">
        <v>59</v>
      </c>
      <c r="H129" s="22" t="s">
        <v>96</v>
      </c>
      <c r="I129" s="22"/>
      <c r="J129" s="22" t="s">
        <v>61</v>
      </c>
      <c r="K129" s="22" t="s">
        <v>1279</v>
      </c>
      <c r="L129" s="22" t="s">
        <v>62</v>
      </c>
      <c r="M129" s="22" t="s">
        <v>365</v>
      </c>
      <c r="N129" s="22" t="s">
        <v>1280</v>
      </c>
      <c r="O129" s="22" t="s">
        <v>1281</v>
      </c>
      <c r="P129" s="22" t="s">
        <v>1282</v>
      </c>
      <c r="Q129" s="22"/>
      <c r="R129" s="22" t="s">
        <v>1283</v>
      </c>
      <c r="S129" s="22" t="s">
        <v>61</v>
      </c>
      <c r="T129" s="22"/>
      <c r="U129" s="22" t="s">
        <v>1284</v>
      </c>
      <c r="V129" s="22" t="s">
        <v>70</v>
      </c>
      <c r="W129" s="22" t="s">
        <v>71</v>
      </c>
      <c r="X129" s="25" t="n">
        <v>43101</v>
      </c>
      <c r="Y129" s="25" t="n">
        <v>45261</v>
      </c>
      <c r="Z129" s="22" t="s">
        <v>72</v>
      </c>
      <c r="AA129" s="22" t="s">
        <v>149</v>
      </c>
      <c r="AB129" s="22" t="s">
        <v>74</v>
      </c>
      <c r="AC129" s="22"/>
      <c r="AD129" s="22" t="n">
        <v>0</v>
      </c>
      <c r="AE129" s="22"/>
      <c r="AF129" s="22"/>
      <c r="AG129" s="22" t="s">
        <v>75</v>
      </c>
      <c r="AH129" s="22"/>
      <c r="AI129" s="22" t="n">
        <v>10</v>
      </c>
      <c r="AJ129" s="22" t="n">
        <v>30</v>
      </c>
      <c r="AK129" s="22" t="s">
        <v>61</v>
      </c>
      <c r="AL129" s="26" t="n">
        <v>36445</v>
      </c>
      <c r="AM129" s="26" t="n">
        <v>45004.8413077199</v>
      </c>
      <c r="AN129" s="25" t="n">
        <v>45004.8427777778</v>
      </c>
      <c r="AO129" s="22" t="n">
        <v>9</v>
      </c>
      <c r="AP129" s="22" t="n">
        <v>40</v>
      </c>
      <c r="AQ129" s="22" t="s">
        <v>0</v>
      </c>
      <c r="AR129" s="27" t="s">
        <v>1285</v>
      </c>
      <c r="AS129" s="27" t="s">
        <v>206</v>
      </c>
      <c r="AT129" s="27" t="s">
        <v>1165</v>
      </c>
      <c r="AU129" s="27" t="s">
        <v>78</v>
      </c>
      <c r="AV129" s="27"/>
      <c r="AW129" s="27"/>
      <c r="AX129" s="27"/>
      <c r="AY129" s="27"/>
    </row>
    <row r="130" customFormat="false" ht="15.75" hidden="false" customHeight="true" outlineLevel="0" collapsed="false">
      <c r="A130" s="22" t="n">
        <v>126</v>
      </c>
      <c r="B130" s="23" t="s">
        <v>1286</v>
      </c>
      <c r="C130" s="22"/>
      <c r="D130" s="22" t="s">
        <v>1287</v>
      </c>
      <c r="E130" s="22" t="s">
        <v>81</v>
      </c>
      <c r="F130" s="22" t="s">
        <v>107</v>
      </c>
      <c r="G130" s="22" t="s">
        <v>59</v>
      </c>
      <c r="H130" s="22" t="s">
        <v>60</v>
      </c>
      <c r="I130" s="22"/>
      <c r="J130" s="22" t="s">
        <v>61</v>
      </c>
      <c r="K130" s="22" t="s">
        <v>1288</v>
      </c>
      <c r="L130" s="22" t="s">
        <v>62</v>
      </c>
      <c r="M130" s="22" t="s">
        <v>84</v>
      </c>
      <c r="N130" s="22" t="s">
        <v>1289</v>
      </c>
      <c r="O130" s="22" t="s">
        <v>1290</v>
      </c>
      <c r="P130" s="22" t="s">
        <v>1291</v>
      </c>
      <c r="Q130" s="22" t="s">
        <v>1292</v>
      </c>
      <c r="R130" s="22" t="s">
        <v>1293</v>
      </c>
      <c r="S130" s="22" t="s">
        <v>61</v>
      </c>
      <c r="T130" s="22"/>
      <c r="U130" s="22" t="s">
        <v>1294</v>
      </c>
      <c r="V130" s="22" t="s">
        <v>70</v>
      </c>
      <c r="W130" s="22" t="s">
        <v>71</v>
      </c>
      <c r="X130" s="25" t="n">
        <v>43556</v>
      </c>
      <c r="Y130" s="25" t="n">
        <v>45383</v>
      </c>
      <c r="Z130" s="22" t="s">
        <v>72</v>
      </c>
      <c r="AA130" s="22" t="s">
        <v>91</v>
      </c>
      <c r="AB130" s="22" t="s">
        <v>74</v>
      </c>
      <c r="AC130" s="22"/>
      <c r="AD130" s="22" t="n">
        <v>0</v>
      </c>
      <c r="AE130" s="22"/>
      <c r="AF130" s="22"/>
      <c r="AG130" s="22" t="s">
        <v>75</v>
      </c>
      <c r="AH130" s="22"/>
      <c r="AI130" s="22" t="n">
        <v>10</v>
      </c>
      <c r="AJ130" s="22" t="n">
        <v>30</v>
      </c>
      <c r="AK130" s="22" t="s">
        <v>61</v>
      </c>
      <c r="AL130" s="26" t="n">
        <v>36447</v>
      </c>
      <c r="AM130" s="26" t="n">
        <v>45002.4607429977</v>
      </c>
      <c r="AN130" s="25" t="n">
        <v>45002.4670023148</v>
      </c>
      <c r="AO130" s="22" t="n">
        <v>9</v>
      </c>
      <c r="AP130" s="22" t="n">
        <v>40</v>
      </c>
      <c r="AQ130" s="22" t="s">
        <v>0</v>
      </c>
      <c r="AR130" s="27" t="s">
        <v>523</v>
      </c>
      <c r="AS130" s="27" t="s">
        <v>78</v>
      </c>
      <c r="AT130" s="27"/>
      <c r="AU130" s="27"/>
      <c r="AV130" s="27"/>
      <c r="AW130" s="27"/>
      <c r="AX130" s="27"/>
      <c r="AY130" s="27"/>
    </row>
    <row r="131" customFormat="false" ht="15.75" hidden="false" customHeight="true" outlineLevel="0" collapsed="false">
      <c r="A131" s="22" t="n">
        <v>127</v>
      </c>
      <c r="B131" s="23" t="s">
        <v>1295</v>
      </c>
      <c r="C131" s="22"/>
      <c r="D131" s="22" t="s">
        <v>1296</v>
      </c>
      <c r="E131" s="22" t="s">
        <v>81</v>
      </c>
      <c r="F131" s="22" t="s">
        <v>107</v>
      </c>
      <c r="G131" s="22" t="s">
        <v>59</v>
      </c>
      <c r="H131" s="22" t="s">
        <v>96</v>
      </c>
      <c r="I131" s="22"/>
      <c r="J131" s="22" t="s">
        <v>61</v>
      </c>
      <c r="K131" s="22" t="s">
        <v>1297</v>
      </c>
      <c r="L131" s="22" t="s">
        <v>62</v>
      </c>
      <c r="M131" s="22" t="s">
        <v>63</v>
      </c>
      <c r="N131" s="22" t="s">
        <v>1298</v>
      </c>
      <c r="O131" s="22" t="s">
        <v>1299</v>
      </c>
      <c r="P131" s="22" t="s">
        <v>1300</v>
      </c>
      <c r="Q131" s="22" t="s">
        <v>1301</v>
      </c>
      <c r="R131" s="22" t="s">
        <v>1302</v>
      </c>
      <c r="S131" s="22" t="s">
        <v>61</v>
      </c>
      <c r="T131" s="22"/>
      <c r="U131" s="22" t="s">
        <v>183</v>
      </c>
      <c r="V131" s="22" t="s">
        <v>70</v>
      </c>
      <c r="W131" s="22" t="s">
        <v>71</v>
      </c>
      <c r="X131" s="25" t="n">
        <v>43983</v>
      </c>
      <c r="Y131" s="25" t="n">
        <v>45992</v>
      </c>
      <c r="Z131" s="22" t="s">
        <v>72</v>
      </c>
      <c r="AA131" s="22" t="s">
        <v>91</v>
      </c>
      <c r="AB131" s="22" t="s">
        <v>74</v>
      </c>
      <c r="AC131" s="22"/>
      <c r="AD131" s="22" t="n">
        <v>0</v>
      </c>
      <c r="AE131" s="22"/>
      <c r="AF131" s="22"/>
      <c r="AG131" s="22" t="s">
        <v>75</v>
      </c>
      <c r="AH131" s="22"/>
      <c r="AI131" s="22" t="n">
        <v>10</v>
      </c>
      <c r="AJ131" s="22" t="n">
        <v>30</v>
      </c>
      <c r="AK131" s="22" t="s">
        <v>61</v>
      </c>
      <c r="AL131" s="26" t="n">
        <v>36451</v>
      </c>
      <c r="AM131" s="26" t="n">
        <v>45000.5180913889</v>
      </c>
      <c r="AN131" s="25" t="n">
        <v>45000.5192592593</v>
      </c>
      <c r="AO131" s="22" t="n">
        <v>5</v>
      </c>
      <c r="AP131" s="22" t="n">
        <v>40</v>
      </c>
      <c r="AQ131" s="22" t="s">
        <v>0</v>
      </c>
      <c r="AR131" s="27" t="s">
        <v>1303</v>
      </c>
      <c r="AS131" s="27" t="s">
        <v>206</v>
      </c>
      <c r="AT131" s="27" t="s">
        <v>1165</v>
      </c>
      <c r="AU131" s="27" t="s">
        <v>78</v>
      </c>
      <c r="AV131" s="27"/>
      <c r="AW131" s="27"/>
      <c r="AX131" s="27"/>
      <c r="AY131" s="27"/>
    </row>
    <row r="132" customFormat="false" ht="15.75" hidden="false" customHeight="true" outlineLevel="0" collapsed="false">
      <c r="A132" s="22" t="n">
        <v>128</v>
      </c>
      <c r="B132" s="23" t="s">
        <v>1304</v>
      </c>
      <c r="C132" s="22" t="s">
        <v>1305</v>
      </c>
      <c r="D132" s="22" t="s">
        <v>1306</v>
      </c>
      <c r="E132" s="22" t="s">
        <v>81</v>
      </c>
      <c r="F132" s="22" t="s">
        <v>107</v>
      </c>
      <c r="G132" s="22" t="s">
        <v>59</v>
      </c>
      <c r="H132" s="22" t="s">
        <v>96</v>
      </c>
      <c r="I132" s="22"/>
      <c r="J132" s="22" t="s">
        <v>61</v>
      </c>
      <c r="K132" s="22" t="s">
        <v>1307</v>
      </c>
      <c r="L132" s="22" t="s">
        <v>62</v>
      </c>
      <c r="M132" s="22" t="s">
        <v>1308</v>
      </c>
      <c r="N132" s="22" t="s">
        <v>1309</v>
      </c>
      <c r="O132" s="22" t="s">
        <v>1310</v>
      </c>
      <c r="P132" s="22" t="s">
        <v>1311</v>
      </c>
      <c r="Q132" s="22"/>
      <c r="R132" s="22" t="s">
        <v>1312</v>
      </c>
      <c r="S132" s="22" t="s">
        <v>61</v>
      </c>
      <c r="T132" s="22"/>
      <c r="U132" s="22" t="s">
        <v>1313</v>
      </c>
      <c r="V132" s="22" t="s">
        <v>70</v>
      </c>
      <c r="W132" s="22" t="s">
        <v>71</v>
      </c>
      <c r="X132" s="25" t="n">
        <v>43678</v>
      </c>
      <c r="Y132" s="25" t="n">
        <v>45809</v>
      </c>
      <c r="Z132" s="22" t="s">
        <v>72</v>
      </c>
      <c r="AA132" s="22" t="s">
        <v>91</v>
      </c>
      <c r="AB132" s="22" t="s">
        <v>74</v>
      </c>
      <c r="AC132" s="22"/>
      <c r="AD132" s="22" t="n">
        <v>0</v>
      </c>
      <c r="AE132" s="22"/>
      <c r="AF132" s="22"/>
      <c r="AG132" s="22" t="s">
        <v>75</v>
      </c>
      <c r="AH132" s="22"/>
      <c r="AI132" s="22" t="n">
        <v>10</v>
      </c>
      <c r="AJ132" s="22" t="n">
        <v>30</v>
      </c>
      <c r="AK132" s="22" t="s">
        <v>76</v>
      </c>
      <c r="AL132" s="26" t="n">
        <v>36456</v>
      </c>
      <c r="AM132" s="26" t="n">
        <v>45008.4149761227</v>
      </c>
      <c r="AN132" s="25" t="n">
        <v>45008.4183680556</v>
      </c>
      <c r="AO132" s="22" t="n">
        <v>6</v>
      </c>
      <c r="AP132" s="22" t="n">
        <v>40</v>
      </c>
      <c r="AQ132" s="22" t="s">
        <v>1</v>
      </c>
      <c r="AR132" s="27" t="s">
        <v>1314</v>
      </c>
      <c r="AS132" s="27" t="s">
        <v>1315</v>
      </c>
      <c r="AT132" s="27"/>
      <c r="AU132" s="27"/>
      <c r="AV132" s="27"/>
      <c r="AW132" s="27"/>
      <c r="AX132" s="27"/>
      <c r="AY132" s="27"/>
    </row>
    <row r="133" customFormat="false" ht="15.75" hidden="false" customHeight="true" outlineLevel="0" collapsed="false">
      <c r="A133" s="22" t="n">
        <v>129</v>
      </c>
      <c r="B133" s="23" t="s">
        <v>1316</v>
      </c>
      <c r="C133" s="22"/>
      <c r="D133" s="22" t="s">
        <v>1317</v>
      </c>
      <c r="E133" s="22" t="s">
        <v>81</v>
      </c>
      <c r="F133" s="22" t="s">
        <v>107</v>
      </c>
      <c r="G133" s="22" t="s">
        <v>59</v>
      </c>
      <c r="H133" s="22" t="s">
        <v>60</v>
      </c>
      <c r="I133" s="22"/>
      <c r="J133" s="22" t="s">
        <v>61</v>
      </c>
      <c r="K133" s="22" t="s">
        <v>1318</v>
      </c>
      <c r="L133" s="22" t="s">
        <v>62</v>
      </c>
      <c r="M133" s="22" t="s">
        <v>63</v>
      </c>
      <c r="N133" s="22" t="s">
        <v>1319</v>
      </c>
      <c r="O133" s="22" t="s">
        <v>611</v>
      </c>
      <c r="P133" s="22" t="s">
        <v>1320</v>
      </c>
      <c r="Q133" s="22" t="s">
        <v>1321</v>
      </c>
      <c r="R133" s="22" t="s">
        <v>1322</v>
      </c>
      <c r="S133" s="22" t="s">
        <v>61</v>
      </c>
      <c r="T133" s="22"/>
      <c r="U133" s="22" t="s">
        <v>1323</v>
      </c>
      <c r="V133" s="22" t="s">
        <v>70</v>
      </c>
      <c r="W133" s="22" t="s">
        <v>71</v>
      </c>
      <c r="X133" s="25" t="n">
        <v>43466</v>
      </c>
      <c r="Y133" s="25" t="n">
        <v>45261</v>
      </c>
      <c r="Z133" s="22" t="s">
        <v>72</v>
      </c>
      <c r="AA133" s="22" t="s">
        <v>149</v>
      </c>
      <c r="AB133" s="22" t="s">
        <v>74</v>
      </c>
      <c r="AC133" s="22"/>
      <c r="AD133" s="22" t="n">
        <v>0</v>
      </c>
      <c r="AE133" s="22"/>
      <c r="AF133" s="22"/>
      <c r="AG133" s="22" t="s">
        <v>75</v>
      </c>
      <c r="AH133" s="22"/>
      <c r="AI133" s="22" t="n">
        <v>10</v>
      </c>
      <c r="AJ133" s="22" t="n">
        <v>30</v>
      </c>
      <c r="AK133" s="22" t="s">
        <v>61</v>
      </c>
      <c r="AL133" s="26" t="n">
        <v>36468</v>
      </c>
      <c r="AM133" s="26" t="n">
        <v>45001.8139840394</v>
      </c>
      <c r="AN133" s="25" t="n">
        <v>45001.8148726852</v>
      </c>
      <c r="AO133" s="22" t="n">
        <v>9</v>
      </c>
      <c r="AP133" s="22" t="n">
        <v>40</v>
      </c>
      <c r="AQ133" s="22" t="s">
        <v>0</v>
      </c>
      <c r="AR133" s="27" t="s">
        <v>1165</v>
      </c>
      <c r="AS133" s="27" t="s">
        <v>78</v>
      </c>
      <c r="AT133" s="27"/>
      <c r="AU133" s="27"/>
      <c r="AV133" s="27"/>
      <c r="AW133" s="27"/>
      <c r="AX133" s="27"/>
      <c r="AY133" s="27"/>
    </row>
    <row r="134" customFormat="false" ht="15.75" hidden="false" customHeight="true" outlineLevel="0" collapsed="false">
      <c r="A134" s="22" t="n">
        <v>130</v>
      </c>
      <c r="B134" s="23" t="s">
        <v>1324</v>
      </c>
      <c r="C134" s="22"/>
      <c r="D134" s="22" t="s">
        <v>1325</v>
      </c>
      <c r="E134" s="22" t="s">
        <v>57</v>
      </c>
      <c r="F134" s="22" t="s">
        <v>107</v>
      </c>
      <c r="G134" s="22" t="s">
        <v>59</v>
      </c>
      <c r="H134" s="22" t="s">
        <v>156</v>
      </c>
      <c r="I134" s="22"/>
      <c r="J134" s="22" t="s">
        <v>61</v>
      </c>
      <c r="K134" s="22" t="s">
        <v>1326</v>
      </c>
      <c r="L134" s="22" t="s">
        <v>62</v>
      </c>
      <c r="M134" s="22" t="s">
        <v>365</v>
      </c>
      <c r="N134" s="22" t="s">
        <v>1327</v>
      </c>
      <c r="O134" s="22" t="s">
        <v>1328</v>
      </c>
      <c r="P134" s="22" t="s">
        <v>1329</v>
      </c>
      <c r="Q134" s="22"/>
      <c r="R134" s="22" t="s">
        <v>1330</v>
      </c>
      <c r="S134" s="22" t="s">
        <v>61</v>
      </c>
      <c r="T134" s="22"/>
      <c r="U134" s="22" t="s">
        <v>1146</v>
      </c>
      <c r="V134" s="22" t="s">
        <v>70</v>
      </c>
      <c r="W134" s="22" t="s">
        <v>71</v>
      </c>
      <c r="X134" s="25" t="n">
        <v>43983</v>
      </c>
      <c r="Y134" s="25" t="n">
        <v>45809</v>
      </c>
      <c r="Z134" s="22" t="s">
        <v>72</v>
      </c>
      <c r="AA134" s="22" t="s">
        <v>91</v>
      </c>
      <c r="AB134" s="22" t="s">
        <v>74</v>
      </c>
      <c r="AC134" s="22"/>
      <c r="AD134" s="22" t="n">
        <v>0</v>
      </c>
      <c r="AE134" s="22"/>
      <c r="AF134" s="22"/>
      <c r="AG134" s="22" t="s">
        <v>75</v>
      </c>
      <c r="AH134" s="22"/>
      <c r="AI134" s="22" t="n">
        <v>10</v>
      </c>
      <c r="AJ134" s="22" t="n">
        <v>30</v>
      </c>
      <c r="AK134" s="22" t="s">
        <v>61</v>
      </c>
      <c r="AL134" s="26" t="n">
        <v>36473</v>
      </c>
      <c r="AM134" s="26" t="n">
        <v>45000.6288182639</v>
      </c>
      <c r="AN134" s="25" t="n">
        <v>45000.6316898148</v>
      </c>
      <c r="AO134" s="22" t="n">
        <v>6</v>
      </c>
      <c r="AP134" s="22" t="n">
        <v>40</v>
      </c>
      <c r="AQ134" s="22" t="s">
        <v>0</v>
      </c>
      <c r="AR134" s="27" t="s">
        <v>1165</v>
      </c>
      <c r="AS134" s="27" t="s">
        <v>78</v>
      </c>
      <c r="AT134" s="27"/>
      <c r="AU134" s="27"/>
      <c r="AV134" s="27"/>
      <c r="AW134" s="27"/>
      <c r="AX134" s="27"/>
      <c r="AY134" s="27"/>
    </row>
    <row r="135" customFormat="false" ht="15.75" hidden="false" customHeight="true" outlineLevel="0" collapsed="false">
      <c r="A135" s="22" t="n">
        <v>131</v>
      </c>
      <c r="B135" s="23" t="s">
        <v>1331</v>
      </c>
      <c r="C135" s="22" t="s">
        <v>1332</v>
      </c>
      <c r="D135" s="22" t="s">
        <v>1333</v>
      </c>
      <c r="E135" s="22" t="s">
        <v>81</v>
      </c>
      <c r="F135" s="22" t="s">
        <v>107</v>
      </c>
      <c r="G135" s="22" t="s">
        <v>59</v>
      </c>
      <c r="H135" s="22" t="s">
        <v>60</v>
      </c>
      <c r="I135" s="22"/>
      <c r="J135" s="22" t="s">
        <v>61</v>
      </c>
      <c r="K135" s="22" t="s">
        <v>1334</v>
      </c>
      <c r="L135" s="22" t="s">
        <v>62</v>
      </c>
      <c r="M135" s="22" t="s">
        <v>84</v>
      </c>
      <c r="N135" s="22" t="s">
        <v>1335</v>
      </c>
      <c r="O135" s="22" t="s">
        <v>1336</v>
      </c>
      <c r="P135" s="22" t="s">
        <v>1337</v>
      </c>
      <c r="Q135" s="22" t="s">
        <v>1338</v>
      </c>
      <c r="R135" s="22" t="s">
        <v>1339</v>
      </c>
      <c r="S135" s="22" t="s">
        <v>61</v>
      </c>
      <c r="T135" s="22"/>
      <c r="U135" s="22" t="s">
        <v>302</v>
      </c>
      <c r="V135" s="22" t="s">
        <v>70</v>
      </c>
      <c r="W135" s="22" t="s">
        <v>71</v>
      </c>
      <c r="X135" s="25" t="n">
        <v>43983</v>
      </c>
      <c r="Y135" s="25" t="n">
        <v>45809</v>
      </c>
      <c r="Z135" s="22" t="s">
        <v>72</v>
      </c>
      <c r="AA135" s="22" t="s">
        <v>149</v>
      </c>
      <c r="AB135" s="22" t="s">
        <v>74</v>
      </c>
      <c r="AC135" s="22"/>
      <c r="AD135" s="22" t="n">
        <v>0</v>
      </c>
      <c r="AE135" s="22"/>
      <c r="AF135" s="22"/>
      <c r="AG135" s="22" t="s">
        <v>75</v>
      </c>
      <c r="AH135" s="22"/>
      <c r="AI135" s="22" t="n">
        <v>10</v>
      </c>
      <c r="AJ135" s="22" t="n">
        <v>30</v>
      </c>
      <c r="AK135" s="22" t="s">
        <v>61</v>
      </c>
      <c r="AL135" s="26" t="n">
        <v>36481</v>
      </c>
      <c r="AM135" s="26" t="n">
        <v>45002.4755167014</v>
      </c>
      <c r="AN135" s="25" t="n">
        <v>45002.4783796296</v>
      </c>
      <c r="AO135" s="22" t="n">
        <v>6</v>
      </c>
      <c r="AP135" s="22" t="n">
        <v>40</v>
      </c>
      <c r="AQ135" s="22" t="s">
        <v>0</v>
      </c>
      <c r="AR135" s="27" t="s">
        <v>1165</v>
      </c>
      <c r="AS135" s="27" t="s">
        <v>78</v>
      </c>
      <c r="AT135" s="27"/>
      <c r="AU135" s="27"/>
      <c r="AV135" s="27"/>
      <c r="AW135" s="27"/>
      <c r="AX135" s="27"/>
      <c r="AY135" s="27"/>
    </row>
    <row r="136" customFormat="false" ht="15.75" hidden="false" customHeight="true" outlineLevel="0" collapsed="false">
      <c r="A136" s="22" t="n">
        <v>132</v>
      </c>
      <c r="B136" s="23" t="s">
        <v>1340</v>
      </c>
      <c r="C136" s="22" t="s">
        <v>1341</v>
      </c>
      <c r="D136" s="22" t="s">
        <v>1342</v>
      </c>
      <c r="E136" s="22" t="s">
        <v>81</v>
      </c>
      <c r="F136" s="22" t="s">
        <v>107</v>
      </c>
      <c r="G136" s="22" t="s">
        <v>59</v>
      </c>
      <c r="H136" s="22" t="s">
        <v>96</v>
      </c>
      <c r="I136" s="22"/>
      <c r="J136" s="22" t="s">
        <v>61</v>
      </c>
      <c r="K136" s="22" t="s">
        <v>1343</v>
      </c>
      <c r="L136" s="22" t="s">
        <v>62</v>
      </c>
      <c r="M136" s="22" t="s">
        <v>63</v>
      </c>
      <c r="N136" s="22" t="s">
        <v>1344</v>
      </c>
      <c r="O136" s="22" t="s">
        <v>449</v>
      </c>
      <c r="P136" s="22" t="s">
        <v>1345</v>
      </c>
      <c r="Q136" s="22"/>
      <c r="R136" s="22" t="s">
        <v>1346</v>
      </c>
      <c r="S136" s="22" t="s">
        <v>61</v>
      </c>
      <c r="T136" s="22"/>
      <c r="U136" s="22" t="s">
        <v>634</v>
      </c>
      <c r="V136" s="22" t="s">
        <v>70</v>
      </c>
      <c r="W136" s="22" t="s">
        <v>71</v>
      </c>
      <c r="X136" s="25" t="n">
        <v>43101</v>
      </c>
      <c r="Y136" s="25" t="n">
        <v>45261</v>
      </c>
      <c r="Z136" s="22" t="s">
        <v>72</v>
      </c>
      <c r="AA136" s="22" t="s">
        <v>149</v>
      </c>
      <c r="AB136" s="22" t="s">
        <v>74</v>
      </c>
      <c r="AC136" s="22"/>
      <c r="AD136" s="22" t="n">
        <v>0</v>
      </c>
      <c r="AE136" s="22"/>
      <c r="AF136" s="22"/>
      <c r="AG136" s="22" t="s">
        <v>75</v>
      </c>
      <c r="AH136" s="22"/>
      <c r="AI136" s="22" t="n">
        <v>10</v>
      </c>
      <c r="AJ136" s="22" t="n">
        <v>30</v>
      </c>
      <c r="AK136" s="22" t="s">
        <v>76</v>
      </c>
      <c r="AL136" s="26" t="n">
        <v>36481</v>
      </c>
      <c r="AM136" s="26" t="n">
        <v>45005.4673029051</v>
      </c>
      <c r="AN136" s="25" t="n">
        <v>45005.4693171296</v>
      </c>
      <c r="AO136" s="22" t="n">
        <v>9</v>
      </c>
      <c r="AP136" s="22" t="n">
        <v>40</v>
      </c>
      <c r="AQ136" s="22" t="s">
        <v>1</v>
      </c>
      <c r="AR136" s="37" t="s">
        <v>1007</v>
      </c>
      <c r="AS136" s="27" t="s">
        <v>206</v>
      </c>
      <c r="AT136" s="27" t="s">
        <v>1137</v>
      </c>
      <c r="AU136" s="27"/>
      <c r="AV136" s="27"/>
      <c r="AW136" s="27"/>
      <c r="AX136" s="27"/>
      <c r="AY136" s="27"/>
    </row>
    <row r="137" customFormat="false" ht="15.75" hidden="false" customHeight="true" outlineLevel="0" collapsed="false">
      <c r="A137" s="22" t="n">
        <v>133</v>
      </c>
      <c r="B137" s="23" t="s">
        <v>1347</v>
      </c>
      <c r="C137" s="22"/>
      <c r="D137" s="22" t="s">
        <v>1348</v>
      </c>
      <c r="E137" s="22" t="s">
        <v>81</v>
      </c>
      <c r="F137" s="22" t="s">
        <v>107</v>
      </c>
      <c r="G137" s="22" t="s">
        <v>59</v>
      </c>
      <c r="H137" s="22" t="s">
        <v>96</v>
      </c>
      <c r="I137" s="22"/>
      <c r="J137" s="22" t="s">
        <v>61</v>
      </c>
      <c r="K137" s="22" t="s">
        <v>1349</v>
      </c>
      <c r="L137" s="22" t="s">
        <v>62</v>
      </c>
      <c r="M137" s="22" t="s">
        <v>1350</v>
      </c>
      <c r="N137" s="22" t="s">
        <v>1351</v>
      </c>
      <c r="O137" s="22" t="s">
        <v>1352</v>
      </c>
      <c r="P137" s="22" t="s">
        <v>1353</v>
      </c>
      <c r="Q137" s="22" t="s">
        <v>1354</v>
      </c>
      <c r="R137" s="22" t="s">
        <v>1355</v>
      </c>
      <c r="S137" s="22" t="s">
        <v>61</v>
      </c>
      <c r="T137" s="22"/>
      <c r="U137" s="22" t="s">
        <v>1356</v>
      </c>
      <c r="V137" s="22" t="s">
        <v>70</v>
      </c>
      <c r="W137" s="22" t="s">
        <v>71</v>
      </c>
      <c r="X137" s="25" t="n">
        <v>44228</v>
      </c>
      <c r="Y137" s="25" t="n">
        <v>45992</v>
      </c>
      <c r="Z137" s="22" t="s">
        <v>72</v>
      </c>
      <c r="AA137" s="22" t="s">
        <v>91</v>
      </c>
      <c r="AB137" s="22" t="s">
        <v>74</v>
      </c>
      <c r="AC137" s="22"/>
      <c r="AD137" s="22" t="n">
        <v>0</v>
      </c>
      <c r="AE137" s="22"/>
      <c r="AF137" s="22"/>
      <c r="AG137" s="22" t="s">
        <v>75</v>
      </c>
      <c r="AH137" s="22"/>
      <c r="AI137" s="22" t="n">
        <v>10</v>
      </c>
      <c r="AJ137" s="22" t="n">
        <v>30</v>
      </c>
      <c r="AK137" s="22" t="s">
        <v>61</v>
      </c>
      <c r="AL137" s="26" t="n">
        <v>36488</v>
      </c>
      <c r="AM137" s="26" t="n">
        <v>45002.0071150116</v>
      </c>
      <c r="AN137" s="25" t="n">
        <v>45009.3927662037</v>
      </c>
      <c r="AO137" s="22" t="n">
        <v>5</v>
      </c>
      <c r="AP137" s="22" t="n">
        <v>40</v>
      </c>
      <c r="AQ137" s="22" t="s">
        <v>1</v>
      </c>
      <c r="AR137" s="37" t="s">
        <v>470</v>
      </c>
      <c r="AS137" s="27" t="s">
        <v>206</v>
      </c>
      <c r="AT137" s="27" t="s">
        <v>1137</v>
      </c>
      <c r="AU137" s="27"/>
      <c r="AV137" s="27"/>
      <c r="AW137" s="27"/>
      <c r="AX137" s="27"/>
      <c r="AY137" s="27"/>
    </row>
    <row r="138" customFormat="false" ht="15.75" hidden="false" customHeight="true" outlineLevel="0" collapsed="false">
      <c r="A138" s="22" t="n">
        <v>134</v>
      </c>
      <c r="B138" s="23" t="s">
        <v>1357</v>
      </c>
      <c r="C138" s="22"/>
      <c r="D138" s="22" t="s">
        <v>1358</v>
      </c>
      <c r="E138" s="22" t="s">
        <v>57</v>
      </c>
      <c r="F138" s="22" t="s">
        <v>107</v>
      </c>
      <c r="G138" s="22" t="s">
        <v>59</v>
      </c>
      <c r="H138" s="22" t="s">
        <v>60</v>
      </c>
      <c r="I138" s="22"/>
      <c r="J138" s="22" t="s">
        <v>61</v>
      </c>
      <c r="K138" s="22" t="s">
        <v>1359</v>
      </c>
      <c r="L138" s="22" t="s">
        <v>62</v>
      </c>
      <c r="M138" s="22" t="s">
        <v>63</v>
      </c>
      <c r="N138" s="22" t="s">
        <v>1360</v>
      </c>
      <c r="O138" s="22" t="s">
        <v>1361</v>
      </c>
      <c r="P138" s="22" t="s">
        <v>1362</v>
      </c>
      <c r="Q138" s="22"/>
      <c r="R138" s="22" t="s">
        <v>1363</v>
      </c>
      <c r="S138" s="22" t="s">
        <v>61</v>
      </c>
      <c r="T138" s="22"/>
      <c r="U138" s="22" t="s">
        <v>1364</v>
      </c>
      <c r="V138" s="22" t="s">
        <v>70</v>
      </c>
      <c r="W138" s="22" t="s">
        <v>71</v>
      </c>
      <c r="X138" s="25" t="n">
        <v>43497</v>
      </c>
      <c r="Y138" s="25" t="n">
        <v>45261</v>
      </c>
      <c r="Z138" s="22" t="s">
        <v>72</v>
      </c>
      <c r="AA138" s="22" t="s">
        <v>91</v>
      </c>
      <c r="AB138" s="22" t="s">
        <v>74</v>
      </c>
      <c r="AC138" s="22"/>
      <c r="AD138" s="22" t="n">
        <v>0</v>
      </c>
      <c r="AE138" s="22"/>
      <c r="AF138" s="22"/>
      <c r="AG138" s="22" t="s">
        <v>75</v>
      </c>
      <c r="AH138" s="22"/>
      <c r="AI138" s="22" t="n">
        <v>10</v>
      </c>
      <c r="AJ138" s="22" t="n">
        <v>30</v>
      </c>
      <c r="AK138" s="22" t="s">
        <v>61</v>
      </c>
      <c r="AL138" s="26" t="n">
        <v>36505</v>
      </c>
      <c r="AM138" s="26" t="n">
        <v>45008.7352339583</v>
      </c>
      <c r="AN138" s="25" t="n">
        <v>45008.7364351852</v>
      </c>
      <c r="AO138" s="22" t="n">
        <v>9</v>
      </c>
      <c r="AP138" s="22" t="n">
        <v>40</v>
      </c>
      <c r="AQ138" s="22" t="s">
        <v>0</v>
      </c>
      <c r="AR138" s="37" t="s">
        <v>470</v>
      </c>
      <c r="AS138" s="27" t="s">
        <v>206</v>
      </c>
      <c r="AT138" s="27" t="s">
        <v>1137</v>
      </c>
      <c r="AU138" s="27" t="s">
        <v>78</v>
      </c>
      <c r="AV138" s="27"/>
      <c r="AW138" s="27"/>
      <c r="AX138" s="27"/>
      <c r="AY138" s="27"/>
    </row>
    <row r="139" customFormat="false" ht="15.75" hidden="false" customHeight="true" outlineLevel="0" collapsed="false">
      <c r="A139" s="22" t="n">
        <v>135</v>
      </c>
      <c r="B139" s="23" t="s">
        <v>1365</v>
      </c>
      <c r="C139" s="22"/>
      <c r="D139" s="22" t="s">
        <v>1366</v>
      </c>
      <c r="E139" s="22" t="s">
        <v>81</v>
      </c>
      <c r="F139" s="22" t="s">
        <v>107</v>
      </c>
      <c r="G139" s="22" t="s">
        <v>59</v>
      </c>
      <c r="H139" s="22" t="s">
        <v>60</v>
      </c>
      <c r="I139" s="22"/>
      <c r="J139" s="22" t="s">
        <v>61</v>
      </c>
      <c r="K139" s="22" t="s">
        <v>1367</v>
      </c>
      <c r="L139" s="22" t="s">
        <v>62</v>
      </c>
      <c r="M139" s="22" t="s">
        <v>63</v>
      </c>
      <c r="N139" s="22" t="s">
        <v>1368</v>
      </c>
      <c r="O139" s="22" t="s">
        <v>669</v>
      </c>
      <c r="P139" s="22" t="s">
        <v>1369</v>
      </c>
      <c r="Q139" s="22" t="s">
        <v>1370</v>
      </c>
      <c r="R139" s="22" t="s">
        <v>1371</v>
      </c>
      <c r="S139" s="22" t="s">
        <v>61</v>
      </c>
      <c r="T139" s="22"/>
      <c r="U139" s="22" t="s">
        <v>1157</v>
      </c>
      <c r="V139" s="22" t="s">
        <v>70</v>
      </c>
      <c r="W139" s="22" t="s">
        <v>71</v>
      </c>
      <c r="X139" s="25" t="n">
        <v>43831</v>
      </c>
      <c r="Y139" s="25" t="n">
        <v>45444</v>
      </c>
      <c r="Z139" s="22" t="s">
        <v>72</v>
      </c>
      <c r="AA139" s="22" t="s">
        <v>91</v>
      </c>
      <c r="AB139" s="22" t="s">
        <v>74</v>
      </c>
      <c r="AC139" s="22"/>
      <c r="AD139" s="22" t="n">
        <v>0</v>
      </c>
      <c r="AE139" s="22"/>
      <c r="AF139" s="22"/>
      <c r="AG139" s="22" t="s">
        <v>75</v>
      </c>
      <c r="AH139" s="22"/>
      <c r="AI139" s="22" t="n">
        <v>10</v>
      </c>
      <c r="AJ139" s="22" t="n">
        <v>30</v>
      </c>
      <c r="AK139" s="22" t="s">
        <v>61</v>
      </c>
      <c r="AL139" s="26" t="n">
        <v>36525</v>
      </c>
      <c r="AM139" s="26" t="n">
        <v>45009.0589413195</v>
      </c>
      <c r="AN139" s="25" t="n">
        <v>45009.0603935185</v>
      </c>
      <c r="AO139" s="22" t="n">
        <v>6</v>
      </c>
      <c r="AP139" s="22" t="n">
        <v>40</v>
      </c>
      <c r="AQ139" s="22" t="s">
        <v>0</v>
      </c>
      <c r="AR139" s="27" t="s">
        <v>1165</v>
      </c>
      <c r="AS139" s="27" t="s">
        <v>78</v>
      </c>
      <c r="AT139" s="27"/>
      <c r="AU139" s="27"/>
      <c r="AV139" s="27"/>
      <c r="AW139" s="27"/>
      <c r="AX139" s="27"/>
      <c r="AY139" s="27"/>
    </row>
    <row r="140" customFormat="false" ht="15.75" hidden="false" customHeight="true" outlineLevel="0" collapsed="false">
      <c r="A140" s="22" t="n">
        <v>136</v>
      </c>
      <c r="B140" s="23" t="s">
        <v>1372</v>
      </c>
      <c r="C140" s="22" t="s">
        <v>1373</v>
      </c>
      <c r="D140" s="22" t="s">
        <v>1374</v>
      </c>
      <c r="E140" s="22" t="s">
        <v>57</v>
      </c>
      <c r="F140" s="22" t="s">
        <v>107</v>
      </c>
      <c r="G140" s="22" t="s">
        <v>59</v>
      </c>
      <c r="H140" s="22" t="s">
        <v>60</v>
      </c>
      <c r="I140" s="22"/>
      <c r="J140" s="22" t="s">
        <v>61</v>
      </c>
      <c r="K140" s="22" t="s">
        <v>1375</v>
      </c>
      <c r="L140" s="22" t="s">
        <v>62</v>
      </c>
      <c r="M140" s="22" t="s">
        <v>84</v>
      </c>
      <c r="N140" s="22" t="s">
        <v>1376</v>
      </c>
      <c r="O140" s="22" t="s">
        <v>963</v>
      </c>
      <c r="P140" s="22" t="s">
        <v>1377</v>
      </c>
      <c r="Q140" s="22"/>
      <c r="R140" s="22" t="s">
        <v>1378</v>
      </c>
      <c r="S140" s="22" t="s">
        <v>61</v>
      </c>
      <c r="T140" s="22"/>
      <c r="U140" s="22" t="s">
        <v>1379</v>
      </c>
      <c r="V140" s="22" t="s">
        <v>70</v>
      </c>
      <c r="W140" s="22" t="s">
        <v>71</v>
      </c>
      <c r="X140" s="25" t="n">
        <v>44409</v>
      </c>
      <c r="Y140" s="25" t="n">
        <v>45992</v>
      </c>
      <c r="Z140" s="22" t="s">
        <v>72</v>
      </c>
      <c r="AA140" s="22" t="s">
        <v>149</v>
      </c>
      <c r="AB140" s="22" t="s">
        <v>74</v>
      </c>
      <c r="AC140" s="22"/>
      <c r="AD140" s="22" t="n">
        <v>0</v>
      </c>
      <c r="AE140" s="22"/>
      <c r="AF140" s="22"/>
      <c r="AG140" s="22" t="s">
        <v>75</v>
      </c>
      <c r="AH140" s="22"/>
      <c r="AI140" s="22" t="n">
        <v>10</v>
      </c>
      <c r="AJ140" s="22" t="n">
        <v>30</v>
      </c>
      <c r="AK140" s="22" t="s">
        <v>61</v>
      </c>
      <c r="AL140" s="26" t="n">
        <v>36526</v>
      </c>
      <c r="AM140" s="26" t="n">
        <v>45006.7589103009</v>
      </c>
      <c r="AN140" s="25" t="n">
        <v>45006.7621875</v>
      </c>
      <c r="AO140" s="22" t="n">
        <v>5</v>
      </c>
      <c r="AP140" s="22" t="n">
        <v>40</v>
      </c>
      <c r="AQ140" s="22" t="s">
        <v>0</v>
      </c>
      <c r="AR140" s="27" t="s">
        <v>1165</v>
      </c>
      <c r="AS140" s="27" t="s">
        <v>78</v>
      </c>
      <c r="AT140" s="27"/>
      <c r="AU140" s="27"/>
      <c r="AV140" s="27"/>
      <c r="AW140" s="27"/>
      <c r="AX140" s="27"/>
      <c r="AY140" s="27"/>
    </row>
    <row r="141" customFormat="false" ht="15.75" hidden="false" customHeight="true" outlineLevel="0" collapsed="false">
      <c r="A141" s="22" t="n">
        <v>137</v>
      </c>
      <c r="B141" s="23" t="s">
        <v>1380</v>
      </c>
      <c r="C141" s="22" t="s">
        <v>1381</v>
      </c>
      <c r="D141" s="22" t="s">
        <v>1382</v>
      </c>
      <c r="E141" s="22" t="s">
        <v>81</v>
      </c>
      <c r="F141" s="22" t="s">
        <v>107</v>
      </c>
      <c r="G141" s="22" t="s">
        <v>59</v>
      </c>
      <c r="H141" s="22" t="s">
        <v>156</v>
      </c>
      <c r="I141" s="22"/>
      <c r="J141" s="22" t="s">
        <v>61</v>
      </c>
      <c r="K141" s="22" t="s">
        <v>1383</v>
      </c>
      <c r="L141" s="22" t="s">
        <v>62</v>
      </c>
      <c r="M141" s="22" t="s">
        <v>84</v>
      </c>
      <c r="N141" s="22" t="s">
        <v>1384</v>
      </c>
      <c r="O141" s="22" t="s">
        <v>1385</v>
      </c>
      <c r="P141" s="22" t="s">
        <v>1386</v>
      </c>
      <c r="Q141" s="22" t="s">
        <v>1387</v>
      </c>
      <c r="R141" s="22" t="s">
        <v>1388</v>
      </c>
      <c r="S141" s="22" t="s">
        <v>61</v>
      </c>
      <c r="T141" s="22"/>
      <c r="U141" s="22" t="s">
        <v>1389</v>
      </c>
      <c r="V141" s="22" t="s">
        <v>70</v>
      </c>
      <c r="W141" s="22" t="s">
        <v>71</v>
      </c>
      <c r="X141" s="25" t="n">
        <v>43160</v>
      </c>
      <c r="Y141" s="25" t="n">
        <v>45444</v>
      </c>
      <c r="Z141" s="22" t="s">
        <v>72</v>
      </c>
      <c r="AA141" s="22" t="s">
        <v>91</v>
      </c>
      <c r="AB141" s="22" t="s">
        <v>74</v>
      </c>
      <c r="AC141" s="22"/>
      <c r="AD141" s="22" t="n">
        <v>0</v>
      </c>
      <c r="AE141" s="22"/>
      <c r="AF141" s="22"/>
      <c r="AG141" s="22" t="s">
        <v>75</v>
      </c>
      <c r="AH141" s="22"/>
      <c r="AI141" s="22" t="n">
        <v>10</v>
      </c>
      <c r="AJ141" s="22" t="n">
        <v>30</v>
      </c>
      <c r="AK141" s="22" t="s">
        <v>76</v>
      </c>
      <c r="AL141" s="26" t="n">
        <v>36530</v>
      </c>
      <c r="AM141" s="26" t="n">
        <v>45008.9943586343</v>
      </c>
      <c r="AN141" s="25" t="n">
        <v>45009.4578240741</v>
      </c>
      <c r="AO141" s="22" t="n">
        <v>8</v>
      </c>
      <c r="AP141" s="22" t="n">
        <v>40</v>
      </c>
      <c r="AQ141" s="22" t="s">
        <v>1</v>
      </c>
      <c r="AR141" s="37" t="s">
        <v>470</v>
      </c>
      <c r="AS141" s="27" t="s">
        <v>206</v>
      </c>
      <c r="AT141" s="27" t="s">
        <v>1390</v>
      </c>
      <c r="AU141" s="27" t="s">
        <v>654</v>
      </c>
      <c r="AV141" s="27"/>
      <c r="AW141" s="27"/>
      <c r="AX141" s="27"/>
      <c r="AY141" s="27"/>
    </row>
    <row r="142" customFormat="false" ht="15.75" hidden="false" customHeight="true" outlineLevel="0" collapsed="false">
      <c r="A142" s="22" t="n">
        <v>138</v>
      </c>
      <c r="B142" s="23" t="s">
        <v>1391</v>
      </c>
      <c r="C142" s="22" t="s">
        <v>1392</v>
      </c>
      <c r="D142" s="22" t="s">
        <v>1393</v>
      </c>
      <c r="E142" s="22" t="s">
        <v>81</v>
      </c>
      <c r="F142" s="22" t="s">
        <v>107</v>
      </c>
      <c r="G142" s="22" t="s">
        <v>59</v>
      </c>
      <c r="H142" s="22" t="s">
        <v>96</v>
      </c>
      <c r="I142" s="22"/>
      <c r="J142" s="22" t="s">
        <v>61</v>
      </c>
      <c r="K142" s="22" t="s">
        <v>1394</v>
      </c>
      <c r="L142" s="22" t="s">
        <v>62</v>
      </c>
      <c r="M142" s="22" t="s">
        <v>1395</v>
      </c>
      <c r="N142" s="22" t="s">
        <v>1396</v>
      </c>
      <c r="O142" s="22" t="s">
        <v>1397</v>
      </c>
      <c r="P142" s="22" t="s">
        <v>1398</v>
      </c>
      <c r="Q142" s="22" t="s">
        <v>1399</v>
      </c>
      <c r="R142" s="22" t="s">
        <v>1400</v>
      </c>
      <c r="S142" s="22" t="s">
        <v>61</v>
      </c>
      <c r="T142" s="22"/>
      <c r="U142" s="22" t="s">
        <v>1401</v>
      </c>
      <c r="V142" s="22" t="s">
        <v>70</v>
      </c>
      <c r="W142" s="22" t="s">
        <v>71</v>
      </c>
      <c r="X142" s="25" t="n">
        <v>43678</v>
      </c>
      <c r="Y142" s="25" t="n">
        <v>45474</v>
      </c>
      <c r="Z142" s="22" t="s">
        <v>72</v>
      </c>
      <c r="AA142" s="22" t="s">
        <v>91</v>
      </c>
      <c r="AB142" s="22" t="s">
        <v>74</v>
      </c>
      <c r="AC142" s="22"/>
      <c r="AD142" s="22" t="n">
        <v>0</v>
      </c>
      <c r="AE142" s="22"/>
      <c r="AF142" s="22"/>
      <c r="AG142" s="22" t="s">
        <v>75</v>
      </c>
      <c r="AH142" s="22"/>
      <c r="AI142" s="22" t="n">
        <v>10</v>
      </c>
      <c r="AJ142" s="22" t="n">
        <v>30</v>
      </c>
      <c r="AK142" s="22" t="s">
        <v>61</v>
      </c>
      <c r="AL142" s="26" t="n">
        <v>36545</v>
      </c>
      <c r="AM142" s="26" t="n">
        <v>45001.5978419907</v>
      </c>
      <c r="AN142" s="25" t="n">
        <v>45005.4499074074</v>
      </c>
      <c r="AO142" s="22" t="n">
        <v>8</v>
      </c>
      <c r="AP142" s="22" t="n">
        <v>40</v>
      </c>
      <c r="AQ142" s="22" t="s">
        <v>1</v>
      </c>
      <c r="AR142" s="27" t="s">
        <v>1165</v>
      </c>
      <c r="AS142" s="27" t="s">
        <v>1402</v>
      </c>
      <c r="AT142" s="27"/>
      <c r="AU142" s="27"/>
      <c r="AV142" s="27"/>
      <c r="AW142" s="27"/>
      <c r="AX142" s="27"/>
      <c r="AY142" s="27"/>
    </row>
    <row r="143" customFormat="false" ht="15.75" hidden="false" customHeight="true" outlineLevel="0" collapsed="false">
      <c r="A143" s="22" t="n">
        <v>139</v>
      </c>
      <c r="B143" s="23" t="s">
        <v>1403</v>
      </c>
      <c r="C143" s="22" t="s">
        <v>1404</v>
      </c>
      <c r="D143" s="22" t="s">
        <v>1405</v>
      </c>
      <c r="E143" s="22" t="s">
        <v>81</v>
      </c>
      <c r="F143" s="22" t="s">
        <v>107</v>
      </c>
      <c r="G143" s="22" t="s">
        <v>59</v>
      </c>
      <c r="H143" s="22" t="s">
        <v>327</v>
      </c>
      <c r="I143" s="22"/>
      <c r="J143" s="22" t="s">
        <v>61</v>
      </c>
      <c r="K143" s="22" t="s">
        <v>1406</v>
      </c>
      <c r="L143" s="22" t="s">
        <v>62</v>
      </c>
      <c r="M143" s="22" t="s">
        <v>63</v>
      </c>
      <c r="N143" s="22" t="s">
        <v>1407</v>
      </c>
      <c r="O143" s="22" t="s">
        <v>330</v>
      </c>
      <c r="P143" s="22" t="s">
        <v>1408</v>
      </c>
      <c r="Q143" s="22" t="s">
        <v>1409</v>
      </c>
      <c r="R143" s="22" t="s">
        <v>1410</v>
      </c>
      <c r="S143" s="22" t="s">
        <v>61</v>
      </c>
      <c r="T143" s="22"/>
      <c r="U143" s="22" t="s">
        <v>1411</v>
      </c>
      <c r="V143" s="22" t="s">
        <v>70</v>
      </c>
      <c r="W143" s="22" t="s">
        <v>71</v>
      </c>
      <c r="X143" s="25" t="n">
        <v>44197</v>
      </c>
      <c r="Y143" s="25" t="n">
        <v>46023</v>
      </c>
      <c r="Z143" s="22" t="s">
        <v>72</v>
      </c>
      <c r="AA143" s="22" t="s">
        <v>91</v>
      </c>
      <c r="AB143" s="22" t="s">
        <v>74</v>
      </c>
      <c r="AC143" s="22"/>
      <c r="AD143" s="22" t="n">
        <v>0</v>
      </c>
      <c r="AE143" s="22"/>
      <c r="AF143" s="22"/>
      <c r="AG143" s="22" t="s">
        <v>75</v>
      </c>
      <c r="AH143" s="22"/>
      <c r="AI143" s="22" t="n">
        <v>10</v>
      </c>
      <c r="AJ143" s="22" t="n">
        <v>30</v>
      </c>
      <c r="AK143" s="22" t="s">
        <v>61</v>
      </c>
      <c r="AL143" s="26" t="n">
        <v>36549</v>
      </c>
      <c r="AM143" s="26" t="n">
        <v>45007.6442853357</v>
      </c>
      <c r="AN143" s="25" t="n">
        <v>45007.6521990741</v>
      </c>
      <c r="AO143" s="22" t="n">
        <v>5</v>
      </c>
      <c r="AP143" s="22" t="n">
        <v>40</v>
      </c>
      <c r="AQ143" s="22" t="s">
        <v>0</v>
      </c>
      <c r="AR143" s="27" t="s">
        <v>1165</v>
      </c>
      <c r="AS143" s="27" t="s">
        <v>78</v>
      </c>
      <c r="AT143" s="27"/>
      <c r="AU143" s="27"/>
      <c r="AV143" s="27"/>
      <c r="AW143" s="27"/>
      <c r="AX143" s="27"/>
      <c r="AY143" s="27"/>
    </row>
    <row r="144" customFormat="false" ht="15.75" hidden="false" customHeight="true" outlineLevel="0" collapsed="false">
      <c r="A144" s="22" t="n">
        <v>140</v>
      </c>
      <c r="B144" s="23" t="s">
        <v>1412</v>
      </c>
      <c r="C144" s="22"/>
      <c r="D144" s="22" t="s">
        <v>1413</v>
      </c>
      <c r="E144" s="22" t="s">
        <v>57</v>
      </c>
      <c r="F144" s="22" t="s">
        <v>107</v>
      </c>
      <c r="G144" s="22" t="s">
        <v>59</v>
      </c>
      <c r="H144" s="22" t="s">
        <v>60</v>
      </c>
      <c r="I144" s="22"/>
      <c r="J144" s="22" t="s">
        <v>61</v>
      </c>
      <c r="K144" s="22" t="s">
        <v>1414</v>
      </c>
      <c r="L144" s="22" t="s">
        <v>62</v>
      </c>
      <c r="M144" s="22" t="s">
        <v>63</v>
      </c>
      <c r="N144" s="22" t="s">
        <v>1415</v>
      </c>
      <c r="O144" s="22" t="s">
        <v>818</v>
      </c>
      <c r="P144" s="22" t="s">
        <v>1416</v>
      </c>
      <c r="Q144" s="22" t="s">
        <v>1417</v>
      </c>
      <c r="R144" s="22" t="s">
        <v>1418</v>
      </c>
      <c r="S144" s="22" t="s">
        <v>61</v>
      </c>
      <c r="T144" s="22"/>
      <c r="U144" s="22" t="s">
        <v>1419</v>
      </c>
      <c r="V144" s="22" t="s">
        <v>70</v>
      </c>
      <c r="W144" s="22" t="s">
        <v>71</v>
      </c>
      <c r="X144" s="25" t="n">
        <v>43678</v>
      </c>
      <c r="Y144" s="25" t="n">
        <v>45047</v>
      </c>
      <c r="Z144" s="22" t="s">
        <v>72</v>
      </c>
      <c r="AA144" s="22" t="s">
        <v>91</v>
      </c>
      <c r="AB144" s="22" t="s">
        <v>74</v>
      </c>
      <c r="AC144" s="22"/>
      <c r="AD144" s="22" t="n">
        <v>0</v>
      </c>
      <c r="AE144" s="22"/>
      <c r="AF144" s="22"/>
      <c r="AG144" s="22" t="s">
        <v>75</v>
      </c>
      <c r="AH144" s="22"/>
      <c r="AI144" s="22" t="n">
        <v>10</v>
      </c>
      <c r="AJ144" s="22" t="n">
        <v>30</v>
      </c>
      <c r="AK144" s="22" t="s">
        <v>61</v>
      </c>
      <c r="AL144" s="26" t="n">
        <v>36569</v>
      </c>
      <c r="AM144" s="26" t="n">
        <v>45009.0214214005</v>
      </c>
      <c r="AN144" s="25" t="n">
        <v>45009.0230208333</v>
      </c>
      <c r="AO144" s="22" t="n">
        <v>8</v>
      </c>
      <c r="AP144" s="22" t="n">
        <v>40</v>
      </c>
      <c r="AQ144" s="22" t="s">
        <v>0</v>
      </c>
      <c r="AR144" s="27" t="s">
        <v>1165</v>
      </c>
      <c r="AS144" s="27" t="s">
        <v>78</v>
      </c>
      <c r="AT144" s="27"/>
      <c r="AU144" s="27"/>
      <c r="AV144" s="27"/>
      <c r="AW144" s="27"/>
      <c r="AX144" s="27"/>
      <c r="AY144" s="27"/>
    </row>
    <row r="145" customFormat="false" ht="15.75" hidden="false" customHeight="true" outlineLevel="0" collapsed="false">
      <c r="A145" s="22" t="n">
        <v>141</v>
      </c>
      <c r="B145" s="23" t="s">
        <v>1420</v>
      </c>
      <c r="C145" s="22"/>
      <c r="D145" s="22" t="s">
        <v>1421</v>
      </c>
      <c r="E145" s="22" t="s">
        <v>81</v>
      </c>
      <c r="F145" s="22" t="s">
        <v>107</v>
      </c>
      <c r="G145" s="22" t="s">
        <v>59</v>
      </c>
      <c r="H145" s="22" t="s">
        <v>96</v>
      </c>
      <c r="I145" s="22"/>
      <c r="J145" s="22" t="s">
        <v>61</v>
      </c>
      <c r="K145" s="22" t="s">
        <v>1422</v>
      </c>
      <c r="L145" s="22" t="s">
        <v>62</v>
      </c>
      <c r="M145" s="22" t="s">
        <v>84</v>
      </c>
      <c r="N145" s="22" t="s">
        <v>1423</v>
      </c>
      <c r="O145" s="22" t="s">
        <v>1424</v>
      </c>
      <c r="P145" s="22" t="s">
        <v>1425</v>
      </c>
      <c r="Q145" s="22" t="s">
        <v>1426</v>
      </c>
      <c r="R145" s="22" t="s">
        <v>1427</v>
      </c>
      <c r="S145" s="22" t="s">
        <v>61</v>
      </c>
      <c r="T145" s="22"/>
      <c r="U145" s="22" t="s">
        <v>261</v>
      </c>
      <c r="V145" s="22" t="s">
        <v>70</v>
      </c>
      <c r="W145" s="22" t="s">
        <v>71</v>
      </c>
      <c r="X145" s="25" t="n">
        <v>43831</v>
      </c>
      <c r="Y145" s="25" t="n">
        <v>45627</v>
      </c>
      <c r="Z145" s="22" t="s">
        <v>72</v>
      </c>
      <c r="AA145" s="22" t="s">
        <v>91</v>
      </c>
      <c r="AB145" s="22" t="s">
        <v>74</v>
      </c>
      <c r="AC145" s="22"/>
      <c r="AD145" s="22" t="n">
        <v>0</v>
      </c>
      <c r="AE145" s="22"/>
      <c r="AF145" s="22"/>
      <c r="AG145" s="22" t="s">
        <v>75</v>
      </c>
      <c r="AH145" s="22"/>
      <c r="AI145" s="22" t="n">
        <v>10</v>
      </c>
      <c r="AJ145" s="22" t="n">
        <v>30</v>
      </c>
      <c r="AK145" s="22" t="s">
        <v>61</v>
      </c>
      <c r="AL145" s="26" t="n">
        <v>36588</v>
      </c>
      <c r="AM145" s="26" t="n">
        <v>45007.5203844444</v>
      </c>
      <c r="AN145" s="25" t="n">
        <v>45007.5382060185</v>
      </c>
      <c r="AO145" s="22" t="n">
        <v>7</v>
      </c>
      <c r="AP145" s="22" t="n">
        <v>40</v>
      </c>
      <c r="AQ145" s="22" t="s">
        <v>1</v>
      </c>
      <c r="AR145" s="37" t="s">
        <v>1428</v>
      </c>
      <c r="AS145" s="27" t="s">
        <v>206</v>
      </c>
      <c r="AT145" s="27" t="s">
        <v>1137</v>
      </c>
      <c r="AU145" s="27"/>
      <c r="AV145" s="27"/>
      <c r="AW145" s="27"/>
      <c r="AX145" s="27"/>
      <c r="AY145" s="27"/>
    </row>
    <row r="146" customFormat="false" ht="15.75" hidden="false" customHeight="true" outlineLevel="0" collapsed="false">
      <c r="A146" s="22" t="n">
        <v>142</v>
      </c>
      <c r="B146" s="23" t="s">
        <v>1429</v>
      </c>
      <c r="C146" s="22" t="s">
        <v>1430</v>
      </c>
      <c r="D146" s="22" t="s">
        <v>1431</v>
      </c>
      <c r="E146" s="22" t="s">
        <v>81</v>
      </c>
      <c r="F146" s="22" t="s">
        <v>107</v>
      </c>
      <c r="G146" s="22" t="s">
        <v>59</v>
      </c>
      <c r="H146" s="22" t="s">
        <v>96</v>
      </c>
      <c r="I146" s="22"/>
      <c r="J146" s="22" t="s">
        <v>61</v>
      </c>
      <c r="K146" s="22" t="s">
        <v>1432</v>
      </c>
      <c r="L146" s="22" t="s">
        <v>62</v>
      </c>
      <c r="M146" s="22" t="s">
        <v>63</v>
      </c>
      <c r="N146" s="22" t="s">
        <v>1433</v>
      </c>
      <c r="O146" s="22" t="s">
        <v>1434</v>
      </c>
      <c r="P146" s="22" t="s">
        <v>1435</v>
      </c>
      <c r="Q146" s="22"/>
      <c r="R146" s="22" t="s">
        <v>1436</v>
      </c>
      <c r="S146" s="22" t="s">
        <v>61</v>
      </c>
      <c r="T146" s="22"/>
      <c r="U146" s="22" t="s">
        <v>906</v>
      </c>
      <c r="V146" s="22" t="s">
        <v>70</v>
      </c>
      <c r="W146" s="22" t="s">
        <v>71</v>
      </c>
      <c r="X146" s="25" t="n">
        <v>43160</v>
      </c>
      <c r="Y146" s="25" t="n">
        <v>45261</v>
      </c>
      <c r="Z146" s="22" t="s">
        <v>72</v>
      </c>
      <c r="AA146" s="22" t="s">
        <v>91</v>
      </c>
      <c r="AB146" s="22" t="s">
        <v>74</v>
      </c>
      <c r="AC146" s="22"/>
      <c r="AD146" s="22" t="n">
        <v>0</v>
      </c>
      <c r="AE146" s="22"/>
      <c r="AF146" s="22"/>
      <c r="AG146" s="22" t="s">
        <v>75</v>
      </c>
      <c r="AH146" s="22"/>
      <c r="AI146" s="22" t="n">
        <v>10</v>
      </c>
      <c r="AJ146" s="22" t="n">
        <v>30</v>
      </c>
      <c r="AK146" s="22" t="s">
        <v>76</v>
      </c>
      <c r="AL146" s="26" t="n">
        <v>36599</v>
      </c>
      <c r="AM146" s="26" t="n">
        <v>45002.417983507</v>
      </c>
      <c r="AN146" s="25" t="n">
        <v>45008.5450810185</v>
      </c>
      <c r="AO146" s="22" t="n">
        <v>9</v>
      </c>
      <c r="AP146" s="22" t="n">
        <v>40</v>
      </c>
      <c r="AQ146" s="22" t="s">
        <v>1</v>
      </c>
      <c r="AR146" s="36" t="s">
        <v>470</v>
      </c>
      <c r="AS146" s="27" t="s">
        <v>1437</v>
      </c>
      <c r="AT146" s="27"/>
      <c r="AU146" s="27"/>
      <c r="AV146" s="27"/>
      <c r="AW146" s="27"/>
      <c r="AX146" s="27"/>
      <c r="AY146" s="27"/>
    </row>
    <row r="147" customFormat="false" ht="15.75" hidden="false" customHeight="true" outlineLevel="0" collapsed="false">
      <c r="A147" s="22" t="n">
        <v>143</v>
      </c>
      <c r="B147" s="23" t="s">
        <v>1438</v>
      </c>
      <c r="C147" s="22"/>
      <c r="D147" s="22" t="s">
        <v>1439</v>
      </c>
      <c r="E147" s="22" t="s">
        <v>81</v>
      </c>
      <c r="F147" s="22" t="s">
        <v>107</v>
      </c>
      <c r="G147" s="22" t="s">
        <v>59</v>
      </c>
      <c r="H147" s="22" t="s">
        <v>96</v>
      </c>
      <c r="I147" s="22"/>
      <c r="J147" s="22" t="s">
        <v>61</v>
      </c>
      <c r="K147" s="22" t="s">
        <v>1440</v>
      </c>
      <c r="L147" s="22" t="s">
        <v>62</v>
      </c>
      <c r="M147" s="22" t="s">
        <v>693</v>
      </c>
      <c r="N147" s="22" t="s">
        <v>1441</v>
      </c>
      <c r="O147" s="22" t="s">
        <v>1442</v>
      </c>
      <c r="P147" s="22" t="s">
        <v>1443</v>
      </c>
      <c r="Q147" s="22" t="s">
        <v>1444</v>
      </c>
      <c r="R147" s="22" t="s">
        <v>1445</v>
      </c>
      <c r="S147" s="22" t="s">
        <v>61</v>
      </c>
      <c r="T147" s="22"/>
      <c r="U147" s="22" t="s">
        <v>1446</v>
      </c>
      <c r="V147" s="22" t="s">
        <v>70</v>
      </c>
      <c r="W147" s="22" t="s">
        <v>71</v>
      </c>
      <c r="X147" s="25" t="n">
        <v>43862</v>
      </c>
      <c r="Y147" s="25" t="n">
        <v>45627</v>
      </c>
      <c r="Z147" s="22" t="s">
        <v>72</v>
      </c>
      <c r="AA147" s="22" t="s">
        <v>91</v>
      </c>
      <c r="AB147" s="22" t="s">
        <v>74</v>
      </c>
      <c r="AC147" s="22"/>
      <c r="AD147" s="22" t="n">
        <v>0</v>
      </c>
      <c r="AE147" s="22"/>
      <c r="AF147" s="22"/>
      <c r="AG147" s="22" t="s">
        <v>75</v>
      </c>
      <c r="AH147" s="22"/>
      <c r="AI147" s="22" t="n">
        <v>10</v>
      </c>
      <c r="AJ147" s="22" t="n">
        <v>30</v>
      </c>
      <c r="AK147" s="22" t="s">
        <v>61</v>
      </c>
      <c r="AL147" s="26" t="n">
        <v>36606</v>
      </c>
      <c r="AM147" s="26" t="n">
        <v>45009.4163426968</v>
      </c>
      <c r="AN147" s="25" t="n">
        <v>45009.4217361111</v>
      </c>
      <c r="AO147" s="22" t="n">
        <v>7</v>
      </c>
      <c r="AP147" s="22" t="n">
        <v>40</v>
      </c>
      <c r="AQ147" s="22" t="s">
        <v>1</v>
      </c>
      <c r="AR147" s="37" t="s">
        <v>1007</v>
      </c>
      <c r="AS147" s="27" t="s">
        <v>206</v>
      </c>
      <c r="AT147" s="27" t="s">
        <v>1137</v>
      </c>
      <c r="AU147" s="27"/>
      <c r="AV147" s="27"/>
      <c r="AW147" s="27"/>
      <c r="AX147" s="27"/>
      <c r="AY147" s="27"/>
    </row>
    <row r="148" customFormat="false" ht="15.75" hidden="false" customHeight="true" outlineLevel="0" collapsed="false">
      <c r="A148" s="22" t="n">
        <v>144</v>
      </c>
      <c r="B148" s="23" t="s">
        <v>1447</v>
      </c>
      <c r="C148" s="22" t="s">
        <v>1448</v>
      </c>
      <c r="D148" s="22" t="s">
        <v>1449</v>
      </c>
      <c r="E148" s="22" t="s">
        <v>81</v>
      </c>
      <c r="F148" s="22" t="s">
        <v>107</v>
      </c>
      <c r="G148" s="22" t="s">
        <v>59</v>
      </c>
      <c r="H148" s="22" t="s">
        <v>60</v>
      </c>
      <c r="I148" s="22"/>
      <c r="J148" s="22" t="s">
        <v>61</v>
      </c>
      <c r="K148" s="22" t="s">
        <v>1450</v>
      </c>
      <c r="L148" s="22" t="s">
        <v>62</v>
      </c>
      <c r="M148" s="22" t="s">
        <v>63</v>
      </c>
      <c r="N148" s="22" t="s">
        <v>1451</v>
      </c>
      <c r="O148" s="22" t="s">
        <v>1452</v>
      </c>
      <c r="P148" s="22" t="s">
        <v>1453</v>
      </c>
      <c r="Q148" s="22" t="s">
        <v>1454</v>
      </c>
      <c r="R148" s="22" t="s">
        <v>1455</v>
      </c>
      <c r="S148" s="22" t="s">
        <v>61</v>
      </c>
      <c r="T148" s="22"/>
      <c r="U148" s="22" t="s">
        <v>1015</v>
      </c>
      <c r="V148" s="22" t="s">
        <v>70</v>
      </c>
      <c r="W148" s="22" t="s">
        <v>71</v>
      </c>
      <c r="X148" s="25" t="n">
        <v>43132</v>
      </c>
      <c r="Y148" s="25" t="n">
        <v>45261</v>
      </c>
      <c r="Z148" s="22" t="s">
        <v>72</v>
      </c>
      <c r="AA148" s="22" t="s">
        <v>91</v>
      </c>
      <c r="AB148" s="22" t="s">
        <v>74</v>
      </c>
      <c r="AC148" s="22"/>
      <c r="AD148" s="22" t="n">
        <v>0</v>
      </c>
      <c r="AE148" s="22"/>
      <c r="AF148" s="22"/>
      <c r="AG148" s="22" t="s">
        <v>75</v>
      </c>
      <c r="AH148" s="22"/>
      <c r="AI148" s="22" t="n">
        <v>10</v>
      </c>
      <c r="AJ148" s="22" t="n">
        <v>30</v>
      </c>
      <c r="AK148" s="22" t="s">
        <v>61</v>
      </c>
      <c r="AL148" s="26" t="n">
        <v>36648</v>
      </c>
      <c r="AM148" s="26" t="n">
        <v>45007.5738719213</v>
      </c>
      <c r="AN148" s="25" t="n">
        <v>45007.5754166667</v>
      </c>
      <c r="AO148" s="22" t="n">
        <v>9</v>
      </c>
      <c r="AP148" s="22" t="n">
        <v>40</v>
      </c>
      <c r="AQ148" s="22" t="s">
        <v>1</v>
      </c>
      <c r="AR148" s="37" t="s">
        <v>470</v>
      </c>
      <c r="AS148" s="27" t="s">
        <v>206</v>
      </c>
      <c r="AT148" s="27" t="s">
        <v>1137</v>
      </c>
      <c r="AU148" s="27"/>
      <c r="AV148" s="27"/>
      <c r="AW148" s="27"/>
      <c r="AX148" s="27"/>
      <c r="AY148" s="27"/>
    </row>
    <row r="149" customFormat="false" ht="15.75" hidden="false" customHeight="true" outlineLevel="0" collapsed="false">
      <c r="A149" s="22" t="n">
        <v>145</v>
      </c>
      <c r="B149" s="23" t="s">
        <v>1456</v>
      </c>
      <c r="C149" s="22" t="s">
        <v>1457</v>
      </c>
      <c r="D149" s="22" t="s">
        <v>1458</v>
      </c>
      <c r="E149" s="22" t="s">
        <v>81</v>
      </c>
      <c r="F149" s="22" t="s">
        <v>107</v>
      </c>
      <c r="G149" s="22" t="s">
        <v>59</v>
      </c>
      <c r="H149" s="22" t="s">
        <v>96</v>
      </c>
      <c r="I149" s="22"/>
      <c r="J149" s="22" t="s">
        <v>61</v>
      </c>
      <c r="K149" s="22" t="s">
        <v>1459</v>
      </c>
      <c r="L149" s="22" t="s">
        <v>62</v>
      </c>
      <c r="M149" s="22" t="s">
        <v>63</v>
      </c>
      <c r="N149" s="22" t="s">
        <v>1460</v>
      </c>
      <c r="O149" s="22" t="s">
        <v>1461</v>
      </c>
      <c r="P149" s="22" t="s">
        <v>1462</v>
      </c>
      <c r="Q149" s="22" t="s">
        <v>1463</v>
      </c>
      <c r="R149" s="22" t="s">
        <v>1464</v>
      </c>
      <c r="S149" s="22" t="s">
        <v>61</v>
      </c>
      <c r="T149" s="22"/>
      <c r="U149" s="22" t="s">
        <v>1465</v>
      </c>
      <c r="V149" s="22" t="s">
        <v>70</v>
      </c>
      <c r="W149" s="22" t="s">
        <v>71</v>
      </c>
      <c r="X149" s="25" t="n">
        <v>44044</v>
      </c>
      <c r="Y149" s="25" t="n">
        <v>45992</v>
      </c>
      <c r="Z149" s="22" t="s">
        <v>72</v>
      </c>
      <c r="AA149" s="22" t="s">
        <v>73</v>
      </c>
      <c r="AB149" s="22" t="s">
        <v>74</v>
      </c>
      <c r="AC149" s="22"/>
      <c r="AD149" s="22" t="n">
        <v>0</v>
      </c>
      <c r="AE149" s="22"/>
      <c r="AF149" s="22"/>
      <c r="AG149" s="22" t="s">
        <v>75</v>
      </c>
      <c r="AH149" s="22"/>
      <c r="AI149" s="22" t="n">
        <v>10</v>
      </c>
      <c r="AJ149" s="22" t="n">
        <v>30</v>
      </c>
      <c r="AK149" s="22" t="s">
        <v>61</v>
      </c>
      <c r="AL149" s="26" t="n">
        <v>36660</v>
      </c>
      <c r="AM149" s="26" t="n">
        <v>45001.7876877546</v>
      </c>
      <c r="AN149" s="25" t="n">
        <v>45001.7891898148</v>
      </c>
      <c r="AO149" s="22" t="n">
        <v>5</v>
      </c>
      <c r="AP149" s="22" t="n">
        <v>40</v>
      </c>
      <c r="AQ149" s="22" t="s">
        <v>1</v>
      </c>
      <c r="AR149" s="36" t="s">
        <v>470</v>
      </c>
      <c r="AS149" s="27" t="s">
        <v>1466</v>
      </c>
      <c r="AT149" s="27"/>
      <c r="AU149" s="27"/>
      <c r="AV149" s="27"/>
      <c r="AW149" s="27"/>
      <c r="AX149" s="27"/>
      <c r="AY149" s="27"/>
    </row>
    <row r="150" customFormat="false" ht="15.75" hidden="false" customHeight="true" outlineLevel="0" collapsed="false">
      <c r="A150" s="22" t="n">
        <v>146</v>
      </c>
      <c r="B150" s="23" t="s">
        <v>1467</v>
      </c>
      <c r="C150" s="22" t="s">
        <v>1468</v>
      </c>
      <c r="D150" s="22" t="s">
        <v>1469</v>
      </c>
      <c r="E150" s="22" t="s">
        <v>81</v>
      </c>
      <c r="F150" s="22" t="s">
        <v>107</v>
      </c>
      <c r="G150" s="22" t="s">
        <v>59</v>
      </c>
      <c r="H150" s="22" t="s">
        <v>156</v>
      </c>
      <c r="I150" s="22"/>
      <c r="J150" s="22" t="s">
        <v>61</v>
      </c>
      <c r="K150" s="22" t="s">
        <v>1470</v>
      </c>
      <c r="L150" s="22" t="s">
        <v>62</v>
      </c>
      <c r="M150" s="22" t="s">
        <v>84</v>
      </c>
      <c r="N150" s="22" t="s">
        <v>1471</v>
      </c>
      <c r="O150" s="22" t="s">
        <v>1472</v>
      </c>
      <c r="P150" s="22" t="s">
        <v>1473</v>
      </c>
      <c r="Q150" s="22" t="s">
        <v>1474</v>
      </c>
      <c r="R150" s="22" t="s">
        <v>1475</v>
      </c>
      <c r="S150" s="22" t="s">
        <v>61</v>
      </c>
      <c r="T150" s="22"/>
      <c r="U150" s="22" t="s">
        <v>479</v>
      </c>
      <c r="V150" s="22" t="s">
        <v>70</v>
      </c>
      <c r="W150" s="22" t="s">
        <v>71</v>
      </c>
      <c r="X150" s="25" t="n">
        <v>43831</v>
      </c>
      <c r="Y150" s="25" t="n">
        <v>45992</v>
      </c>
      <c r="Z150" s="22" t="s">
        <v>72</v>
      </c>
      <c r="AA150" s="22" t="s">
        <v>91</v>
      </c>
      <c r="AB150" s="22" t="s">
        <v>74</v>
      </c>
      <c r="AC150" s="22"/>
      <c r="AD150" s="22" t="n">
        <v>0</v>
      </c>
      <c r="AE150" s="22"/>
      <c r="AF150" s="22"/>
      <c r="AG150" s="22" t="s">
        <v>75</v>
      </c>
      <c r="AH150" s="22"/>
      <c r="AI150" s="22" t="n">
        <v>10</v>
      </c>
      <c r="AJ150" s="22" t="n">
        <v>30</v>
      </c>
      <c r="AK150" s="22" t="s">
        <v>61</v>
      </c>
      <c r="AL150" s="26" t="n">
        <v>36665</v>
      </c>
      <c r="AM150" s="26" t="n">
        <v>45009.4264758218</v>
      </c>
      <c r="AN150" s="25" t="n">
        <v>45009.4281018519</v>
      </c>
      <c r="AO150" s="22" t="n">
        <v>5</v>
      </c>
      <c r="AP150" s="22" t="n">
        <v>40</v>
      </c>
      <c r="AQ150" s="22" t="s">
        <v>0</v>
      </c>
      <c r="AR150" s="27" t="s">
        <v>1165</v>
      </c>
      <c r="AS150" s="27" t="s">
        <v>78</v>
      </c>
      <c r="AT150" s="27"/>
      <c r="AU150" s="27"/>
      <c r="AV150" s="27"/>
      <c r="AW150" s="27"/>
      <c r="AX150" s="27"/>
      <c r="AY150" s="27"/>
    </row>
    <row r="151" customFormat="false" ht="15.75" hidden="false" customHeight="true" outlineLevel="0" collapsed="false">
      <c r="A151" s="22" t="n">
        <v>147</v>
      </c>
      <c r="B151" s="23" t="s">
        <v>1476</v>
      </c>
      <c r="C151" s="22" t="s">
        <v>1477</v>
      </c>
      <c r="D151" s="22" t="s">
        <v>1478</v>
      </c>
      <c r="E151" s="22" t="s">
        <v>57</v>
      </c>
      <c r="F151" s="22" t="s">
        <v>107</v>
      </c>
      <c r="G151" s="22" t="s">
        <v>59</v>
      </c>
      <c r="H151" s="22" t="s">
        <v>96</v>
      </c>
      <c r="I151" s="22"/>
      <c r="J151" s="22" t="s">
        <v>61</v>
      </c>
      <c r="K151" s="22" t="s">
        <v>1479</v>
      </c>
      <c r="L151" s="22" t="s">
        <v>580</v>
      </c>
      <c r="M151" s="22" t="s">
        <v>581</v>
      </c>
      <c r="N151" s="22" t="s">
        <v>1480</v>
      </c>
      <c r="O151" s="22" t="s">
        <v>1481</v>
      </c>
      <c r="P151" s="22" t="s">
        <v>1482</v>
      </c>
      <c r="Q151" s="22" t="s">
        <v>1483</v>
      </c>
      <c r="R151" s="22" t="s">
        <v>1484</v>
      </c>
      <c r="S151" s="22" t="s">
        <v>61</v>
      </c>
      <c r="T151" s="22"/>
      <c r="U151" s="22" t="s">
        <v>1485</v>
      </c>
      <c r="V151" s="22" t="s">
        <v>70</v>
      </c>
      <c r="W151" s="22" t="s">
        <v>71</v>
      </c>
      <c r="X151" s="25" t="n">
        <v>43891</v>
      </c>
      <c r="Y151" s="25" t="n">
        <v>45992</v>
      </c>
      <c r="Z151" s="22" t="s">
        <v>72</v>
      </c>
      <c r="AA151" s="22" t="s">
        <v>91</v>
      </c>
      <c r="AB151" s="22" t="s">
        <v>74</v>
      </c>
      <c r="AC151" s="22"/>
      <c r="AD151" s="22" t="n">
        <v>0</v>
      </c>
      <c r="AE151" s="22"/>
      <c r="AF151" s="22"/>
      <c r="AG151" s="22" t="s">
        <v>75</v>
      </c>
      <c r="AH151" s="22"/>
      <c r="AI151" s="22" t="n">
        <v>10</v>
      </c>
      <c r="AJ151" s="22" t="n">
        <v>30</v>
      </c>
      <c r="AK151" s="22" t="s">
        <v>61</v>
      </c>
      <c r="AL151" s="26" t="n">
        <v>36686</v>
      </c>
      <c r="AM151" s="26" t="n">
        <v>45000.4743019097</v>
      </c>
      <c r="AN151" s="25" t="n">
        <v>45002.7831134259</v>
      </c>
      <c r="AO151" s="22" t="n">
        <v>5</v>
      </c>
      <c r="AP151" s="22" t="n">
        <v>40</v>
      </c>
      <c r="AQ151" s="22" t="s">
        <v>1</v>
      </c>
      <c r="AR151" s="37" t="s">
        <v>470</v>
      </c>
      <c r="AS151" s="35" t="s">
        <v>1486</v>
      </c>
      <c r="AT151" s="27" t="s">
        <v>1137</v>
      </c>
      <c r="AU151" s="27"/>
      <c r="AV151" s="27"/>
      <c r="AW151" s="27"/>
      <c r="AX151" s="27"/>
      <c r="AY151" s="27"/>
    </row>
    <row r="152" customFormat="false" ht="15.75" hidden="false" customHeight="true" outlineLevel="0" collapsed="false">
      <c r="A152" s="22" t="n">
        <v>148</v>
      </c>
      <c r="B152" s="23" t="s">
        <v>1487</v>
      </c>
      <c r="C152" s="22" t="s">
        <v>1488</v>
      </c>
      <c r="D152" s="22" t="s">
        <v>1489</v>
      </c>
      <c r="E152" s="22" t="s">
        <v>57</v>
      </c>
      <c r="F152" s="22" t="s">
        <v>107</v>
      </c>
      <c r="G152" s="22" t="s">
        <v>59</v>
      </c>
      <c r="H152" s="22" t="s">
        <v>156</v>
      </c>
      <c r="I152" s="22"/>
      <c r="J152" s="22" t="s">
        <v>61</v>
      </c>
      <c r="K152" s="22" t="s">
        <v>1490</v>
      </c>
      <c r="L152" s="22" t="s">
        <v>62</v>
      </c>
      <c r="M152" s="22" t="s">
        <v>557</v>
      </c>
      <c r="N152" s="22" t="s">
        <v>1491</v>
      </c>
      <c r="O152" s="22" t="s">
        <v>1492</v>
      </c>
      <c r="P152" s="22" t="s">
        <v>1493</v>
      </c>
      <c r="Q152" s="22"/>
      <c r="R152" s="22" t="s">
        <v>1494</v>
      </c>
      <c r="S152" s="22" t="s">
        <v>61</v>
      </c>
      <c r="T152" s="22"/>
      <c r="U152" s="22" t="s">
        <v>1495</v>
      </c>
      <c r="V152" s="22" t="s">
        <v>70</v>
      </c>
      <c r="W152" s="22" t="s">
        <v>71</v>
      </c>
      <c r="X152" s="25" t="n">
        <v>43497</v>
      </c>
      <c r="Y152" s="25" t="n">
        <v>45261</v>
      </c>
      <c r="Z152" s="22" t="s">
        <v>72</v>
      </c>
      <c r="AA152" s="22" t="s">
        <v>91</v>
      </c>
      <c r="AB152" s="22" t="s">
        <v>74</v>
      </c>
      <c r="AC152" s="22"/>
      <c r="AD152" s="22" t="n">
        <v>0</v>
      </c>
      <c r="AE152" s="22"/>
      <c r="AF152" s="22"/>
      <c r="AG152" s="22" t="s">
        <v>75</v>
      </c>
      <c r="AH152" s="22"/>
      <c r="AI152" s="22" t="n">
        <v>10</v>
      </c>
      <c r="AJ152" s="22" t="n">
        <v>30</v>
      </c>
      <c r="AK152" s="22" t="s">
        <v>61</v>
      </c>
      <c r="AL152" s="26" t="n">
        <v>36696</v>
      </c>
      <c r="AM152" s="26" t="n">
        <v>45002.8137756481</v>
      </c>
      <c r="AN152" s="25" t="n">
        <v>45002.8195833333</v>
      </c>
      <c r="AO152" s="22" t="n">
        <v>9</v>
      </c>
      <c r="AP152" s="22" t="n">
        <v>40</v>
      </c>
      <c r="AQ152" s="22" t="s">
        <v>0</v>
      </c>
      <c r="AR152" s="36" t="s">
        <v>470</v>
      </c>
      <c r="AS152" s="27" t="s">
        <v>78</v>
      </c>
      <c r="AT152" s="27"/>
      <c r="AU152" s="27"/>
      <c r="AV152" s="27"/>
      <c r="AW152" s="27"/>
      <c r="AX152" s="27"/>
      <c r="AY152" s="27"/>
    </row>
    <row r="153" customFormat="false" ht="15.75" hidden="false" customHeight="true" outlineLevel="0" collapsed="false">
      <c r="A153" s="22" t="n">
        <v>149</v>
      </c>
      <c r="B153" s="23" t="s">
        <v>1496</v>
      </c>
      <c r="C153" s="22" t="s">
        <v>1497</v>
      </c>
      <c r="D153" s="22" t="s">
        <v>1498</v>
      </c>
      <c r="E153" s="22" t="s">
        <v>57</v>
      </c>
      <c r="F153" s="22" t="s">
        <v>107</v>
      </c>
      <c r="G153" s="22" t="s">
        <v>59</v>
      </c>
      <c r="H153" s="22" t="s">
        <v>96</v>
      </c>
      <c r="I153" s="22"/>
      <c r="J153" s="22" t="s">
        <v>61</v>
      </c>
      <c r="K153" s="22" t="s">
        <v>1499</v>
      </c>
      <c r="L153" s="22" t="s">
        <v>580</v>
      </c>
      <c r="M153" s="22" t="s">
        <v>581</v>
      </c>
      <c r="N153" s="22" t="s">
        <v>1500</v>
      </c>
      <c r="O153" s="22" t="s">
        <v>1501</v>
      </c>
      <c r="P153" s="22" t="s">
        <v>1502</v>
      </c>
      <c r="Q153" s="22"/>
      <c r="R153" s="22" t="s">
        <v>1503</v>
      </c>
      <c r="S153" s="22" t="s">
        <v>61</v>
      </c>
      <c r="T153" s="22"/>
      <c r="U153" s="22" t="s">
        <v>1504</v>
      </c>
      <c r="V153" s="22" t="s">
        <v>70</v>
      </c>
      <c r="W153" s="22" t="s">
        <v>71</v>
      </c>
      <c r="X153" s="25" t="n">
        <v>43525</v>
      </c>
      <c r="Y153" s="25" t="n">
        <v>45261</v>
      </c>
      <c r="Z153" s="22" t="s">
        <v>72</v>
      </c>
      <c r="AA153" s="22" t="s">
        <v>149</v>
      </c>
      <c r="AB153" s="22" t="s">
        <v>74</v>
      </c>
      <c r="AC153" s="22"/>
      <c r="AD153" s="22" t="n">
        <v>0</v>
      </c>
      <c r="AE153" s="22"/>
      <c r="AF153" s="22"/>
      <c r="AG153" s="22" t="s">
        <v>75</v>
      </c>
      <c r="AH153" s="22"/>
      <c r="AI153" s="22" t="n">
        <v>10</v>
      </c>
      <c r="AJ153" s="22" t="n">
        <v>30</v>
      </c>
      <c r="AK153" s="22" t="s">
        <v>61</v>
      </c>
      <c r="AL153" s="26" t="n">
        <v>36717</v>
      </c>
      <c r="AM153" s="26" t="n">
        <v>45000.4127985995</v>
      </c>
      <c r="AN153" s="25" t="n">
        <v>45000.4141550926</v>
      </c>
      <c r="AO153" s="22" t="n">
        <v>9</v>
      </c>
      <c r="AP153" s="22" t="n">
        <v>40</v>
      </c>
      <c r="AQ153" s="22" t="s">
        <v>1</v>
      </c>
      <c r="AR153" s="37" t="s">
        <v>1007</v>
      </c>
      <c r="AS153" s="27" t="s">
        <v>206</v>
      </c>
      <c r="AT153" s="27" t="s">
        <v>1137</v>
      </c>
      <c r="AU153" s="27"/>
      <c r="AV153" s="27"/>
      <c r="AW153" s="27"/>
      <c r="AX153" s="27"/>
      <c r="AY153" s="27"/>
    </row>
    <row r="154" customFormat="false" ht="15.75" hidden="false" customHeight="true" outlineLevel="0" collapsed="false">
      <c r="A154" s="22" t="n">
        <v>150</v>
      </c>
      <c r="B154" s="23" t="s">
        <v>1505</v>
      </c>
      <c r="C154" s="22" t="s">
        <v>1506</v>
      </c>
      <c r="D154" s="22" t="s">
        <v>1507</v>
      </c>
      <c r="E154" s="22" t="s">
        <v>81</v>
      </c>
      <c r="F154" s="22" t="s">
        <v>107</v>
      </c>
      <c r="G154" s="22" t="s">
        <v>59</v>
      </c>
      <c r="H154" s="22" t="s">
        <v>60</v>
      </c>
      <c r="I154" s="22"/>
      <c r="J154" s="22" t="s">
        <v>61</v>
      </c>
      <c r="K154" s="22" t="s">
        <v>1508</v>
      </c>
      <c r="L154" s="22" t="s">
        <v>62</v>
      </c>
      <c r="M154" s="22" t="s">
        <v>365</v>
      </c>
      <c r="N154" s="22" t="s">
        <v>1509</v>
      </c>
      <c r="O154" s="22" t="s">
        <v>1510</v>
      </c>
      <c r="P154" s="22" t="s">
        <v>1511</v>
      </c>
      <c r="Q154" s="22"/>
      <c r="R154" s="22" t="s">
        <v>1512</v>
      </c>
      <c r="S154" s="22" t="s">
        <v>61</v>
      </c>
      <c r="T154" s="22"/>
      <c r="U154" s="22" t="s">
        <v>204</v>
      </c>
      <c r="V154" s="22" t="s">
        <v>70</v>
      </c>
      <c r="W154" s="22" t="s">
        <v>71</v>
      </c>
      <c r="X154" s="25" t="n">
        <v>43497</v>
      </c>
      <c r="Y154" s="25" t="n">
        <v>45231</v>
      </c>
      <c r="Z154" s="22" t="s">
        <v>72</v>
      </c>
      <c r="AA154" s="22" t="s">
        <v>149</v>
      </c>
      <c r="AB154" s="22" t="s">
        <v>74</v>
      </c>
      <c r="AC154" s="22"/>
      <c r="AD154" s="22" t="n">
        <v>0</v>
      </c>
      <c r="AE154" s="22"/>
      <c r="AF154" s="22"/>
      <c r="AG154" s="22" t="s">
        <v>75</v>
      </c>
      <c r="AH154" s="22"/>
      <c r="AI154" s="22" t="n">
        <v>10</v>
      </c>
      <c r="AJ154" s="22" t="n">
        <v>30</v>
      </c>
      <c r="AK154" s="22" t="s">
        <v>61</v>
      </c>
      <c r="AL154" s="26" t="n">
        <v>36725</v>
      </c>
      <c r="AM154" s="26" t="n">
        <v>45005.7442666898</v>
      </c>
      <c r="AN154" s="25" t="n">
        <v>45005.7503009259</v>
      </c>
      <c r="AO154" s="22" t="n">
        <v>9</v>
      </c>
      <c r="AP154" s="22" t="n">
        <v>40</v>
      </c>
      <c r="AQ154" s="22" t="s">
        <v>0</v>
      </c>
      <c r="AR154" s="36" t="s">
        <v>470</v>
      </c>
      <c r="AS154" s="27" t="s">
        <v>78</v>
      </c>
      <c r="AT154" s="27"/>
      <c r="AU154" s="27"/>
      <c r="AV154" s="27"/>
      <c r="AW154" s="27"/>
      <c r="AX154" s="27"/>
      <c r="AY154" s="27"/>
    </row>
    <row r="155" customFormat="false" ht="15.75" hidden="false" customHeight="true" outlineLevel="0" collapsed="false">
      <c r="A155" s="22" t="n">
        <v>151</v>
      </c>
      <c r="B155" s="23" t="s">
        <v>1513</v>
      </c>
      <c r="C155" s="22" t="s">
        <v>1514</v>
      </c>
      <c r="D155" s="22" t="s">
        <v>1515</v>
      </c>
      <c r="E155" s="22" t="s">
        <v>81</v>
      </c>
      <c r="F155" s="22" t="s">
        <v>107</v>
      </c>
      <c r="G155" s="22" t="s">
        <v>59</v>
      </c>
      <c r="H155" s="22" t="s">
        <v>327</v>
      </c>
      <c r="I155" s="22"/>
      <c r="J155" s="22" t="s">
        <v>61</v>
      </c>
      <c r="K155" s="22" t="s">
        <v>1516</v>
      </c>
      <c r="L155" s="22" t="s">
        <v>62</v>
      </c>
      <c r="M155" s="22" t="s">
        <v>63</v>
      </c>
      <c r="N155" s="22" t="s">
        <v>1517</v>
      </c>
      <c r="O155" s="22" t="s">
        <v>1518</v>
      </c>
      <c r="P155" s="22" t="s">
        <v>1519</v>
      </c>
      <c r="Q155" s="22" t="s">
        <v>1520</v>
      </c>
      <c r="R155" s="22" t="s">
        <v>1521</v>
      </c>
      <c r="S155" s="22" t="s">
        <v>61</v>
      </c>
      <c r="T155" s="22"/>
      <c r="U155" s="22" t="s">
        <v>125</v>
      </c>
      <c r="V155" s="22" t="s">
        <v>70</v>
      </c>
      <c r="W155" s="22" t="s">
        <v>71</v>
      </c>
      <c r="X155" s="25" t="n">
        <v>43132</v>
      </c>
      <c r="Y155" s="25" t="n">
        <v>45231</v>
      </c>
      <c r="Z155" s="22" t="s">
        <v>72</v>
      </c>
      <c r="AA155" s="22" t="s">
        <v>91</v>
      </c>
      <c r="AB155" s="22" t="s">
        <v>74</v>
      </c>
      <c r="AC155" s="22"/>
      <c r="AD155" s="22" t="n">
        <v>0</v>
      </c>
      <c r="AE155" s="22"/>
      <c r="AF155" s="22"/>
      <c r="AG155" s="22" t="s">
        <v>75</v>
      </c>
      <c r="AH155" s="22"/>
      <c r="AI155" s="22" t="n">
        <v>10</v>
      </c>
      <c r="AJ155" s="22" t="n">
        <v>30</v>
      </c>
      <c r="AK155" s="22" t="s">
        <v>61</v>
      </c>
      <c r="AL155" s="26" t="n">
        <v>36736</v>
      </c>
      <c r="AM155" s="26" t="n">
        <v>45008.6789977431</v>
      </c>
      <c r="AN155" s="25" t="n">
        <v>45008.6799537037</v>
      </c>
      <c r="AO155" s="22" t="n">
        <v>9</v>
      </c>
      <c r="AP155" s="22" t="n">
        <v>40</v>
      </c>
      <c r="AQ155" s="22" t="s">
        <v>1</v>
      </c>
      <c r="AR155" s="37" t="s">
        <v>470</v>
      </c>
      <c r="AS155" s="27" t="s">
        <v>206</v>
      </c>
      <c r="AT155" s="27" t="s">
        <v>1137</v>
      </c>
      <c r="AU155" s="27"/>
      <c r="AV155" s="27"/>
      <c r="AW155" s="27"/>
      <c r="AX155" s="27"/>
      <c r="AY155" s="27"/>
    </row>
    <row r="156" customFormat="false" ht="15.75" hidden="false" customHeight="true" outlineLevel="0" collapsed="false">
      <c r="A156" s="22" t="n">
        <v>152</v>
      </c>
      <c r="B156" s="23" t="s">
        <v>1522</v>
      </c>
      <c r="C156" s="22" t="s">
        <v>1523</v>
      </c>
      <c r="D156" s="22" t="s">
        <v>1524</v>
      </c>
      <c r="E156" s="22" t="s">
        <v>81</v>
      </c>
      <c r="F156" s="22" t="s">
        <v>107</v>
      </c>
      <c r="G156" s="22" t="s">
        <v>59</v>
      </c>
      <c r="H156" s="22" t="s">
        <v>96</v>
      </c>
      <c r="I156" s="22"/>
      <c r="J156" s="22" t="s">
        <v>61</v>
      </c>
      <c r="K156" s="22" t="s">
        <v>1525</v>
      </c>
      <c r="L156" s="22" t="s">
        <v>62</v>
      </c>
      <c r="M156" s="22" t="s">
        <v>1526</v>
      </c>
      <c r="N156" s="22" t="s">
        <v>1527</v>
      </c>
      <c r="O156" s="22" t="s">
        <v>1528</v>
      </c>
      <c r="P156" s="22" t="s">
        <v>1529</v>
      </c>
      <c r="Q156" s="22" t="s">
        <v>1530</v>
      </c>
      <c r="R156" s="22" t="s">
        <v>1531</v>
      </c>
      <c r="S156" s="22" t="s">
        <v>61</v>
      </c>
      <c r="T156" s="22"/>
      <c r="U156" s="22" t="s">
        <v>281</v>
      </c>
      <c r="V156" s="22" t="s">
        <v>70</v>
      </c>
      <c r="W156" s="22" t="s">
        <v>71</v>
      </c>
      <c r="X156" s="25" t="n">
        <v>43466</v>
      </c>
      <c r="Y156" s="25" t="n">
        <v>45627</v>
      </c>
      <c r="Z156" s="22" t="s">
        <v>72</v>
      </c>
      <c r="AA156" s="22" t="s">
        <v>91</v>
      </c>
      <c r="AB156" s="22" t="s">
        <v>74</v>
      </c>
      <c r="AC156" s="22"/>
      <c r="AD156" s="22" t="n">
        <v>0</v>
      </c>
      <c r="AE156" s="22"/>
      <c r="AF156" s="22"/>
      <c r="AG156" s="22" t="s">
        <v>75</v>
      </c>
      <c r="AH156" s="22"/>
      <c r="AI156" s="22" t="n">
        <v>10</v>
      </c>
      <c r="AJ156" s="22" t="n">
        <v>30</v>
      </c>
      <c r="AK156" s="22" t="s">
        <v>61</v>
      </c>
      <c r="AL156" s="26" t="n">
        <v>36748</v>
      </c>
      <c r="AM156" s="26" t="n">
        <v>45000.621715</v>
      </c>
      <c r="AN156" s="25" t="n">
        <v>45003.9012615741</v>
      </c>
      <c r="AO156" s="22" t="n">
        <v>7</v>
      </c>
      <c r="AP156" s="22" t="n">
        <v>40</v>
      </c>
      <c r="AQ156" s="22" t="s">
        <v>0</v>
      </c>
      <c r="AR156" s="27" t="s">
        <v>401</v>
      </c>
      <c r="AS156" s="27" t="s">
        <v>78</v>
      </c>
      <c r="AT156" s="27"/>
      <c r="AU156" s="27"/>
      <c r="AV156" s="27"/>
      <c r="AW156" s="27"/>
      <c r="AX156" s="27"/>
      <c r="AY156" s="27"/>
    </row>
    <row r="157" customFormat="false" ht="15.75" hidden="false" customHeight="true" outlineLevel="0" collapsed="false">
      <c r="A157" s="22" t="n">
        <v>153</v>
      </c>
      <c r="B157" s="23" t="s">
        <v>1532</v>
      </c>
      <c r="C157" s="22" t="s">
        <v>1533</v>
      </c>
      <c r="D157" s="22" t="s">
        <v>1534</v>
      </c>
      <c r="E157" s="22" t="s">
        <v>81</v>
      </c>
      <c r="F157" s="22" t="s">
        <v>107</v>
      </c>
      <c r="G157" s="22" t="s">
        <v>59</v>
      </c>
      <c r="H157" s="22" t="s">
        <v>96</v>
      </c>
      <c r="I157" s="22"/>
      <c r="J157" s="22" t="s">
        <v>61</v>
      </c>
      <c r="K157" s="22" t="s">
        <v>1535</v>
      </c>
      <c r="L157" s="22" t="s">
        <v>62</v>
      </c>
      <c r="M157" s="22" t="s">
        <v>84</v>
      </c>
      <c r="N157" s="22" t="s">
        <v>1536</v>
      </c>
      <c r="O157" s="22" t="s">
        <v>530</v>
      </c>
      <c r="P157" s="22" t="s">
        <v>1537</v>
      </c>
      <c r="Q157" s="22"/>
      <c r="R157" s="22" t="s">
        <v>1538</v>
      </c>
      <c r="S157" s="22" t="s">
        <v>61</v>
      </c>
      <c r="T157" s="22"/>
      <c r="U157" s="22" t="s">
        <v>1539</v>
      </c>
      <c r="V157" s="22" t="s">
        <v>70</v>
      </c>
      <c r="W157" s="22" t="s">
        <v>71</v>
      </c>
      <c r="X157" s="25" t="n">
        <v>44593</v>
      </c>
      <c r="Y157" s="25" t="n">
        <v>46539</v>
      </c>
      <c r="Z157" s="22" t="s">
        <v>72</v>
      </c>
      <c r="AA157" s="22" t="s">
        <v>91</v>
      </c>
      <c r="AB157" s="22" t="s">
        <v>74</v>
      </c>
      <c r="AC157" s="22"/>
      <c r="AD157" s="22" t="n">
        <v>0</v>
      </c>
      <c r="AE157" s="22"/>
      <c r="AF157" s="22"/>
      <c r="AG157" s="22" t="s">
        <v>75</v>
      </c>
      <c r="AH157" s="22"/>
      <c r="AI157" s="22" t="n">
        <v>10</v>
      </c>
      <c r="AJ157" s="22" t="n">
        <v>30</v>
      </c>
      <c r="AK157" s="22" t="s">
        <v>61</v>
      </c>
      <c r="AL157" s="26" t="n">
        <v>36759</v>
      </c>
      <c r="AM157" s="26" t="n">
        <v>45007.5621225463</v>
      </c>
      <c r="AN157" s="25" t="n">
        <v>45007.5673032407</v>
      </c>
      <c r="AO157" s="22" t="n">
        <v>5</v>
      </c>
      <c r="AP157" s="22" t="n">
        <v>40</v>
      </c>
      <c r="AQ157" s="22" t="s">
        <v>1</v>
      </c>
      <c r="AR157" s="27" t="s">
        <v>401</v>
      </c>
      <c r="AS157" s="27" t="s">
        <v>443</v>
      </c>
      <c r="AT157" s="27" t="s">
        <v>1137</v>
      </c>
      <c r="AU157" s="27"/>
      <c r="AV157" s="27"/>
      <c r="AW157" s="27"/>
      <c r="AX157" s="27"/>
      <c r="AY157" s="27"/>
    </row>
    <row r="158" customFormat="false" ht="15.75" hidden="false" customHeight="true" outlineLevel="0" collapsed="false">
      <c r="A158" s="22" t="n">
        <v>154</v>
      </c>
      <c r="B158" s="23" t="s">
        <v>1540</v>
      </c>
      <c r="C158" s="22" t="s">
        <v>1541</v>
      </c>
      <c r="D158" s="22" t="s">
        <v>1542</v>
      </c>
      <c r="E158" s="22" t="s">
        <v>81</v>
      </c>
      <c r="F158" s="22" t="s">
        <v>107</v>
      </c>
      <c r="G158" s="22" t="s">
        <v>59</v>
      </c>
      <c r="H158" s="22" t="s">
        <v>60</v>
      </c>
      <c r="I158" s="22"/>
      <c r="J158" s="22" t="s">
        <v>61</v>
      </c>
      <c r="K158" s="22" t="s">
        <v>1543</v>
      </c>
      <c r="L158" s="22" t="s">
        <v>62</v>
      </c>
      <c r="M158" s="22" t="s">
        <v>84</v>
      </c>
      <c r="N158" s="22" t="s">
        <v>1544</v>
      </c>
      <c r="O158" s="22" t="s">
        <v>1545</v>
      </c>
      <c r="P158" s="22" t="s">
        <v>1546</v>
      </c>
      <c r="Q158" s="22"/>
      <c r="R158" s="22" t="s">
        <v>1547</v>
      </c>
      <c r="S158" s="22" t="s">
        <v>61</v>
      </c>
      <c r="T158" s="22"/>
      <c r="U158" s="22" t="s">
        <v>1548</v>
      </c>
      <c r="V158" s="22" t="s">
        <v>70</v>
      </c>
      <c r="W158" s="22" t="s">
        <v>71</v>
      </c>
      <c r="X158" s="25" t="n">
        <v>43862</v>
      </c>
      <c r="Y158" s="25" t="n">
        <v>45627</v>
      </c>
      <c r="Z158" s="22" t="s">
        <v>72</v>
      </c>
      <c r="AA158" s="22" t="s">
        <v>91</v>
      </c>
      <c r="AB158" s="22" t="s">
        <v>74</v>
      </c>
      <c r="AC158" s="22"/>
      <c r="AD158" s="22" t="n">
        <v>0</v>
      </c>
      <c r="AE158" s="22"/>
      <c r="AF158" s="22"/>
      <c r="AG158" s="22" t="s">
        <v>75</v>
      </c>
      <c r="AH158" s="22"/>
      <c r="AI158" s="22" t="n">
        <v>10</v>
      </c>
      <c r="AJ158" s="22" t="n">
        <v>30</v>
      </c>
      <c r="AK158" s="22" t="s">
        <v>61</v>
      </c>
      <c r="AL158" s="26" t="n">
        <v>36772</v>
      </c>
      <c r="AM158" s="26" t="n">
        <v>45000.794232338</v>
      </c>
      <c r="AN158" s="25" t="n">
        <v>45006.8715046296</v>
      </c>
      <c r="AO158" s="22" t="n">
        <v>7</v>
      </c>
      <c r="AP158" s="22" t="n">
        <v>40</v>
      </c>
      <c r="AQ158" s="22" t="s">
        <v>1</v>
      </c>
      <c r="AR158" s="34" t="s">
        <v>401</v>
      </c>
      <c r="AS158" s="27" t="s">
        <v>206</v>
      </c>
      <c r="AT158" s="27" t="s">
        <v>1137</v>
      </c>
      <c r="AU158" s="27"/>
      <c r="AV158" s="27"/>
      <c r="AW158" s="27"/>
      <c r="AX158" s="27"/>
      <c r="AY158" s="27"/>
    </row>
    <row r="159" customFormat="false" ht="15.75" hidden="false" customHeight="true" outlineLevel="0" collapsed="false">
      <c r="A159" s="22" t="n">
        <v>155</v>
      </c>
      <c r="B159" s="23" t="s">
        <v>1549</v>
      </c>
      <c r="C159" s="22" t="s">
        <v>1550</v>
      </c>
      <c r="D159" s="22" t="s">
        <v>1551</v>
      </c>
      <c r="E159" s="22" t="s">
        <v>57</v>
      </c>
      <c r="F159" s="22" t="s">
        <v>107</v>
      </c>
      <c r="G159" s="22" t="s">
        <v>59</v>
      </c>
      <c r="H159" s="22" t="s">
        <v>96</v>
      </c>
      <c r="I159" s="22"/>
      <c r="J159" s="22" t="s">
        <v>61</v>
      </c>
      <c r="K159" s="22" t="s">
        <v>1349</v>
      </c>
      <c r="L159" s="22" t="s">
        <v>62</v>
      </c>
      <c r="M159" s="22" t="s">
        <v>1350</v>
      </c>
      <c r="N159" s="22" t="s">
        <v>1552</v>
      </c>
      <c r="O159" s="22" t="s">
        <v>1553</v>
      </c>
      <c r="P159" s="22" t="s">
        <v>1554</v>
      </c>
      <c r="Q159" s="22" t="s">
        <v>1555</v>
      </c>
      <c r="R159" s="22" t="s">
        <v>1556</v>
      </c>
      <c r="S159" s="22" t="s">
        <v>61</v>
      </c>
      <c r="T159" s="22"/>
      <c r="U159" s="22" t="s">
        <v>1557</v>
      </c>
      <c r="V159" s="22" t="s">
        <v>70</v>
      </c>
      <c r="W159" s="22" t="s">
        <v>71</v>
      </c>
      <c r="X159" s="25" t="n">
        <v>43556</v>
      </c>
      <c r="Y159" s="25" t="n">
        <v>45627</v>
      </c>
      <c r="Z159" s="22" t="s">
        <v>72</v>
      </c>
      <c r="AA159" s="22" t="s">
        <v>91</v>
      </c>
      <c r="AB159" s="22" t="s">
        <v>74</v>
      </c>
      <c r="AC159" s="22"/>
      <c r="AD159" s="22" t="n">
        <v>0</v>
      </c>
      <c r="AE159" s="22"/>
      <c r="AF159" s="22"/>
      <c r="AG159" s="22" t="s">
        <v>75</v>
      </c>
      <c r="AH159" s="22"/>
      <c r="AI159" s="22" t="n">
        <v>10</v>
      </c>
      <c r="AJ159" s="22" t="n">
        <v>30</v>
      </c>
      <c r="AK159" s="22" t="s">
        <v>61</v>
      </c>
      <c r="AL159" s="26" t="n">
        <v>36779</v>
      </c>
      <c r="AM159" s="26" t="n">
        <v>45001.6834042014</v>
      </c>
      <c r="AN159" s="25" t="n">
        <v>45001.6842476852</v>
      </c>
      <c r="AO159" s="22" t="n">
        <v>7</v>
      </c>
      <c r="AP159" s="22" t="n">
        <v>40</v>
      </c>
      <c r="AQ159" s="22" t="s">
        <v>1</v>
      </c>
      <c r="AR159" s="34" t="s">
        <v>401</v>
      </c>
      <c r="AS159" s="27" t="s">
        <v>206</v>
      </c>
      <c r="AT159" s="27" t="s">
        <v>1137</v>
      </c>
      <c r="AU159" s="27"/>
      <c r="AV159" s="27"/>
      <c r="AW159" s="27"/>
      <c r="AX159" s="27"/>
      <c r="AY159" s="27"/>
    </row>
    <row r="160" customFormat="false" ht="15.75" hidden="false" customHeight="true" outlineLevel="0" collapsed="false">
      <c r="A160" s="22" t="n">
        <v>156</v>
      </c>
      <c r="B160" s="23" t="s">
        <v>1558</v>
      </c>
      <c r="C160" s="22" t="s">
        <v>1559</v>
      </c>
      <c r="D160" s="22" t="s">
        <v>1560</v>
      </c>
      <c r="E160" s="22" t="s">
        <v>81</v>
      </c>
      <c r="F160" s="22" t="s">
        <v>107</v>
      </c>
      <c r="G160" s="22" t="s">
        <v>59</v>
      </c>
      <c r="H160" s="22" t="s">
        <v>60</v>
      </c>
      <c r="I160" s="22"/>
      <c r="J160" s="22" t="s">
        <v>61</v>
      </c>
      <c r="K160" s="22" t="s">
        <v>1561</v>
      </c>
      <c r="L160" s="22" t="s">
        <v>62</v>
      </c>
      <c r="M160" s="22" t="s">
        <v>84</v>
      </c>
      <c r="N160" s="22" t="s">
        <v>1562</v>
      </c>
      <c r="O160" s="22" t="s">
        <v>159</v>
      </c>
      <c r="P160" s="22" t="s">
        <v>1563</v>
      </c>
      <c r="Q160" s="22"/>
      <c r="R160" s="22" t="s">
        <v>1564</v>
      </c>
      <c r="S160" s="22" t="s">
        <v>61</v>
      </c>
      <c r="T160" s="22"/>
      <c r="U160" s="22" t="s">
        <v>1284</v>
      </c>
      <c r="V160" s="22" t="s">
        <v>70</v>
      </c>
      <c r="W160" s="22" t="s">
        <v>71</v>
      </c>
      <c r="X160" s="25" t="n">
        <v>43466</v>
      </c>
      <c r="Y160" s="25" t="n">
        <v>45261</v>
      </c>
      <c r="Z160" s="22" t="s">
        <v>72</v>
      </c>
      <c r="AA160" s="22" t="s">
        <v>149</v>
      </c>
      <c r="AB160" s="22" t="s">
        <v>74</v>
      </c>
      <c r="AC160" s="22"/>
      <c r="AD160" s="22" t="n">
        <v>0</v>
      </c>
      <c r="AE160" s="22"/>
      <c r="AF160" s="22"/>
      <c r="AG160" s="22" t="s">
        <v>75</v>
      </c>
      <c r="AH160" s="22"/>
      <c r="AI160" s="22" t="n">
        <v>10</v>
      </c>
      <c r="AJ160" s="22" t="n">
        <v>30</v>
      </c>
      <c r="AK160" s="22" t="s">
        <v>76</v>
      </c>
      <c r="AL160" s="26" t="n">
        <v>36793</v>
      </c>
      <c r="AM160" s="26" t="n">
        <v>45003.8632999769</v>
      </c>
      <c r="AN160" s="25" t="n">
        <v>45005.4294791667</v>
      </c>
      <c r="AO160" s="22" t="n">
        <v>9</v>
      </c>
      <c r="AP160" s="22" t="n">
        <v>40</v>
      </c>
      <c r="AQ160" s="22" t="s">
        <v>0</v>
      </c>
      <c r="AR160" s="27" t="s">
        <v>401</v>
      </c>
      <c r="AS160" s="27" t="s">
        <v>78</v>
      </c>
      <c r="AT160" s="27"/>
      <c r="AU160" s="27"/>
      <c r="AV160" s="27"/>
      <c r="AW160" s="27"/>
      <c r="AX160" s="27"/>
      <c r="AY160" s="27"/>
    </row>
    <row r="161" customFormat="false" ht="15.75" hidden="false" customHeight="true" outlineLevel="0" collapsed="false">
      <c r="A161" s="22" t="n">
        <v>157</v>
      </c>
      <c r="B161" s="23" t="s">
        <v>1565</v>
      </c>
      <c r="C161" s="22" t="s">
        <v>1566</v>
      </c>
      <c r="D161" s="22" t="s">
        <v>1567</v>
      </c>
      <c r="E161" s="22" t="s">
        <v>81</v>
      </c>
      <c r="F161" s="22" t="s">
        <v>107</v>
      </c>
      <c r="G161" s="22" t="s">
        <v>59</v>
      </c>
      <c r="H161" s="22" t="s">
        <v>60</v>
      </c>
      <c r="I161" s="22"/>
      <c r="J161" s="22" t="s">
        <v>61</v>
      </c>
      <c r="K161" s="22" t="s">
        <v>1568</v>
      </c>
      <c r="L161" s="22" t="s">
        <v>62</v>
      </c>
      <c r="M161" s="22" t="s">
        <v>84</v>
      </c>
      <c r="N161" s="22" t="s">
        <v>1569</v>
      </c>
      <c r="O161" s="22" t="s">
        <v>1570</v>
      </c>
      <c r="P161" s="22" t="s">
        <v>1571</v>
      </c>
      <c r="Q161" s="22" t="s">
        <v>1572</v>
      </c>
      <c r="R161" s="22" t="s">
        <v>1573</v>
      </c>
      <c r="S161" s="22" t="s">
        <v>61</v>
      </c>
      <c r="T161" s="22"/>
      <c r="U161" s="22" t="s">
        <v>1574</v>
      </c>
      <c r="V161" s="22" t="s">
        <v>70</v>
      </c>
      <c r="W161" s="22" t="s">
        <v>71</v>
      </c>
      <c r="X161" s="25" t="n">
        <v>44197</v>
      </c>
      <c r="Y161" s="25" t="n">
        <v>45992</v>
      </c>
      <c r="Z161" s="22" t="s">
        <v>72</v>
      </c>
      <c r="AA161" s="22" t="s">
        <v>149</v>
      </c>
      <c r="AB161" s="22" t="s">
        <v>74</v>
      </c>
      <c r="AC161" s="22"/>
      <c r="AD161" s="22" t="n">
        <v>0</v>
      </c>
      <c r="AE161" s="22"/>
      <c r="AF161" s="22"/>
      <c r="AG161" s="22" t="s">
        <v>75</v>
      </c>
      <c r="AH161" s="22"/>
      <c r="AI161" s="22" t="n">
        <v>10</v>
      </c>
      <c r="AJ161" s="22" t="n">
        <v>30</v>
      </c>
      <c r="AK161" s="22" t="s">
        <v>61</v>
      </c>
      <c r="AL161" s="26" t="n">
        <v>36800</v>
      </c>
      <c r="AM161" s="26" t="n">
        <v>45000.7107792824</v>
      </c>
      <c r="AN161" s="25" t="n">
        <v>45000.7126388889</v>
      </c>
      <c r="AO161" s="22" t="n">
        <v>5</v>
      </c>
      <c r="AP161" s="22" t="n">
        <v>40</v>
      </c>
      <c r="AQ161" s="22" t="s">
        <v>0</v>
      </c>
      <c r="AR161" s="27" t="s">
        <v>401</v>
      </c>
      <c r="AS161" s="27" t="s">
        <v>78</v>
      </c>
      <c r="AT161" s="27"/>
      <c r="AU161" s="27"/>
      <c r="AV161" s="27"/>
      <c r="AW161" s="27"/>
      <c r="AX161" s="27"/>
      <c r="AY161" s="27"/>
    </row>
    <row r="162" customFormat="false" ht="15.75" hidden="false" customHeight="true" outlineLevel="0" collapsed="false">
      <c r="A162" s="22" t="n">
        <v>158</v>
      </c>
      <c r="B162" s="23" t="s">
        <v>1575</v>
      </c>
      <c r="C162" s="22" t="s">
        <v>1576</v>
      </c>
      <c r="D162" s="22" t="s">
        <v>1577</v>
      </c>
      <c r="E162" s="22" t="s">
        <v>81</v>
      </c>
      <c r="F162" s="22" t="s">
        <v>107</v>
      </c>
      <c r="G162" s="22" t="s">
        <v>59</v>
      </c>
      <c r="H162" s="22" t="s">
        <v>96</v>
      </c>
      <c r="I162" s="22"/>
      <c r="J162" s="22" t="s">
        <v>61</v>
      </c>
      <c r="K162" s="22" t="s">
        <v>1578</v>
      </c>
      <c r="L162" s="22" t="s">
        <v>62</v>
      </c>
      <c r="M162" s="22" t="s">
        <v>84</v>
      </c>
      <c r="N162" s="22" t="s">
        <v>1579</v>
      </c>
      <c r="O162" s="22" t="s">
        <v>1580</v>
      </c>
      <c r="P162" s="22" t="s">
        <v>1581</v>
      </c>
      <c r="Q162" s="22"/>
      <c r="R162" s="22" t="s">
        <v>1582</v>
      </c>
      <c r="S162" s="22" t="s">
        <v>61</v>
      </c>
      <c r="T162" s="22"/>
      <c r="U162" s="22" t="s">
        <v>281</v>
      </c>
      <c r="V162" s="22" t="s">
        <v>70</v>
      </c>
      <c r="W162" s="22" t="s">
        <v>71</v>
      </c>
      <c r="X162" s="25" t="n">
        <v>43497</v>
      </c>
      <c r="Y162" s="25" t="n">
        <v>45627</v>
      </c>
      <c r="Z162" s="22" t="s">
        <v>72</v>
      </c>
      <c r="AA162" s="22" t="s">
        <v>149</v>
      </c>
      <c r="AB162" s="22" t="s">
        <v>74</v>
      </c>
      <c r="AC162" s="22"/>
      <c r="AD162" s="22" t="n">
        <v>0</v>
      </c>
      <c r="AE162" s="22"/>
      <c r="AF162" s="22"/>
      <c r="AG162" s="22" t="s">
        <v>75</v>
      </c>
      <c r="AH162" s="22"/>
      <c r="AI162" s="22" t="n">
        <v>10</v>
      </c>
      <c r="AJ162" s="22" t="n">
        <v>30</v>
      </c>
      <c r="AK162" s="22" t="s">
        <v>76</v>
      </c>
      <c r="AL162" s="26" t="n">
        <v>36800</v>
      </c>
      <c r="AM162" s="26" t="n">
        <v>45006.8837295139</v>
      </c>
      <c r="AN162" s="25" t="n">
        <v>45006.8848726852</v>
      </c>
      <c r="AO162" s="22" t="n">
        <v>7</v>
      </c>
      <c r="AP162" s="22" t="n">
        <v>40</v>
      </c>
      <c r="AQ162" s="22" t="s">
        <v>0</v>
      </c>
      <c r="AR162" s="27" t="s">
        <v>401</v>
      </c>
      <c r="AS162" s="27" t="s">
        <v>78</v>
      </c>
      <c r="AT162" s="27"/>
      <c r="AU162" s="27"/>
      <c r="AV162" s="27"/>
      <c r="AW162" s="27"/>
      <c r="AX162" s="27"/>
      <c r="AY162" s="27"/>
    </row>
    <row r="163" customFormat="false" ht="15.75" hidden="false" customHeight="true" outlineLevel="0" collapsed="false">
      <c r="A163" s="22" t="n">
        <v>159</v>
      </c>
      <c r="B163" s="23" t="s">
        <v>1583</v>
      </c>
      <c r="C163" s="22" t="s">
        <v>1584</v>
      </c>
      <c r="D163" s="22" t="s">
        <v>1585</v>
      </c>
      <c r="E163" s="22" t="s">
        <v>57</v>
      </c>
      <c r="F163" s="22" t="s">
        <v>107</v>
      </c>
      <c r="G163" s="22" t="s">
        <v>59</v>
      </c>
      <c r="H163" s="22" t="s">
        <v>96</v>
      </c>
      <c r="I163" s="22"/>
      <c r="J163" s="22" t="s">
        <v>61</v>
      </c>
      <c r="K163" s="22" t="s">
        <v>1586</v>
      </c>
      <c r="L163" s="22" t="s">
        <v>62</v>
      </c>
      <c r="M163" s="22" t="s">
        <v>84</v>
      </c>
      <c r="N163" s="22" t="s">
        <v>1587</v>
      </c>
      <c r="O163" s="22" t="s">
        <v>449</v>
      </c>
      <c r="P163" s="22" t="s">
        <v>1588</v>
      </c>
      <c r="Q163" s="22"/>
      <c r="R163" s="22" t="s">
        <v>1589</v>
      </c>
      <c r="S163" s="22" t="s">
        <v>61</v>
      </c>
      <c r="T163" s="22"/>
      <c r="U163" s="22" t="s">
        <v>1590</v>
      </c>
      <c r="V163" s="22" t="s">
        <v>70</v>
      </c>
      <c r="W163" s="22" t="s">
        <v>71</v>
      </c>
      <c r="X163" s="25" t="n">
        <v>44228</v>
      </c>
      <c r="Y163" s="25" t="n">
        <v>45992</v>
      </c>
      <c r="Z163" s="22" t="s">
        <v>72</v>
      </c>
      <c r="AA163" s="22" t="s">
        <v>149</v>
      </c>
      <c r="AB163" s="22" t="s">
        <v>74</v>
      </c>
      <c r="AC163" s="22"/>
      <c r="AD163" s="22" t="n">
        <v>0</v>
      </c>
      <c r="AE163" s="22"/>
      <c r="AF163" s="22"/>
      <c r="AG163" s="22" t="s">
        <v>75</v>
      </c>
      <c r="AH163" s="22"/>
      <c r="AI163" s="22" t="n">
        <v>10</v>
      </c>
      <c r="AJ163" s="22" t="n">
        <v>30</v>
      </c>
      <c r="AK163" s="22" t="s">
        <v>61</v>
      </c>
      <c r="AL163" s="26" t="n">
        <v>36823</v>
      </c>
      <c r="AM163" s="26" t="n">
        <v>45007.8785354167</v>
      </c>
      <c r="AN163" s="25" t="n">
        <v>45007.8791666667</v>
      </c>
      <c r="AO163" s="22" t="n">
        <v>5</v>
      </c>
      <c r="AP163" s="22" t="n">
        <v>40</v>
      </c>
      <c r="AQ163" s="22" t="s">
        <v>1</v>
      </c>
      <c r="AR163" s="34" t="s">
        <v>401</v>
      </c>
      <c r="AS163" s="27" t="s">
        <v>206</v>
      </c>
      <c r="AT163" s="27" t="s">
        <v>1137</v>
      </c>
      <c r="AU163" s="27"/>
      <c r="AV163" s="27"/>
      <c r="AW163" s="27"/>
      <c r="AX163" s="27"/>
      <c r="AY163" s="27"/>
    </row>
    <row r="164" customFormat="false" ht="15.75" hidden="false" customHeight="true" outlineLevel="0" collapsed="false">
      <c r="A164" s="22" t="n">
        <v>160</v>
      </c>
      <c r="B164" s="23" t="s">
        <v>1591</v>
      </c>
      <c r="C164" s="22"/>
      <c r="D164" s="22" t="s">
        <v>1592</v>
      </c>
      <c r="E164" s="22" t="s">
        <v>81</v>
      </c>
      <c r="F164" s="22" t="s">
        <v>107</v>
      </c>
      <c r="G164" s="22" t="s">
        <v>59</v>
      </c>
      <c r="H164" s="22" t="s">
        <v>60</v>
      </c>
      <c r="I164" s="22"/>
      <c r="J164" s="22" t="s">
        <v>61</v>
      </c>
      <c r="K164" s="22" t="s">
        <v>1593</v>
      </c>
      <c r="L164" s="22" t="s">
        <v>62</v>
      </c>
      <c r="M164" s="22" t="s">
        <v>84</v>
      </c>
      <c r="N164" s="22" t="s">
        <v>1594</v>
      </c>
      <c r="O164" s="22" t="s">
        <v>963</v>
      </c>
      <c r="P164" s="22" t="s">
        <v>1595</v>
      </c>
      <c r="Q164" s="22" t="s">
        <v>1596</v>
      </c>
      <c r="R164" s="22" t="s">
        <v>1597</v>
      </c>
      <c r="S164" s="22" t="s">
        <v>61</v>
      </c>
      <c r="T164" s="22"/>
      <c r="U164" s="22" t="s">
        <v>1598</v>
      </c>
      <c r="V164" s="22" t="s">
        <v>70</v>
      </c>
      <c r="W164" s="22" t="s">
        <v>71</v>
      </c>
      <c r="X164" s="25" t="n">
        <v>43831</v>
      </c>
      <c r="Y164" s="25" t="n">
        <v>46327</v>
      </c>
      <c r="Z164" s="22" t="s">
        <v>72</v>
      </c>
      <c r="AA164" s="22" t="s">
        <v>149</v>
      </c>
      <c r="AB164" s="22" t="s">
        <v>74</v>
      </c>
      <c r="AC164" s="22"/>
      <c r="AD164" s="22" t="n">
        <v>0</v>
      </c>
      <c r="AE164" s="22"/>
      <c r="AF164" s="22"/>
      <c r="AG164" s="22" t="s">
        <v>75</v>
      </c>
      <c r="AH164" s="22"/>
      <c r="AI164" s="22" t="n">
        <v>10</v>
      </c>
      <c r="AJ164" s="22" t="n">
        <v>30</v>
      </c>
      <c r="AK164" s="22" t="s">
        <v>61</v>
      </c>
      <c r="AL164" s="26" t="n">
        <v>36824</v>
      </c>
      <c r="AM164" s="26" t="n">
        <v>45003.6505398843</v>
      </c>
      <c r="AN164" s="25" t="n">
        <v>45008.4196990741</v>
      </c>
      <c r="AO164" s="22" t="n">
        <v>5</v>
      </c>
      <c r="AP164" s="22" t="n">
        <v>40</v>
      </c>
      <c r="AQ164" s="22" t="s">
        <v>1</v>
      </c>
      <c r="AR164" s="27" t="s">
        <v>401</v>
      </c>
      <c r="AS164" s="27" t="s">
        <v>1599</v>
      </c>
      <c r="AT164" s="27" t="s">
        <v>1137</v>
      </c>
      <c r="AU164" s="27"/>
      <c r="AV164" s="27"/>
      <c r="AW164" s="27"/>
      <c r="AX164" s="27"/>
      <c r="AY164" s="27"/>
    </row>
    <row r="165" customFormat="false" ht="15.75" hidden="false" customHeight="true" outlineLevel="0" collapsed="false">
      <c r="A165" s="22" t="n">
        <v>161</v>
      </c>
      <c r="B165" s="23" t="s">
        <v>1600</v>
      </c>
      <c r="C165" s="22" t="s">
        <v>1601</v>
      </c>
      <c r="D165" s="22" t="s">
        <v>1602</v>
      </c>
      <c r="E165" s="22" t="s">
        <v>81</v>
      </c>
      <c r="F165" s="22" t="s">
        <v>107</v>
      </c>
      <c r="G165" s="22" t="s">
        <v>59</v>
      </c>
      <c r="H165" s="22" t="s">
        <v>60</v>
      </c>
      <c r="I165" s="22"/>
      <c r="J165" s="22" t="s">
        <v>61</v>
      </c>
      <c r="K165" s="22" t="s">
        <v>1603</v>
      </c>
      <c r="L165" s="22" t="s">
        <v>62</v>
      </c>
      <c r="M165" s="22" t="s">
        <v>63</v>
      </c>
      <c r="N165" s="22" t="s">
        <v>1604</v>
      </c>
      <c r="O165" s="22" t="s">
        <v>1605</v>
      </c>
      <c r="P165" s="22" t="s">
        <v>1606</v>
      </c>
      <c r="Q165" s="22"/>
      <c r="R165" s="22" t="s">
        <v>1607</v>
      </c>
      <c r="S165" s="22" t="s">
        <v>61</v>
      </c>
      <c r="T165" s="22"/>
      <c r="U165" s="22" t="s">
        <v>672</v>
      </c>
      <c r="V165" s="22" t="s">
        <v>70</v>
      </c>
      <c r="W165" s="22" t="s">
        <v>71</v>
      </c>
      <c r="X165" s="25" t="n">
        <v>43678</v>
      </c>
      <c r="Y165" s="25" t="n">
        <v>45627</v>
      </c>
      <c r="Z165" s="22" t="s">
        <v>72</v>
      </c>
      <c r="AA165" s="22" t="s">
        <v>149</v>
      </c>
      <c r="AB165" s="22" t="s">
        <v>74</v>
      </c>
      <c r="AC165" s="22"/>
      <c r="AD165" s="22" t="n">
        <v>0</v>
      </c>
      <c r="AE165" s="22"/>
      <c r="AF165" s="22"/>
      <c r="AG165" s="22" t="s">
        <v>75</v>
      </c>
      <c r="AH165" s="22"/>
      <c r="AI165" s="22" t="n">
        <v>10</v>
      </c>
      <c r="AJ165" s="22" t="n">
        <v>30</v>
      </c>
      <c r="AK165" s="22" t="s">
        <v>61</v>
      </c>
      <c r="AL165" s="26" t="n">
        <v>36837</v>
      </c>
      <c r="AM165" s="26" t="n">
        <v>45002.5857048958</v>
      </c>
      <c r="AN165" s="25" t="n">
        <v>45009.3704513889</v>
      </c>
      <c r="AO165" s="22" t="n">
        <v>7</v>
      </c>
      <c r="AP165" s="22" t="n">
        <v>40</v>
      </c>
      <c r="AQ165" s="22" t="s">
        <v>1</v>
      </c>
      <c r="AR165" s="34" t="s">
        <v>401</v>
      </c>
      <c r="AS165" s="27" t="s">
        <v>206</v>
      </c>
      <c r="AT165" s="27" t="s">
        <v>1137</v>
      </c>
      <c r="AU165" s="27"/>
      <c r="AV165" s="27"/>
      <c r="AW165" s="27"/>
      <c r="AX165" s="27"/>
      <c r="AY165" s="27"/>
    </row>
    <row r="166" customFormat="false" ht="15.75" hidden="false" customHeight="true" outlineLevel="0" collapsed="false">
      <c r="A166" s="22" t="n">
        <v>162</v>
      </c>
      <c r="B166" s="23" t="s">
        <v>1608</v>
      </c>
      <c r="C166" s="22" t="s">
        <v>1609</v>
      </c>
      <c r="D166" s="22" t="s">
        <v>1610</v>
      </c>
      <c r="E166" s="22" t="s">
        <v>81</v>
      </c>
      <c r="F166" s="22" t="s">
        <v>107</v>
      </c>
      <c r="G166" s="22" t="s">
        <v>59</v>
      </c>
      <c r="H166" s="22" t="s">
        <v>96</v>
      </c>
      <c r="I166" s="22"/>
      <c r="J166" s="22" t="s">
        <v>61</v>
      </c>
      <c r="K166" s="22" t="s">
        <v>1611</v>
      </c>
      <c r="L166" s="22" t="s">
        <v>62</v>
      </c>
      <c r="M166" s="22" t="s">
        <v>84</v>
      </c>
      <c r="N166" s="22" t="s">
        <v>1612</v>
      </c>
      <c r="O166" s="22" t="s">
        <v>1613</v>
      </c>
      <c r="P166" s="22" t="s">
        <v>1614</v>
      </c>
      <c r="Q166" s="22" t="s">
        <v>1615</v>
      </c>
      <c r="R166" s="22" t="s">
        <v>1616</v>
      </c>
      <c r="S166" s="22" t="s">
        <v>61</v>
      </c>
      <c r="T166" s="22"/>
      <c r="U166" s="22" t="s">
        <v>1617</v>
      </c>
      <c r="V166" s="22" t="s">
        <v>70</v>
      </c>
      <c r="W166" s="22" t="s">
        <v>71</v>
      </c>
      <c r="X166" s="25" t="n">
        <v>44013</v>
      </c>
      <c r="Y166" s="25" t="n">
        <v>45839</v>
      </c>
      <c r="Z166" s="22" t="s">
        <v>72</v>
      </c>
      <c r="AA166" s="22" t="s">
        <v>91</v>
      </c>
      <c r="AB166" s="22" t="s">
        <v>74</v>
      </c>
      <c r="AC166" s="22"/>
      <c r="AD166" s="22" t="n">
        <v>0</v>
      </c>
      <c r="AE166" s="22"/>
      <c r="AF166" s="22"/>
      <c r="AG166" s="22" t="s">
        <v>75</v>
      </c>
      <c r="AH166" s="22"/>
      <c r="AI166" s="22" t="n">
        <v>10</v>
      </c>
      <c r="AJ166" s="22" t="n">
        <v>30</v>
      </c>
      <c r="AK166" s="22" t="s">
        <v>76</v>
      </c>
      <c r="AL166" s="26" t="n">
        <v>36839</v>
      </c>
      <c r="AM166" s="26" t="n">
        <v>45001.6907148264</v>
      </c>
      <c r="AN166" s="25" t="n">
        <v>45009.3881597222</v>
      </c>
      <c r="AO166" s="22" t="n">
        <v>6</v>
      </c>
      <c r="AP166" s="22" t="n">
        <v>40</v>
      </c>
      <c r="AQ166" s="22" t="s">
        <v>0</v>
      </c>
      <c r="AR166" s="27" t="s">
        <v>401</v>
      </c>
      <c r="AS166" s="27" t="s">
        <v>78</v>
      </c>
      <c r="AT166" s="27"/>
      <c r="AU166" s="27"/>
      <c r="AV166" s="27"/>
      <c r="AW166" s="27"/>
      <c r="AX166" s="27"/>
      <c r="AY166" s="27"/>
    </row>
    <row r="167" customFormat="false" ht="15.75" hidden="false" customHeight="true" outlineLevel="0" collapsed="false">
      <c r="A167" s="22" t="n">
        <v>163</v>
      </c>
      <c r="B167" s="23" t="s">
        <v>1618</v>
      </c>
      <c r="C167" s="22" t="s">
        <v>1619</v>
      </c>
      <c r="D167" s="22" t="s">
        <v>1620</v>
      </c>
      <c r="E167" s="22" t="s">
        <v>57</v>
      </c>
      <c r="F167" s="22" t="s">
        <v>107</v>
      </c>
      <c r="G167" s="22" t="s">
        <v>59</v>
      </c>
      <c r="H167" s="22" t="s">
        <v>60</v>
      </c>
      <c r="I167" s="22"/>
      <c r="J167" s="22" t="s">
        <v>61</v>
      </c>
      <c r="K167" s="22" t="s">
        <v>1621</v>
      </c>
      <c r="L167" s="22" t="s">
        <v>62</v>
      </c>
      <c r="M167" s="22" t="s">
        <v>63</v>
      </c>
      <c r="N167" s="22" t="s">
        <v>1622</v>
      </c>
      <c r="O167" s="22" t="s">
        <v>685</v>
      </c>
      <c r="P167" s="22" t="s">
        <v>1623</v>
      </c>
      <c r="Q167" s="22" t="s">
        <v>1624</v>
      </c>
      <c r="R167" s="22" t="s">
        <v>1625</v>
      </c>
      <c r="S167" s="22" t="s">
        <v>61</v>
      </c>
      <c r="T167" s="22"/>
      <c r="U167" s="22" t="s">
        <v>1626</v>
      </c>
      <c r="V167" s="22" t="s">
        <v>70</v>
      </c>
      <c r="W167" s="22" t="s">
        <v>71</v>
      </c>
      <c r="X167" s="25" t="n">
        <v>43862</v>
      </c>
      <c r="Y167" s="25" t="n">
        <v>45627</v>
      </c>
      <c r="Z167" s="22" t="s">
        <v>72</v>
      </c>
      <c r="AA167" s="22" t="s">
        <v>91</v>
      </c>
      <c r="AB167" s="22" t="s">
        <v>74</v>
      </c>
      <c r="AC167" s="22"/>
      <c r="AD167" s="22" t="n">
        <v>0</v>
      </c>
      <c r="AE167" s="22"/>
      <c r="AF167" s="22"/>
      <c r="AG167" s="22" t="s">
        <v>75</v>
      </c>
      <c r="AH167" s="22"/>
      <c r="AI167" s="22" t="n">
        <v>10</v>
      </c>
      <c r="AJ167" s="22" t="n">
        <v>30</v>
      </c>
      <c r="AK167" s="22" t="s">
        <v>61</v>
      </c>
      <c r="AL167" s="26" t="n">
        <v>36843</v>
      </c>
      <c r="AM167" s="26" t="n">
        <v>45006.6388352315</v>
      </c>
      <c r="AN167" s="25" t="n">
        <v>45008.5065162037</v>
      </c>
      <c r="AO167" s="22" t="n">
        <v>7</v>
      </c>
      <c r="AP167" s="22" t="n">
        <v>40</v>
      </c>
      <c r="AQ167" s="22" t="s">
        <v>0</v>
      </c>
      <c r="AR167" s="27" t="s">
        <v>401</v>
      </c>
      <c r="AS167" s="27" t="s">
        <v>78</v>
      </c>
      <c r="AT167" s="27"/>
      <c r="AU167" s="27"/>
      <c r="AV167" s="27"/>
      <c r="AW167" s="27"/>
      <c r="AX167" s="27"/>
      <c r="AY167" s="27"/>
    </row>
    <row r="168" customFormat="false" ht="15.75" hidden="false" customHeight="true" outlineLevel="0" collapsed="false">
      <c r="A168" s="22" t="n">
        <v>164</v>
      </c>
      <c r="B168" s="23" t="s">
        <v>1627</v>
      </c>
      <c r="C168" s="22" t="s">
        <v>1628</v>
      </c>
      <c r="D168" s="22" t="s">
        <v>1629</v>
      </c>
      <c r="E168" s="22" t="s">
        <v>57</v>
      </c>
      <c r="F168" s="22" t="s">
        <v>107</v>
      </c>
      <c r="G168" s="22" t="s">
        <v>59</v>
      </c>
      <c r="H168" s="22" t="s">
        <v>156</v>
      </c>
      <c r="I168" s="22"/>
      <c r="J168" s="22" t="s">
        <v>61</v>
      </c>
      <c r="K168" s="22" t="s">
        <v>1630</v>
      </c>
      <c r="L168" s="22" t="s">
        <v>62</v>
      </c>
      <c r="M168" s="22" t="s">
        <v>557</v>
      </c>
      <c r="N168" s="22" t="s">
        <v>1631</v>
      </c>
      <c r="O168" s="22" t="s">
        <v>170</v>
      </c>
      <c r="P168" s="22" t="s">
        <v>1632</v>
      </c>
      <c r="Q168" s="22" t="s">
        <v>1633</v>
      </c>
      <c r="R168" s="22" t="s">
        <v>1634</v>
      </c>
      <c r="S168" s="22" t="s">
        <v>61</v>
      </c>
      <c r="T168" s="22"/>
      <c r="U168" s="22" t="s">
        <v>1495</v>
      </c>
      <c r="V168" s="22" t="s">
        <v>70</v>
      </c>
      <c r="W168" s="22" t="s">
        <v>71</v>
      </c>
      <c r="X168" s="25" t="n">
        <v>43497</v>
      </c>
      <c r="Y168" s="25" t="n">
        <v>45261</v>
      </c>
      <c r="Z168" s="22" t="s">
        <v>72</v>
      </c>
      <c r="AA168" s="22" t="s">
        <v>91</v>
      </c>
      <c r="AB168" s="22" t="s">
        <v>74</v>
      </c>
      <c r="AC168" s="22"/>
      <c r="AD168" s="22" t="n">
        <v>0</v>
      </c>
      <c r="AE168" s="22"/>
      <c r="AF168" s="22"/>
      <c r="AG168" s="22" t="s">
        <v>75</v>
      </c>
      <c r="AH168" s="22"/>
      <c r="AI168" s="22" t="n">
        <v>10</v>
      </c>
      <c r="AJ168" s="22" t="n">
        <v>30</v>
      </c>
      <c r="AK168" s="22" t="s">
        <v>76</v>
      </c>
      <c r="AL168" s="26" t="n">
        <v>36843</v>
      </c>
      <c r="AM168" s="26" t="n">
        <v>45008.8931553125</v>
      </c>
      <c r="AN168" s="25" t="n">
        <v>45008.8939467593</v>
      </c>
      <c r="AO168" s="22" t="n">
        <v>9</v>
      </c>
      <c r="AP168" s="22" t="n">
        <v>40</v>
      </c>
      <c r="AQ168" s="22" t="s">
        <v>1</v>
      </c>
      <c r="AR168" s="34" t="s">
        <v>401</v>
      </c>
      <c r="AS168" s="27" t="s">
        <v>206</v>
      </c>
      <c r="AT168" s="40" t="n">
        <v>45050.5729166667</v>
      </c>
      <c r="AU168" s="27" t="s">
        <v>220</v>
      </c>
      <c r="AV168" s="27"/>
      <c r="AW168" s="27"/>
      <c r="AX168" s="27"/>
      <c r="AY168" s="27"/>
    </row>
    <row r="169" customFormat="false" ht="15.75" hidden="false" customHeight="true" outlineLevel="0" collapsed="false">
      <c r="A169" s="22" t="n">
        <v>165</v>
      </c>
      <c r="B169" s="23" t="s">
        <v>1635</v>
      </c>
      <c r="C169" s="22" t="s">
        <v>1636</v>
      </c>
      <c r="D169" s="22" t="s">
        <v>1637</v>
      </c>
      <c r="E169" s="22" t="s">
        <v>57</v>
      </c>
      <c r="F169" s="22" t="s">
        <v>107</v>
      </c>
      <c r="G169" s="22" t="s">
        <v>59</v>
      </c>
      <c r="H169" s="22" t="s">
        <v>96</v>
      </c>
      <c r="I169" s="22"/>
      <c r="J169" s="22" t="s">
        <v>61</v>
      </c>
      <c r="K169" s="22" t="s">
        <v>1470</v>
      </c>
      <c r="L169" s="22" t="s">
        <v>62</v>
      </c>
      <c r="M169" s="22" t="s">
        <v>84</v>
      </c>
      <c r="N169" s="22" t="s">
        <v>1638</v>
      </c>
      <c r="O169" s="22" t="s">
        <v>1472</v>
      </c>
      <c r="P169" s="22" t="s">
        <v>1639</v>
      </c>
      <c r="Q169" s="22"/>
      <c r="R169" s="22" t="s">
        <v>1640</v>
      </c>
      <c r="S169" s="22" t="s">
        <v>61</v>
      </c>
      <c r="T169" s="22"/>
      <c r="U169" s="22" t="s">
        <v>1641</v>
      </c>
      <c r="V169" s="22" t="s">
        <v>70</v>
      </c>
      <c r="W169" s="22" t="s">
        <v>71</v>
      </c>
      <c r="X169" s="25" t="n">
        <v>44197</v>
      </c>
      <c r="Y169" s="25" t="n">
        <v>46357</v>
      </c>
      <c r="Z169" s="22" t="s">
        <v>72</v>
      </c>
      <c r="AA169" s="22" t="s">
        <v>91</v>
      </c>
      <c r="AB169" s="22" t="s">
        <v>74</v>
      </c>
      <c r="AC169" s="22"/>
      <c r="AD169" s="22" t="n">
        <v>0</v>
      </c>
      <c r="AE169" s="22"/>
      <c r="AF169" s="22"/>
      <c r="AG169" s="22" t="s">
        <v>75</v>
      </c>
      <c r="AH169" s="22"/>
      <c r="AI169" s="22" t="n">
        <v>10</v>
      </c>
      <c r="AJ169" s="22" t="n">
        <v>30</v>
      </c>
      <c r="AK169" s="22" t="s">
        <v>61</v>
      </c>
      <c r="AL169" s="26" t="n">
        <v>36850</v>
      </c>
      <c r="AM169" s="26" t="n">
        <v>45003.5115216204</v>
      </c>
      <c r="AN169" s="25" t="n">
        <v>45003.5133101852</v>
      </c>
      <c r="AO169" s="22" t="n">
        <v>5</v>
      </c>
      <c r="AP169" s="22" t="n">
        <v>40</v>
      </c>
      <c r="AQ169" s="22" t="s">
        <v>1</v>
      </c>
      <c r="AR169" s="34" t="s">
        <v>1642</v>
      </c>
      <c r="AS169" s="27" t="s">
        <v>206</v>
      </c>
      <c r="AT169" s="28" t="n">
        <v>45054.4861111111</v>
      </c>
      <c r="AU169" s="27" t="s">
        <v>220</v>
      </c>
      <c r="AV169" s="27"/>
      <c r="AW169" s="27"/>
      <c r="AX169" s="27"/>
      <c r="AY169" s="27"/>
    </row>
    <row r="170" customFormat="false" ht="15.75" hidden="false" customHeight="true" outlineLevel="0" collapsed="false">
      <c r="A170" s="22" t="n">
        <v>166</v>
      </c>
      <c r="B170" s="23" t="s">
        <v>1643</v>
      </c>
      <c r="C170" s="22" t="s">
        <v>1644</v>
      </c>
      <c r="D170" s="22" t="s">
        <v>1645</v>
      </c>
      <c r="E170" s="22" t="s">
        <v>81</v>
      </c>
      <c r="F170" s="22" t="s">
        <v>107</v>
      </c>
      <c r="G170" s="22" t="s">
        <v>59</v>
      </c>
      <c r="H170" s="22" t="s">
        <v>96</v>
      </c>
      <c r="I170" s="22"/>
      <c r="J170" s="22" t="s">
        <v>61</v>
      </c>
      <c r="K170" s="22" t="s">
        <v>1646</v>
      </c>
      <c r="L170" s="22" t="s">
        <v>62</v>
      </c>
      <c r="M170" s="22" t="s">
        <v>84</v>
      </c>
      <c r="N170" s="22" t="s">
        <v>1647</v>
      </c>
      <c r="O170" s="22" t="s">
        <v>1648</v>
      </c>
      <c r="P170" s="22" t="s">
        <v>1649</v>
      </c>
      <c r="Q170" s="22" t="s">
        <v>1650</v>
      </c>
      <c r="R170" s="22" t="s">
        <v>1651</v>
      </c>
      <c r="S170" s="22" t="s">
        <v>61</v>
      </c>
      <c r="T170" s="22"/>
      <c r="U170" s="22" t="s">
        <v>1652</v>
      </c>
      <c r="V170" s="22" t="s">
        <v>70</v>
      </c>
      <c r="W170" s="22" t="s">
        <v>71</v>
      </c>
      <c r="X170" s="25" t="n">
        <v>43497</v>
      </c>
      <c r="Y170" s="25" t="n">
        <v>45597</v>
      </c>
      <c r="Z170" s="22" t="s">
        <v>72</v>
      </c>
      <c r="AA170" s="22" t="s">
        <v>91</v>
      </c>
      <c r="AB170" s="22" t="s">
        <v>74</v>
      </c>
      <c r="AC170" s="22"/>
      <c r="AD170" s="22" t="n">
        <v>0</v>
      </c>
      <c r="AE170" s="22"/>
      <c r="AF170" s="22"/>
      <c r="AG170" s="22" t="s">
        <v>75</v>
      </c>
      <c r="AH170" s="22"/>
      <c r="AI170" s="22" t="n">
        <v>10</v>
      </c>
      <c r="AJ170" s="22" t="n">
        <v>30</v>
      </c>
      <c r="AK170" s="22" t="s">
        <v>61</v>
      </c>
      <c r="AL170" s="26" t="n">
        <v>36870</v>
      </c>
      <c r="AM170" s="26" t="n">
        <v>45007.4972954861</v>
      </c>
      <c r="AN170" s="25" t="n">
        <v>45007.5479513889</v>
      </c>
      <c r="AO170" s="22" t="n">
        <v>8</v>
      </c>
      <c r="AP170" s="22" t="n">
        <v>40</v>
      </c>
      <c r="AQ170" s="22" t="s">
        <v>1</v>
      </c>
      <c r="AR170" s="34" t="s">
        <v>1642</v>
      </c>
      <c r="AS170" s="27" t="s">
        <v>206</v>
      </c>
      <c r="AT170" s="28" t="n">
        <v>45054.4861111111</v>
      </c>
      <c r="AU170" s="27" t="s">
        <v>220</v>
      </c>
      <c r="AV170" s="27"/>
      <c r="AW170" s="27"/>
      <c r="AX170" s="27"/>
      <c r="AY170" s="27"/>
    </row>
    <row r="171" customFormat="false" ht="15.75" hidden="false" customHeight="true" outlineLevel="0" collapsed="false">
      <c r="A171" s="22" t="n">
        <v>167</v>
      </c>
      <c r="B171" s="23" t="s">
        <v>1653</v>
      </c>
      <c r="C171" s="22"/>
      <c r="D171" s="22" t="s">
        <v>1654</v>
      </c>
      <c r="E171" s="22" t="s">
        <v>81</v>
      </c>
      <c r="F171" s="22" t="s">
        <v>107</v>
      </c>
      <c r="G171" s="22" t="s">
        <v>59</v>
      </c>
      <c r="H171" s="22" t="s">
        <v>327</v>
      </c>
      <c r="I171" s="22"/>
      <c r="J171" s="22" t="s">
        <v>61</v>
      </c>
      <c r="K171" s="22" t="s">
        <v>1655</v>
      </c>
      <c r="L171" s="22" t="s">
        <v>62</v>
      </c>
      <c r="M171" s="22" t="s">
        <v>63</v>
      </c>
      <c r="N171" s="22" t="s">
        <v>1656</v>
      </c>
      <c r="O171" s="22" t="s">
        <v>1657</v>
      </c>
      <c r="P171" s="22" t="s">
        <v>1658</v>
      </c>
      <c r="Q171" s="22"/>
      <c r="R171" s="22" t="s">
        <v>1659</v>
      </c>
      <c r="S171" s="22" t="s">
        <v>61</v>
      </c>
      <c r="T171" s="22"/>
      <c r="U171" s="22" t="s">
        <v>1660</v>
      </c>
      <c r="V171" s="22" t="s">
        <v>70</v>
      </c>
      <c r="W171" s="22" t="s">
        <v>71</v>
      </c>
      <c r="X171" s="25" t="n">
        <v>43466</v>
      </c>
      <c r="Y171" s="25" t="n">
        <v>45627</v>
      </c>
      <c r="Z171" s="22" t="s">
        <v>72</v>
      </c>
      <c r="AA171" s="22" t="s">
        <v>73</v>
      </c>
      <c r="AB171" s="22" t="s">
        <v>74</v>
      </c>
      <c r="AC171" s="22"/>
      <c r="AD171" s="22" t="n">
        <v>0</v>
      </c>
      <c r="AE171" s="22"/>
      <c r="AF171" s="22"/>
      <c r="AG171" s="22" t="s">
        <v>75</v>
      </c>
      <c r="AH171" s="22"/>
      <c r="AI171" s="22" t="n">
        <v>10</v>
      </c>
      <c r="AJ171" s="22" t="n">
        <v>30</v>
      </c>
      <c r="AK171" s="22" t="s">
        <v>61</v>
      </c>
      <c r="AL171" s="26" t="n">
        <v>36878</v>
      </c>
      <c r="AM171" s="26" t="n">
        <v>45007.3800313657</v>
      </c>
      <c r="AN171" s="25" t="n">
        <v>45007.3828935185</v>
      </c>
      <c r="AO171" s="22" t="n">
        <v>7</v>
      </c>
      <c r="AP171" s="22" t="n">
        <v>40</v>
      </c>
      <c r="AQ171" s="22" t="s">
        <v>1</v>
      </c>
      <c r="AR171" s="34" t="s">
        <v>1642</v>
      </c>
      <c r="AS171" s="27" t="s">
        <v>206</v>
      </c>
      <c r="AT171" s="28" t="n">
        <v>45054.4861111111</v>
      </c>
      <c r="AU171" s="27" t="s">
        <v>220</v>
      </c>
      <c r="AV171" s="27"/>
      <c r="AW171" s="27"/>
      <c r="AX171" s="27"/>
      <c r="AY171" s="27"/>
    </row>
    <row r="172" customFormat="false" ht="15.75" hidden="false" customHeight="true" outlineLevel="0" collapsed="false">
      <c r="A172" s="22" t="n">
        <v>168</v>
      </c>
      <c r="B172" s="23" t="s">
        <v>1661</v>
      </c>
      <c r="C172" s="22" t="s">
        <v>1662</v>
      </c>
      <c r="D172" s="22" t="s">
        <v>1663</v>
      </c>
      <c r="E172" s="22" t="s">
        <v>81</v>
      </c>
      <c r="F172" s="22" t="s">
        <v>107</v>
      </c>
      <c r="G172" s="22" t="s">
        <v>59</v>
      </c>
      <c r="H172" s="22" t="s">
        <v>60</v>
      </c>
      <c r="I172" s="22"/>
      <c r="J172" s="22" t="s">
        <v>61</v>
      </c>
      <c r="K172" s="22" t="s">
        <v>1664</v>
      </c>
      <c r="L172" s="22" t="s">
        <v>62</v>
      </c>
      <c r="M172" s="22" t="s">
        <v>63</v>
      </c>
      <c r="N172" s="22" t="s">
        <v>1665</v>
      </c>
      <c r="O172" s="22" t="s">
        <v>842</v>
      </c>
      <c r="P172" s="22" t="s">
        <v>1666</v>
      </c>
      <c r="Q172" s="22"/>
      <c r="R172" s="22" t="s">
        <v>1667</v>
      </c>
      <c r="S172" s="22" t="s">
        <v>61</v>
      </c>
      <c r="T172" s="22"/>
      <c r="U172" s="22" t="s">
        <v>137</v>
      </c>
      <c r="V172" s="22" t="s">
        <v>70</v>
      </c>
      <c r="W172" s="22" t="s">
        <v>71</v>
      </c>
      <c r="X172" s="25" t="n">
        <v>43891</v>
      </c>
      <c r="Y172" s="25" t="n">
        <v>45627</v>
      </c>
      <c r="Z172" s="22" t="s">
        <v>72</v>
      </c>
      <c r="AA172" s="22" t="s">
        <v>149</v>
      </c>
      <c r="AB172" s="22" t="s">
        <v>74</v>
      </c>
      <c r="AC172" s="22"/>
      <c r="AD172" s="22" t="n">
        <v>0</v>
      </c>
      <c r="AE172" s="22"/>
      <c r="AF172" s="22"/>
      <c r="AG172" s="22" t="s">
        <v>75</v>
      </c>
      <c r="AH172" s="22"/>
      <c r="AI172" s="22" t="n">
        <v>10</v>
      </c>
      <c r="AJ172" s="22" t="n">
        <v>30</v>
      </c>
      <c r="AK172" s="22" t="s">
        <v>76</v>
      </c>
      <c r="AL172" s="26" t="n">
        <v>36879</v>
      </c>
      <c r="AM172" s="26" t="n">
        <v>45001.8047633912</v>
      </c>
      <c r="AN172" s="25" t="n">
        <v>45001.806400463</v>
      </c>
      <c r="AO172" s="22" t="n">
        <v>7</v>
      </c>
      <c r="AP172" s="22" t="n">
        <v>40</v>
      </c>
      <c r="AQ172" s="22" t="s">
        <v>1</v>
      </c>
      <c r="AR172" s="27" t="s">
        <v>401</v>
      </c>
      <c r="AS172" s="27" t="s">
        <v>1668</v>
      </c>
      <c r="AT172" s="28" t="n">
        <v>45054.4861111111</v>
      </c>
      <c r="AU172" s="27" t="s">
        <v>220</v>
      </c>
      <c r="AV172" s="27"/>
      <c r="AW172" s="27"/>
      <c r="AX172" s="27"/>
      <c r="AY172" s="27"/>
    </row>
    <row r="173" customFormat="false" ht="15.75" hidden="false" customHeight="true" outlineLevel="0" collapsed="false">
      <c r="A173" s="22" t="n">
        <v>169</v>
      </c>
      <c r="B173" s="23" t="s">
        <v>1669</v>
      </c>
      <c r="C173" s="22"/>
      <c r="D173" s="22" t="s">
        <v>1670</v>
      </c>
      <c r="E173" s="22" t="s">
        <v>81</v>
      </c>
      <c r="F173" s="22" t="s">
        <v>107</v>
      </c>
      <c r="G173" s="22" t="s">
        <v>59</v>
      </c>
      <c r="H173" s="22" t="s">
        <v>156</v>
      </c>
      <c r="I173" s="22"/>
      <c r="J173" s="22" t="s">
        <v>61</v>
      </c>
      <c r="K173" s="22" t="s">
        <v>1671</v>
      </c>
      <c r="L173" s="22" t="s">
        <v>62</v>
      </c>
      <c r="M173" s="22" t="s">
        <v>63</v>
      </c>
      <c r="N173" s="22" t="s">
        <v>1672</v>
      </c>
      <c r="O173" s="22" t="s">
        <v>1673</v>
      </c>
      <c r="P173" s="22" t="s">
        <v>1674</v>
      </c>
      <c r="Q173" s="22" t="s">
        <v>1675</v>
      </c>
      <c r="R173" s="22" t="s">
        <v>1676</v>
      </c>
      <c r="S173" s="22" t="s">
        <v>61</v>
      </c>
      <c r="T173" s="22"/>
      <c r="U173" s="22" t="s">
        <v>204</v>
      </c>
      <c r="V173" s="22" t="s">
        <v>70</v>
      </c>
      <c r="W173" s="22" t="s">
        <v>71</v>
      </c>
      <c r="X173" s="25" t="n">
        <v>43983</v>
      </c>
      <c r="Y173" s="25" t="n">
        <v>45809</v>
      </c>
      <c r="Z173" s="22" t="s">
        <v>72</v>
      </c>
      <c r="AA173" s="22" t="s">
        <v>149</v>
      </c>
      <c r="AB173" s="22" t="s">
        <v>74</v>
      </c>
      <c r="AC173" s="22"/>
      <c r="AD173" s="22" t="n">
        <v>0</v>
      </c>
      <c r="AE173" s="22"/>
      <c r="AF173" s="22"/>
      <c r="AG173" s="22" t="s">
        <v>75</v>
      </c>
      <c r="AH173" s="22"/>
      <c r="AI173" s="22" t="n">
        <v>10</v>
      </c>
      <c r="AJ173" s="22" t="n">
        <v>30</v>
      </c>
      <c r="AK173" s="22" t="s">
        <v>61</v>
      </c>
      <c r="AL173" s="26" t="n">
        <v>36886</v>
      </c>
      <c r="AM173" s="26" t="n">
        <v>45001.5502015509</v>
      </c>
      <c r="AN173" s="25" t="n">
        <v>45001.5528240741</v>
      </c>
      <c r="AO173" s="22" t="n">
        <v>6</v>
      </c>
      <c r="AP173" s="22" t="n">
        <v>40</v>
      </c>
      <c r="AQ173" s="22" t="s">
        <v>0</v>
      </c>
      <c r="AR173" s="27" t="s">
        <v>401</v>
      </c>
      <c r="AS173" s="27" t="s">
        <v>78</v>
      </c>
      <c r="AT173" s="27"/>
      <c r="AU173" s="27"/>
      <c r="AV173" s="27"/>
      <c r="AW173" s="27"/>
      <c r="AX173" s="27"/>
      <c r="AY173" s="27"/>
    </row>
    <row r="174" customFormat="false" ht="15.75" hidden="false" customHeight="true" outlineLevel="0" collapsed="false">
      <c r="A174" s="22" t="n">
        <v>170</v>
      </c>
      <c r="B174" s="23" t="s">
        <v>1677</v>
      </c>
      <c r="C174" s="22" t="s">
        <v>1678</v>
      </c>
      <c r="D174" s="22" t="s">
        <v>1679</v>
      </c>
      <c r="E174" s="22" t="s">
        <v>57</v>
      </c>
      <c r="F174" s="22" t="s">
        <v>107</v>
      </c>
      <c r="G174" s="22" t="s">
        <v>59</v>
      </c>
      <c r="H174" s="22" t="s">
        <v>96</v>
      </c>
      <c r="I174" s="22"/>
      <c r="J174" s="22" t="s">
        <v>61</v>
      </c>
      <c r="K174" s="22" t="s">
        <v>1680</v>
      </c>
      <c r="L174" s="22" t="s">
        <v>62</v>
      </c>
      <c r="M174" s="22" t="s">
        <v>1681</v>
      </c>
      <c r="N174" s="22" t="s">
        <v>1682</v>
      </c>
      <c r="O174" s="22" t="s">
        <v>1683</v>
      </c>
      <c r="P174" s="22" t="s">
        <v>1684</v>
      </c>
      <c r="Q174" s="22" t="s">
        <v>1685</v>
      </c>
      <c r="R174" s="22" t="s">
        <v>1686</v>
      </c>
      <c r="S174" s="22" t="s">
        <v>61</v>
      </c>
      <c r="T174" s="22"/>
      <c r="U174" s="22" t="s">
        <v>1687</v>
      </c>
      <c r="V174" s="22" t="s">
        <v>70</v>
      </c>
      <c r="W174" s="22" t="s">
        <v>71</v>
      </c>
      <c r="X174" s="25" t="n">
        <v>43466</v>
      </c>
      <c r="Y174" s="25" t="n">
        <v>45261</v>
      </c>
      <c r="Z174" s="22" t="s">
        <v>72</v>
      </c>
      <c r="AA174" s="22" t="s">
        <v>91</v>
      </c>
      <c r="AB174" s="22" t="s">
        <v>74</v>
      </c>
      <c r="AC174" s="22"/>
      <c r="AD174" s="22" t="n">
        <v>0</v>
      </c>
      <c r="AE174" s="22"/>
      <c r="AF174" s="22"/>
      <c r="AG174" s="22" t="s">
        <v>75</v>
      </c>
      <c r="AH174" s="22"/>
      <c r="AI174" s="22" t="n">
        <v>10</v>
      </c>
      <c r="AJ174" s="22" t="n">
        <v>30</v>
      </c>
      <c r="AK174" s="22" t="s">
        <v>61</v>
      </c>
      <c r="AL174" s="26" t="n">
        <v>36886</v>
      </c>
      <c r="AM174" s="26" t="n">
        <v>45003.4360232292</v>
      </c>
      <c r="AN174" s="25" t="n">
        <v>45008.4629976852</v>
      </c>
      <c r="AO174" s="22" t="n">
        <v>9</v>
      </c>
      <c r="AP174" s="22" t="n">
        <v>40</v>
      </c>
      <c r="AQ174" s="22" t="s">
        <v>1</v>
      </c>
      <c r="AR174" s="34" t="s">
        <v>1642</v>
      </c>
      <c r="AS174" s="27" t="s">
        <v>206</v>
      </c>
      <c r="AT174" s="28" t="n">
        <v>45054.4861111111</v>
      </c>
      <c r="AU174" s="27" t="s">
        <v>220</v>
      </c>
      <c r="AV174" s="27"/>
      <c r="AW174" s="27"/>
      <c r="AX174" s="27"/>
      <c r="AY174" s="27"/>
    </row>
    <row r="175" customFormat="false" ht="15.75" hidden="false" customHeight="true" outlineLevel="0" collapsed="false">
      <c r="A175" s="22" t="n">
        <v>171</v>
      </c>
      <c r="B175" s="23" t="s">
        <v>1688</v>
      </c>
      <c r="C175" s="22" t="s">
        <v>1689</v>
      </c>
      <c r="D175" s="22" t="s">
        <v>1690</v>
      </c>
      <c r="E175" s="22" t="s">
        <v>81</v>
      </c>
      <c r="F175" s="22" t="s">
        <v>107</v>
      </c>
      <c r="G175" s="22" t="s">
        <v>59</v>
      </c>
      <c r="H175" s="22" t="s">
        <v>96</v>
      </c>
      <c r="I175" s="22"/>
      <c r="J175" s="22" t="s">
        <v>61</v>
      </c>
      <c r="K175" s="22" t="s">
        <v>1691</v>
      </c>
      <c r="L175" s="22" t="s">
        <v>62</v>
      </c>
      <c r="M175" s="22" t="s">
        <v>1692</v>
      </c>
      <c r="N175" s="22" t="s">
        <v>1693</v>
      </c>
      <c r="O175" s="22" t="s">
        <v>1694</v>
      </c>
      <c r="P175" s="22" t="s">
        <v>1695</v>
      </c>
      <c r="Q175" s="22" t="s">
        <v>1696</v>
      </c>
      <c r="R175" s="22" t="s">
        <v>1696</v>
      </c>
      <c r="S175" s="22" t="s">
        <v>61</v>
      </c>
      <c r="T175" s="22"/>
      <c r="U175" s="22" t="s">
        <v>1697</v>
      </c>
      <c r="V175" s="22" t="s">
        <v>70</v>
      </c>
      <c r="W175" s="22" t="s">
        <v>71</v>
      </c>
      <c r="X175" s="25" t="n">
        <v>43466</v>
      </c>
      <c r="Y175" s="25" t="n">
        <v>45261</v>
      </c>
      <c r="Z175" s="22" t="s">
        <v>72</v>
      </c>
      <c r="AA175" s="22" t="s">
        <v>91</v>
      </c>
      <c r="AB175" s="22" t="s">
        <v>74</v>
      </c>
      <c r="AC175" s="22"/>
      <c r="AD175" s="22" t="n">
        <v>0</v>
      </c>
      <c r="AE175" s="22"/>
      <c r="AF175" s="22"/>
      <c r="AG175" s="22" t="s">
        <v>75</v>
      </c>
      <c r="AH175" s="22"/>
      <c r="AI175" s="22" t="n">
        <v>10</v>
      </c>
      <c r="AJ175" s="22" t="n">
        <v>30</v>
      </c>
      <c r="AK175" s="22" t="s">
        <v>76</v>
      </c>
      <c r="AL175" s="26" t="n">
        <v>36904</v>
      </c>
      <c r="AM175" s="26" t="n">
        <v>45005.1438419444</v>
      </c>
      <c r="AN175" s="25" t="n">
        <v>45009.1415046296</v>
      </c>
      <c r="AO175" s="22" t="n">
        <v>9</v>
      </c>
      <c r="AP175" s="22" t="n">
        <v>40</v>
      </c>
      <c r="AQ175" s="22" t="s">
        <v>1</v>
      </c>
      <c r="AR175" s="27" t="s">
        <v>401</v>
      </c>
      <c r="AS175" s="27" t="s">
        <v>1698</v>
      </c>
      <c r="AT175" s="28" t="n">
        <v>45054.4861111111</v>
      </c>
      <c r="AU175" s="27" t="s">
        <v>1699</v>
      </c>
      <c r="AV175" s="27"/>
      <c r="AW175" s="27"/>
      <c r="AX175" s="27"/>
      <c r="AY175" s="27"/>
    </row>
    <row r="176" customFormat="false" ht="15.75" hidden="false" customHeight="true" outlineLevel="0" collapsed="false">
      <c r="A176" s="22" t="n">
        <v>172</v>
      </c>
      <c r="B176" s="23" t="s">
        <v>1700</v>
      </c>
      <c r="C176" s="22"/>
      <c r="D176" s="22" t="s">
        <v>1701</v>
      </c>
      <c r="E176" s="22" t="s">
        <v>81</v>
      </c>
      <c r="F176" s="22" t="s">
        <v>107</v>
      </c>
      <c r="G176" s="22" t="s">
        <v>59</v>
      </c>
      <c r="H176" s="22" t="s">
        <v>60</v>
      </c>
      <c r="I176" s="22"/>
      <c r="J176" s="22" t="s">
        <v>61</v>
      </c>
      <c r="K176" s="22" t="s">
        <v>1702</v>
      </c>
      <c r="L176" s="22" t="s">
        <v>580</v>
      </c>
      <c r="M176" s="22" t="s">
        <v>581</v>
      </c>
      <c r="N176" s="22" t="s">
        <v>1703</v>
      </c>
      <c r="O176" s="22" t="s">
        <v>1704</v>
      </c>
      <c r="P176" s="22" t="s">
        <v>1705</v>
      </c>
      <c r="Q176" s="22"/>
      <c r="R176" s="22" t="s">
        <v>1706</v>
      </c>
      <c r="S176" s="22" t="s">
        <v>61</v>
      </c>
      <c r="T176" s="22"/>
      <c r="U176" s="22" t="s">
        <v>1707</v>
      </c>
      <c r="V176" s="22" t="s">
        <v>70</v>
      </c>
      <c r="W176" s="22" t="s">
        <v>71</v>
      </c>
      <c r="X176" s="25" t="n">
        <v>43891</v>
      </c>
      <c r="Y176" s="25" t="n">
        <v>45597</v>
      </c>
      <c r="Z176" s="22" t="s">
        <v>72</v>
      </c>
      <c r="AA176" s="22" t="s">
        <v>149</v>
      </c>
      <c r="AB176" s="22" t="s">
        <v>74</v>
      </c>
      <c r="AC176" s="22"/>
      <c r="AD176" s="22" t="n">
        <v>0</v>
      </c>
      <c r="AE176" s="22"/>
      <c r="AF176" s="22"/>
      <c r="AG176" s="22" t="s">
        <v>75</v>
      </c>
      <c r="AH176" s="22"/>
      <c r="AI176" s="22" t="n">
        <v>10</v>
      </c>
      <c r="AJ176" s="22" t="n">
        <v>30</v>
      </c>
      <c r="AK176" s="22" t="s">
        <v>61</v>
      </c>
      <c r="AL176" s="26" t="n">
        <v>36908</v>
      </c>
      <c r="AM176" s="26" t="n">
        <v>45005.6795664468</v>
      </c>
      <c r="AN176" s="25" t="n">
        <v>45005.6806481481</v>
      </c>
      <c r="AO176" s="22" t="n">
        <v>7</v>
      </c>
      <c r="AP176" s="22" t="n">
        <v>40</v>
      </c>
      <c r="AQ176" s="22" t="s">
        <v>1</v>
      </c>
      <c r="AR176" s="34" t="s">
        <v>1642</v>
      </c>
      <c r="AS176" s="27" t="s">
        <v>206</v>
      </c>
      <c r="AT176" s="28" t="n">
        <v>45054.4861111111</v>
      </c>
      <c r="AU176" s="27" t="s">
        <v>220</v>
      </c>
      <c r="AV176" s="27"/>
      <c r="AW176" s="27"/>
      <c r="AX176" s="27"/>
      <c r="AY176" s="27"/>
    </row>
    <row r="177" customFormat="false" ht="15.75" hidden="false" customHeight="true" outlineLevel="0" collapsed="false">
      <c r="A177" s="22" t="n">
        <v>173</v>
      </c>
      <c r="B177" s="23" t="s">
        <v>1708</v>
      </c>
      <c r="C177" s="22" t="s">
        <v>1709</v>
      </c>
      <c r="D177" s="22" t="s">
        <v>1710</v>
      </c>
      <c r="E177" s="22" t="s">
        <v>81</v>
      </c>
      <c r="F177" s="22" t="s">
        <v>107</v>
      </c>
      <c r="G177" s="22" t="s">
        <v>59</v>
      </c>
      <c r="H177" s="22" t="s">
        <v>96</v>
      </c>
      <c r="I177" s="22"/>
      <c r="J177" s="22" t="s">
        <v>61</v>
      </c>
      <c r="K177" s="22" t="s">
        <v>1711</v>
      </c>
      <c r="L177" s="22" t="s">
        <v>62</v>
      </c>
      <c r="M177" s="22" t="s">
        <v>84</v>
      </c>
      <c r="N177" s="22" t="s">
        <v>1712</v>
      </c>
      <c r="O177" s="22" t="s">
        <v>1261</v>
      </c>
      <c r="P177" s="22" t="s">
        <v>1713</v>
      </c>
      <c r="Q177" s="22"/>
      <c r="R177" s="22" t="s">
        <v>1714</v>
      </c>
      <c r="S177" s="22" t="s">
        <v>61</v>
      </c>
      <c r="T177" s="22"/>
      <c r="U177" s="22" t="s">
        <v>261</v>
      </c>
      <c r="V177" s="22" t="s">
        <v>70</v>
      </c>
      <c r="W177" s="22" t="s">
        <v>71</v>
      </c>
      <c r="X177" s="25" t="n">
        <v>43831</v>
      </c>
      <c r="Y177" s="25" t="n">
        <v>45658</v>
      </c>
      <c r="Z177" s="22" t="s">
        <v>72</v>
      </c>
      <c r="AA177" s="22" t="s">
        <v>149</v>
      </c>
      <c r="AB177" s="22" t="s">
        <v>74</v>
      </c>
      <c r="AC177" s="22"/>
      <c r="AD177" s="22" t="n">
        <v>0</v>
      </c>
      <c r="AE177" s="22"/>
      <c r="AF177" s="22"/>
      <c r="AG177" s="22" t="s">
        <v>75</v>
      </c>
      <c r="AH177" s="22"/>
      <c r="AI177" s="22" t="n">
        <v>10</v>
      </c>
      <c r="AJ177" s="22" t="n">
        <v>30</v>
      </c>
      <c r="AK177" s="22" t="s">
        <v>61</v>
      </c>
      <c r="AL177" s="26" t="n">
        <v>36919</v>
      </c>
      <c r="AM177" s="26" t="n">
        <v>45006.4917236343</v>
      </c>
      <c r="AN177" s="25" t="n">
        <v>45008.9495138889</v>
      </c>
      <c r="AO177" s="22" t="n">
        <v>7</v>
      </c>
      <c r="AP177" s="22" t="n">
        <v>40</v>
      </c>
      <c r="AQ177" s="22" t="s">
        <v>1</v>
      </c>
      <c r="AR177" s="34" t="s">
        <v>1642</v>
      </c>
      <c r="AS177" s="27" t="s">
        <v>206</v>
      </c>
      <c r="AT177" s="28" t="n">
        <v>45054.4861111111</v>
      </c>
      <c r="AU177" s="27" t="s">
        <v>220</v>
      </c>
      <c r="AV177" s="27"/>
      <c r="AW177" s="27"/>
      <c r="AX177" s="27"/>
      <c r="AY177" s="27"/>
    </row>
    <row r="178" customFormat="false" ht="31.5" hidden="false" customHeight="true" outlineLevel="0" collapsed="false">
      <c r="A178" s="22" t="n">
        <v>174</v>
      </c>
      <c r="B178" s="23" t="s">
        <v>1715</v>
      </c>
      <c r="C178" s="22" t="s">
        <v>1716</v>
      </c>
      <c r="D178" s="22" t="s">
        <v>1717</v>
      </c>
      <c r="E178" s="22" t="s">
        <v>57</v>
      </c>
      <c r="F178" s="22" t="s">
        <v>107</v>
      </c>
      <c r="G178" s="22" t="s">
        <v>59</v>
      </c>
      <c r="H178" s="22" t="s">
        <v>156</v>
      </c>
      <c r="I178" s="22"/>
      <c r="J178" s="22" t="s">
        <v>61</v>
      </c>
      <c r="K178" s="22" t="s">
        <v>1718</v>
      </c>
      <c r="L178" s="22" t="s">
        <v>62</v>
      </c>
      <c r="M178" s="22" t="s">
        <v>63</v>
      </c>
      <c r="N178" s="22" t="s">
        <v>1719</v>
      </c>
      <c r="O178" s="22" t="s">
        <v>1720</v>
      </c>
      <c r="P178" s="22" t="s">
        <v>1721</v>
      </c>
      <c r="Q178" s="22"/>
      <c r="R178" s="22" t="s">
        <v>1722</v>
      </c>
      <c r="S178" s="22" t="s">
        <v>61</v>
      </c>
      <c r="T178" s="22"/>
      <c r="U178" s="22" t="s">
        <v>1723</v>
      </c>
      <c r="V178" s="22" t="s">
        <v>70</v>
      </c>
      <c r="W178" s="22" t="s">
        <v>71</v>
      </c>
      <c r="X178" s="25" t="n">
        <v>43678</v>
      </c>
      <c r="Y178" s="25" t="n">
        <v>45444</v>
      </c>
      <c r="Z178" s="22" t="s">
        <v>72</v>
      </c>
      <c r="AA178" s="22" t="s">
        <v>149</v>
      </c>
      <c r="AB178" s="22" t="s">
        <v>74</v>
      </c>
      <c r="AC178" s="22"/>
      <c r="AD178" s="22" t="n">
        <v>0</v>
      </c>
      <c r="AE178" s="22"/>
      <c r="AF178" s="22"/>
      <c r="AG178" s="22" t="s">
        <v>75</v>
      </c>
      <c r="AH178" s="22" t="s">
        <v>242</v>
      </c>
      <c r="AI178" s="22" t="n">
        <v>10</v>
      </c>
      <c r="AJ178" s="22" t="n">
        <v>30</v>
      </c>
      <c r="AK178" s="22" t="s">
        <v>76</v>
      </c>
      <c r="AL178" s="26" t="n">
        <v>36927</v>
      </c>
      <c r="AM178" s="26" t="n">
        <v>45008.7151297685</v>
      </c>
      <c r="AN178" s="25" t="n">
        <v>45009.0088194444</v>
      </c>
      <c r="AO178" s="22" t="n">
        <v>8</v>
      </c>
      <c r="AP178" s="22" t="n">
        <v>40</v>
      </c>
      <c r="AQ178" s="22" t="s">
        <v>0</v>
      </c>
      <c r="AR178" s="23" t="s">
        <v>1724</v>
      </c>
      <c r="AS178" s="27" t="s">
        <v>78</v>
      </c>
      <c r="AT178" s="23"/>
      <c r="AU178" s="23"/>
      <c r="AV178" s="23"/>
      <c r="AW178" s="23"/>
      <c r="AX178" s="23"/>
      <c r="AY178" s="23"/>
    </row>
    <row r="179" customFormat="false" ht="15.75" hidden="false" customHeight="true" outlineLevel="0" collapsed="false">
      <c r="A179" s="22" t="n">
        <v>175</v>
      </c>
      <c r="B179" s="23" t="s">
        <v>1725</v>
      </c>
      <c r="C179" s="22" t="s">
        <v>1726</v>
      </c>
      <c r="D179" s="22" t="s">
        <v>1727</v>
      </c>
      <c r="E179" s="22" t="s">
        <v>81</v>
      </c>
      <c r="F179" s="22" t="s">
        <v>107</v>
      </c>
      <c r="G179" s="22" t="s">
        <v>59</v>
      </c>
      <c r="H179" s="22" t="s">
        <v>60</v>
      </c>
      <c r="I179" s="22"/>
      <c r="J179" s="22" t="s">
        <v>61</v>
      </c>
      <c r="K179" s="22" t="s">
        <v>1728</v>
      </c>
      <c r="L179" s="22" t="s">
        <v>62</v>
      </c>
      <c r="M179" s="22" t="s">
        <v>63</v>
      </c>
      <c r="N179" s="22" t="s">
        <v>1729</v>
      </c>
      <c r="O179" s="22" t="s">
        <v>1730</v>
      </c>
      <c r="P179" s="22" t="s">
        <v>1731</v>
      </c>
      <c r="Q179" s="22" t="s">
        <v>1732</v>
      </c>
      <c r="R179" s="22" t="s">
        <v>1733</v>
      </c>
      <c r="S179" s="22" t="s">
        <v>61</v>
      </c>
      <c r="T179" s="22"/>
      <c r="U179" s="22" t="s">
        <v>1117</v>
      </c>
      <c r="V179" s="22" t="s">
        <v>70</v>
      </c>
      <c r="W179" s="22" t="s">
        <v>71</v>
      </c>
      <c r="X179" s="25" t="n">
        <v>43497</v>
      </c>
      <c r="Y179" s="25" t="n">
        <v>45444</v>
      </c>
      <c r="Z179" s="22" t="s">
        <v>72</v>
      </c>
      <c r="AA179" s="22" t="s">
        <v>149</v>
      </c>
      <c r="AB179" s="22" t="s">
        <v>74</v>
      </c>
      <c r="AC179" s="22"/>
      <c r="AD179" s="22" t="n">
        <v>0</v>
      </c>
      <c r="AE179" s="22"/>
      <c r="AF179" s="22"/>
      <c r="AG179" s="22" t="s">
        <v>75</v>
      </c>
      <c r="AH179" s="22"/>
      <c r="AI179" s="22" t="n">
        <v>10</v>
      </c>
      <c r="AJ179" s="22" t="n">
        <v>30</v>
      </c>
      <c r="AK179" s="22" t="s">
        <v>61</v>
      </c>
      <c r="AL179" s="26" t="n">
        <v>36930</v>
      </c>
      <c r="AM179" s="26" t="n">
        <v>45002.5741356482</v>
      </c>
      <c r="AN179" s="25" t="n">
        <v>45008.9270138889</v>
      </c>
      <c r="AO179" s="22" t="n">
        <v>8</v>
      </c>
      <c r="AP179" s="22" t="n">
        <v>40</v>
      </c>
      <c r="AQ179" s="22" t="s">
        <v>0</v>
      </c>
      <c r="AR179" s="27" t="s">
        <v>1642</v>
      </c>
      <c r="AS179" s="27" t="s">
        <v>78</v>
      </c>
      <c r="AT179" s="27"/>
      <c r="AU179" s="27"/>
      <c r="AV179" s="27"/>
      <c r="AW179" s="27"/>
      <c r="AX179" s="27"/>
      <c r="AY179" s="27"/>
    </row>
    <row r="180" customFormat="false" ht="28.5" hidden="false" customHeight="true" outlineLevel="0" collapsed="false">
      <c r="A180" s="22" t="n">
        <v>176</v>
      </c>
      <c r="B180" s="23" t="s">
        <v>1734</v>
      </c>
      <c r="C180" s="22" t="s">
        <v>1735</v>
      </c>
      <c r="D180" s="22" t="s">
        <v>1736</v>
      </c>
      <c r="E180" s="22" t="s">
        <v>81</v>
      </c>
      <c r="F180" s="22" t="s">
        <v>107</v>
      </c>
      <c r="G180" s="22" t="s">
        <v>59</v>
      </c>
      <c r="H180" s="22" t="s">
        <v>156</v>
      </c>
      <c r="I180" s="22"/>
      <c r="J180" s="22" t="s">
        <v>61</v>
      </c>
      <c r="K180" s="22" t="s">
        <v>1737</v>
      </c>
      <c r="L180" s="22" t="s">
        <v>62</v>
      </c>
      <c r="M180" s="22" t="s">
        <v>365</v>
      </c>
      <c r="N180" s="22" t="s">
        <v>1738</v>
      </c>
      <c r="O180" s="22" t="s">
        <v>1739</v>
      </c>
      <c r="P180" s="22" t="s">
        <v>1740</v>
      </c>
      <c r="Q180" s="22"/>
      <c r="R180" s="22" t="s">
        <v>1741</v>
      </c>
      <c r="S180" s="22" t="s">
        <v>61</v>
      </c>
      <c r="T180" s="22"/>
      <c r="U180" s="22" t="s">
        <v>1742</v>
      </c>
      <c r="V180" s="22" t="s">
        <v>70</v>
      </c>
      <c r="W180" s="22" t="s">
        <v>71</v>
      </c>
      <c r="X180" s="25" t="n">
        <v>43525</v>
      </c>
      <c r="Y180" s="25" t="n">
        <v>45383</v>
      </c>
      <c r="Z180" s="22" t="s">
        <v>72</v>
      </c>
      <c r="AA180" s="22" t="s">
        <v>149</v>
      </c>
      <c r="AB180" s="22" t="s">
        <v>74</v>
      </c>
      <c r="AC180" s="22"/>
      <c r="AD180" s="22" t="n">
        <v>0</v>
      </c>
      <c r="AE180" s="22"/>
      <c r="AF180" s="22"/>
      <c r="AG180" s="22" t="s">
        <v>75</v>
      </c>
      <c r="AH180" s="22" t="s">
        <v>242</v>
      </c>
      <c r="AI180" s="22" t="n">
        <v>10</v>
      </c>
      <c r="AJ180" s="22" t="n">
        <v>30</v>
      </c>
      <c r="AK180" s="22" t="s">
        <v>76</v>
      </c>
      <c r="AL180" s="26" t="n">
        <v>36934</v>
      </c>
      <c r="AM180" s="26" t="n">
        <v>45005.5808061921</v>
      </c>
      <c r="AN180" s="25" t="n">
        <v>45005.5834490741</v>
      </c>
      <c r="AO180" s="22" t="n">
        <v>8</v>
      </c>
      <c r="AP180" s="22" t="n">
        <v>40</v>
      </c>
      <c r="AQ180" s="22" t="s">
        <v>0</v>
      </c>
      <c r="AR180" s="23" t="s">
        <v>1743</v>
      </c>
      <c r="AS180" s="27" t="s">
        <v>1744</v>
      </c>
      <c r="AT180" s="23"/>
      <c r="AU180" s="23"/>
      <c r="AV180" s="23"/>
      <c r="AW180" s="23"/>
      <c r="AX180" s="23"/>
      <c r="AY180" s="23"/>
    </row>
    <row r="181" customFormat="false" ht="15.75" hidden="false" customHeight="true" outlineLevel="0" collapsed="false">
      <c r="A181" s="22" t="n">
        <v>177</v>
      </c>
      <c r="B181" s="23" t="s">
        <v>1745</v>
      </c>
      <c r="C181" s="22"/>
      <c r="D181" s="22" t="s">
        <v>1746</v>
      </c>
      <c r="E181" s="22" t="s">
        <v>81</v>
      </c>
      <c r="F181" s="22" t="s">
        <v>107</v>
      </c>
      <c r="G181" s="22" t="s">
        <v>59</v>
      </c>
      <c r="H181" s="22" t="s">
        <v>327</v>
      </c>
      <c r="I181" s="22"/>
      <c r="J181" s="22" t="s">
        <v>61</v>
      </c>
      <c r="K181" s="22" t="s">
        <v>1747</v>
      </c>
      <c r="L181" s="22" t="s">
        <v>62</v>
      </c>
      <c r="M181" s="22" t="s">
        <v>84</v>
      </c>
      <c r="N181" s="22" t="s">
        <v>1748</v>
      </c>
      <c r="O181" s="22" t="s">
        <v>1472</v>
      </c>
      <c r="P181" s="22" t="s">
        <v>1749</v>
      </c>
      <c r="Q181" s="22" t="s">
        <v>1750</v>
      </c>
      <c r="R181" s="22" t="s">
        <v>1751</v>
      </c>
      <c r="S181" s="22" t="s">
        <v>61</v>
      </c>
      <c r="T181" s="22"/>
      <c r="U181" s="22" t="s">
        <v>1752</v>
      </c>
      <c r="V181" s="22" t="s">
        <v>70</v>
      </c>
      <c r="W181" s="22" t="s">
        <v>71</v>
      </c>
      <c r="X181" s="25" t="n">
        <v>44228</v>
      </c>
      <c r="Y181" s="25" t="n">
        <v>45992</v>
      </c>
      <c r="Z181" s="22" t="s">
        <v>72</v>
      </c>
      <c r="AA181" s="22" t="s">
        <v>149</v>
      </c>
      <c r="AB181" s="22" t="s">
        <v>74</v>
      </c>
      <c r="AC181" s="22"/>
      <c r="AD181" s="22" t="n">
        <v>0</v>
      </c>
      <c r="AE181" s="22"/>
      <c r="AF181" s="22"/>
      <c r="AG181" s="22" t="s">
        <v>75</v>
      </c>
      <c r="AH181" s="22"/>
      <c r="AI181" s="22" t="n">
        <v>10</v>
      </c>
      <c r="AJ181" s="22" t="n">
        <v>30</v>
      </c>
      <c r="AK181" s="22" t="s">
        <v>76</v>
      </c>
      <c r="AL181" s="26" t="n">
        <v>36934</v>
      </c>
      <c r="AM181" s="26" t="n">
        <v>45005.6559597222</v>
      </c>
      <c r="AN181" s="25" t="n">
        <v>45009.4169444444</v>
      </c>
      <c r="AO181" s="22" t="n">
        <v>5</v>
      </c>
      <c r="AP181" s="22" t="n">
        <v>40</v>
      </c>
      <c r="AQ181" s="22" t="s">
        <v>0</v>
      </c>
      <c r="AR181" s="27" t="s">
        <v>1642</v>
      </c>
      <c r="AS181" s="27" t="s">
        <v>78</v>
      </c>
      <c r="AT181" s="27"/>
      <c r="AU181" s="27"/>
      <c r="AV181" s="27"/>
      <c r="AW181" s="27"/>
      <c r="AX181" s="27"/>
      <c r="AY181" s="27"/>
    </row>
    <row r="182" customFormat="false" ht="15.75" hidden="false" customHeight="true" outlineLevel="0" collapsed="false">
      <c r="A182" s="22" t="n">
        <v>178</v>
      </c>
      <c r="B182" s="23" t="s">
        <v>1753</v>
      </c>
      <c r="C182" s="22" t="s">
        <v>1754</v>
      </c>
      <c r="D182" s="22" t="s">
        <v>1755</v>
      </c>
      <c r="E182" s="22" t="s">
        <v>81</v>
      </c>
      <c r="F182" s="22" t="s">
        <v>107</v>
      </c>
      <c r="G182" s="22" t="s">
        <v>59</v>
      </c>
      <c r="H182" s="22" t="s">
        <v>96</v>
      </c>
      <c r="I182" s="22"/>
      <c r="J182" s="22" t="s">
        <v>61</v>
      </c>
      <c r="K182" s="22" t="s">
        <v>1756</v>
      </c>
      <c r="L182" s="22" t="s">
        <v>62</v>
      </c>
      <c r="M182" s="22" t="s">
        <v>63</v>
      </c>
      <c r="N182" s="22" t="s">
        <v>1757</v>
      </c>
      <c r="O182" s="22" t="s">
        <v>1143</v>
      </c>
      <c r="P182" s="22" t="s">
        <v>1758</v>
      </c>
      <c r="Q182" s="22" t="s">
        <v>1759</v>
      </c>
      <c r="R182" s="22" t="s">
        <v>1760</v>
      </c>
      <c r="S182" s="22" t="s">
        <v>61</v>
      </c>
      <c r="T182" s="22"/>
      <c r="U182" s="22" t="s">
        <v>1284</v>
      </c>
      <c r="V182" s="22" t="s">
        <v>70</v>
      </c>
      <c r="W182" s="22" t="s">
        <v>71</v>
      </c>
      <c r="X182" s="25" t="n">
        <v>43497</v>
      </c>
      <c r="Y182" s="25" t="n">
        <v>45261</v>
      </c>
      <c r="Z182" s="22" t="s">
        <v>72</v>
      </c>
      <c r="AA182" s="22" t="s">
        <v>91</v>
      </c>
      <c r="AB182" s="22" t="s">
        <v>74</v>
      </c>
      <c r="AC182" s="22"/>
      <c r="AD182" s="22" t="n">
        <v>0</v>
      </c>
      <c r="AE182" s="22"/>
      <c r="AF182" s="22"/>
      <c r="AG182" s="22" t="s">
        <v>75</v>
      </c>
      <c r="AH182" s="22"/>
      <c r="AI182" s="22" t="n">
        <v>10</v>
      </c>
      <c r="AJ182" s="22" t="n">
        <v>30</v>
      </c>
      <c r="AK182" s="22" t="s">
        <v>76</v>
      </c>
      <c r="AL182" s="26" t="n">
        <v>36943</v>
      </c>
      <c r="AM182" s="26" t="n">
        <v>45002.5329880903</v>
      </c>
      <c r="AN182" s="25" t="n">
        <v>45005.7966203704</v>
      </c>
      <c r="AO182" s="22" t="n">
        <v>9</v>
      </c>
      <c r="AP182" s="22" t="n">
        <v>40</v>
      </c>
      <c r="AQ182" s="22" t="s">
        <v>0</v>
      </c>
      <c r="AR182" s="27" t="s">
        <v>1642</v>
      </c>
      <c r="AS182" s="27" t="s">
        <v>78</v>
      </c>
      <c r="AT182" s="27"/>
      <c r="AU182" s="27"/>
      <c r="AV182" s="27"/>
      <c r="AW182" s="27"/>
      <c r="AX182" s="27"/>
      <c r="AY182" s="27"/>
    </row>
    <row r="183" customFormat="false" ht="15.75" hidden="false" customHeight="true" outlineLevel="0" collapsed="false">
      <c r="A183" s="22" t="n">
        <v>179</v>
      </c>
      <c r="B183" s="23" t="s">
        <v>1761</v>
      </c>
      <c r="C183" s="22" t="s">
        <v>1762</v>
      </c>
      <c r="D183" s="22" t="s">
        <v>1763</v>
      </c>
      <c r="E183" s="22" t="s">
        <v>57</v>
      </c>
      <c r="F183" s="22" t="s">
        <v>107</v>
      </c>
      <c r="G183" s="22" t="s">
        <v>59</v>
      </c>
      <c r="H183" s="22" t="s">
        <v>156</v>
      </c>
      <c r="I183" s="22"/>
      <c r="J183" s="22" t="s">
        <v>61</v>
      </c>
      <c r="K183" s="22" t="s">
        <v>1764</v>
      </c>
      <c r="L183" s="22" t="s">
        <v>62</v>
      </c>
      <c r="M183" s="22" t="s">
        <v>84</v>
      </c>
      <c r="N183" s="22" t="s">
        <v>1765</v>
      </c>
      <c r="O183" s="22" t="s">
        <v>1766</v>
      </c>
      <c r="P183" s="22" t="s">
        <v>1767</v>
      </c>
      <c r="Q183" s="22"/>
      <c r="R183" s="22" t="s">
        <v>1768</v>
      </c>
      <c r="S183" s="22" t="s">
        <v>61</v>
      </c>
      <c r="T183" s="22"/>
      <c r="U183" s="22" t="s">
        <v>323</v>
      </c>
      <c r="V183" s="22" t="s">
        <v>70</v>
      </c>
      <c r="W183" s="22" t="s">
        <v>71</v>
      </c>
      <c r="X183" s="25" t="n">
        <v>43466</v>
      </c>
      <c r="Y183" s="25" t="n">
        <v>45261</v>
      </c>
      <c r="Z183" s="22" t="s">
        <v>72</v>
      </c>
      <c r="AA183" s="22" t="s">
        <v>91</v>
      </c>
      <c r="AB183" s="22" t="s">
        <v>74</v>
      </c>
      <c r="AC183" s="22"/>
      <c r="AD183" s="22" t="n">
        <v>0</v>
      </c>
      <c r="AE183" s="22"/>
      <c r="AF183" s="22"/>
      <c r="AG183" s="22" t="s">
        <v>75</v>
      </c>
      <c r="AH183" s="22"/>
      <c r="AI183" s="22" t="n">
        <v>10</v>
      </c>
      <c r="AJ183" s="22" t="n">
        <v>30</v>
      </c>
      <c r="AK183" s="22" t="s">
        <v>76</v>
      </c>
      <c r="AL183" s="26" t="n">
        <v>36945</v>
      </c>
      <c r="AM183" s="26" t="n">
        <v>45009.0593079977</v>
      </c>
      <c r="AN183" s="25" t="n">
        <v>45009.0640972222</v>
      </c>
      <c r="AO183" s="22" t="n">
        <v>9</v>
      </c>
      <c r="AP183" s="22" t="n">
        <v>40</v>
      </c>
      <c r="AQ183" s="22" t="s">
        <v>1</v>
      </c>
      <c r="AR183" s="34" t="s">
        <v>1642</v>
      </c>
      <c r="AS183" s="27" t="s">
        <v>206</v>
      </c>
      <c r="AT183" s="28" t="n">
        <v>45054.4861111111</v>
      </c>
      <c r="AU183" s="27" t="s">
        <v>220</v>
      </c>
      <c r="AV183" s="27"/>
      <c r="AW183" s="27"/>
      <c r="AX183" s="27"/>
      <c r="AY183" s="27"/>
    </row>
    <row r="184" customFormat="false" ht="15.75" hidden="false" customHeight="true" outlineLevel="0" collapsed="false">
      <c r="A184" s="22" t="n">
        <v>180</v>
      </c>
      <c r="B184" s="23" t="s">
        <v>1769</v>
      </c>
      <c r="C184" s="22" t="s">
        <v>1770</v>
      </c>
      <c r="D184" s="22" t="s">
        <v>1771</v>
      </c>
      <c r="E184" s="22" t="s">
        <v>57</v>
      </c>
      <c r="F184" s="22" t="s">
        <v>107</v>
      </c>
      <c r="G184" s="22" t="s">
        <v>59</v>
      </c>
      <c r="H184" s="22" t="s">
        <v>96</v>
      </c>
      <c r="I184" s="22"/>
      <c r="J184" s="22" t="s">
        <v>61</v>
      </c>
      <c r="K184" s="22" t="s">
        <v>1772</v>
      </c>
      <c r="L184" s="22" t="s">
        <v>62</v>
      </c>
      <c r="M184" s="22" t="s">
        <v>63</v>
      </c>
      <c r="N184" s="22" t="s">
        <v>1773</v>
      </c>
      <c r="O184" s="22" t="s">
        <v>227</v>
      </c>
      <c r="P184" s="22" t="s">
        <v>1774</v>
      </c>
      <c r="Q184" s="22" t="s">
        <v>1775</v>
      </c>
      <c r="R184" s="22" t="s">
        <v>1776</v>
      </c>
      <c r="S184" s="22" t="s">
        <v>61</v>
      </c>
      <c r="T184" s="22"/>
      <c r="U184" s="22" t="s">
        <v>1777</v>
      </c>
      <c r="V184" s="22" t="s">
        <v>70</v>
      </c>
      <c r="W184" s="22" t="s">
        <v>71</v>
      </c>
      <c r="X184" s="25" t="n">
        <v>43862</v>
      </c>
      <c r="Y184" s="25" t="n">
        <v>45627</v>
      </c>
      <c r="Z184" s="22" t="s">
        <v>72</v>
      </c>
      <c r="AA184" s="22" t="s">
        <v>149</v>
      </c>
      <c r="AB184" s="22" t="s">
        <v>74</v>
      </c>
      <c r="AC184" s="22"/>
      <c r="AD184" s="22" t="n">
        <v>0</v>
      </c>
      <c r="AE184" s="22"/>
      <c r="AF184" s="22"/>
      <c r="AG184" s="22" t="s">
        <v>75</v>
      </c>
      <c r="AH184" s="22"/>
      <c r="AI184" s="22" t="n">
        <v>10</v>
      </c>
      <c r="AJ184" s="22" t="n">
        <v>30</v>
      </c>
      <c r="AK184" s="22" t="s">
        <v>61</v>
      </c>
      <c r="AL184" s="26" t="n">
        <v>36960</v>
      </c>
      <c r="AM184" s="26" t="n">
        <v>45008.4248402199</v>
      </c>
      <c r="AN184" s="25" t="n">
        <v>45008.4270949074</v>
      </c>
      <c r="AO184" s="22" t="n">
        <v>7</v>
      </c>
      <c r="AP184" s="22" t="n">
        <v>40</v>
      </c>
      <c r="AQ184" s="22" t="s">
        <v>1</v>
      </c>
      <c r="AR184" s="34" t="s">
        <v>1642</v>
      </c>
      <c r="AS184" s="27" t="s">
        <v>206</v>
      </c>
      <c r="AT184" s="28" t="n">
        <v>45054.4861111111</v>
      </c>
      <c r="AU184" s="27" t="s">
        <v>220</v>
      </c>
      <c r="AV184" s="27"/>
      <c r="AW184" s="27"/>
      <c r="AX184" s="27"/>
      <c r="AY184" s="27"/>
    </row>
    <row r="185" customFormat="false" ht="15.75" hidden="false" customHeight="true" outlineLevel="0" collapsed="false">
      <c r="A185" s="22" t="n">
        <v>181</v>
      </c>
      <c r="B185" s="23" t="s">
        <v>1778</v>
      </c>
      <c r="C185" s="22"/>
      <c r="D185" s="22" t="s">
        <v>1779</v>
      </c>
      <c r="E185" s="22" t="s">
        <v>81</v>
      </c>
      <c r="F185" s="22" t="s">
        <v>107</v>
      </c>
      <c r="G185" s="22" t="s">
        <v>59</v>
      </c>
      <c r="H185" s="22" t="s">
        <v>60</v>
      </c>
      <c r="I185" s="22"/>
      <c r="J185" s="22" t="s">
        <v>61</v>
      </c>
      <c r="K185" s="22" t="s">
        <v>1780</v>
      </c>
      <c r="L185" s="22" t="s">
        <v>62</v>
      </c>
      <c r="M185" s="22" t="s">
        <v>84</v>
      </c>
      <c r="N185" s="22" t="s">
        <v>1781</v>
      </c>
      <c r="O185" s="22" t="s">
        <v>955</v>
      </c>
      <c r="P185" s="22" t="s">
        <v>1782</v>
      </c>
      <c r="Q185" s="22"/>
      <c r="R185" s="22" t="s">
        <v>1783</v>
      </c>
      <c r="S185" s="22" t="s">
        <v>61</v>
      </c>
      <c r="T185" s="22"/>
      <c r="U185" s="22" t="s">
        <v>412</v>
      </c>
      <c r="V185" s="22" t="s">
        <v>70</v>
      </c>
      <c r="W185" s="22" t="s">
        <v>71</v>
      </c>
      <c r="X185" s="25" t="n">
        <v>43617</v>
      </c>
      <c r="Y185" s="25" t="n">
        <v>45444</v>
      </c>
      <c r="Z185" s="22" t="s">
        <v>72</v>
      </c>
      <c r="AA185" s="22" t="s">
        <v>149</v>
      </c>
      <c r="AB185" s="22" t="s">
        <v>74</v>
      </c>
      <c r="AC185" s="22"/>
      <c r="AD185" s="22" t="n">
        <v>0</v>
      </c>
      <c r="AE185" s="22"/>
      <c r="AF185" s="22"/>
      <c r="AG185" s="22" t="s">
        <v>75</v>
      </c>
      <c r="AH185" s="22"/>
      <c r="AI185" s="22" t="n">
        <v>10</v>
      </c>
      <c r="AJ185" s="22" t="n">
        <v>30</v>
      </c>
      <c r="AK185" s="22" t="s">
        <v>76</v>
      </c>
      <c r="AL185" s="26" t="n">
        <v>36977</v>
      </c>
      <c r="AM185" s="26" t="n">
        <v>45006.6733196875</v>
      </c>
      <c r="AN185" s="25" t="n">
        <v>45006.6812384259</v>
      </c>
      <c r="AO185" s="22" t="n">
        <v>8</v>
      </c>
      <c r="AP185" s="22" t="n">
        <v>40</v>
      </c>
      <c r="AQ185" s="22" t="s">
        <v>0</v>
      </c>
      <c r="AR185" s="27" t="s">
        <v>1642</v>
      </c>
      <c r="AS185" s="27" t="s">
        <v>78</v>
      </c>
      <c r="AT185" s="27"/>
      <c r="AU185" s="27"/>
      <c r="AV185" s="27"/>
      <c r="AW185" s="27"/>
      <c r="AX185" s="27"/>
      <c r="AY185" s="27"/>
    </row>
    <row r="186" customFormat="false" ht="15.75" hidden="false" customHeight="true" outlineLevel="0" collapsed="false">
      <c r="A186" s="22" t="n">
        <v>182</v>
      </c>
      <c r="B186" s="23" t="s">
        <v>1784</v>
      </c>
      <c r="C186" s="22"/>
      <c r="D186" s="22" t="s">
        <v>1785</v>
      </c>
      <c r="E186" s="22" t="s">
        <v>81</v>
      </c>
      <c r="F186" s="22" t="s">
        <v>107</v>
      </c>
      <c r="G186" s="22" t="s">
        <v>59</v>
      </c>
      <c r="H186" s="22" t="s">
        <v>60</v>
      </c>
      <c r="I186" s="22"/>
      <c r="J186" s="22" t="s">
        <v>61</v>
      </c>
      <c r="K186" s="22" t="s">
        <v>1786</v>
      </c>
      <c r="L186" s="22" t="s">
        <v>62</v>
      </c>
      <c r="M186" s="22" t="s">
        <v>84</v>
      </c>
      <c r="N186" s="22" t="s">
        <v>1787</v>
      </c>
      <c r="O186" s="22" t="s">
        <v>963</v>
      </c>
      <c r="P186" s="22" t="s">
        <v>1788</v>
      </c>
      <c r="Q186" s="22"/>
      <c r="R186" s="22" t="s">
        <v>1789</v>
      </c>
      <c r="S186" s="22" t="s">
        <v>61</v>
      </c>
      <c r="T186" s="22"/>
      <c r="U186" s="22" t="s">
        <v>261</v>
      </c>
      <c r="V186" s="22" t="s">
        <v>70</v>
      </c>
      <c r="W186" s="22" t="s">
        <v>71</v>
      </c>
      <c r="X186" s="25" t="n">
        <v>44256</v>
      </c>
      <c r="Y186" s="25" t="n">
        <v>45992</v>
      </c>
      <c r="Z186" s="22" t="s">
        <v>72</v>
      </c>
      <c r="AA186" s="22" t="s">
        <v>91</v>
      </c>
      <c r="AB186" s="22" t="s">
        <v>74</v>
      </c>
      <c r="AC186" s="22"/>
      <c r="AD186" s="22" t="n">
        <v>0</v>
      </c>
      <c r="AE186" s="22"/>
      <c r="AF186" s="22"/>
      <c r="AG186" s="22" t="s">
        <v>75</v>
      </c>
      <c r="AH186" s="22"/>
      <c r="AI186" s="22" t="n">
        <v>10</v>
      </c>
      <c r="AJ186" s="22" t="n">
        <v>30</v>
      </c>
      <c r="AK186" s="22" t="s">
        <v>61</v>
      </c>
      <c r="AL186" s="26" t="n">
        <v>36988</v>
      </c>
      <c r="AM186" s="26" t="n">
        <v>45006.950671956</v>
      </c>
      <c r="AN186" s="25" t="n">
        <v>45007.9008796296</v>
      </c>
      <c r="AO186" s="22" t="n">
        <v>5</v>
      </c>
      <c r="AP186" s="22" t="n">
        <v>40</v>
      </c>
      <c r="AQ186" s="22" t="s">
        <v>0</v>
      </c>
      <c r="AR186" s="27" t="s">
        <v>1642</v>
      </c>
      <c r="AS186" s="27" t="s">
        <v>78</v>
      </c>
      <c r="AT186" s="27"/>
      <c r="AU186" s="27"/>
      <c r="AV186" s="27"/>
      <c r="AW186" s="27"/>
      <c r="AX186" s="27"/>
      <c r="AY186" s="27"/>
    </row>
    <row r="187" customFormat="false" ht="15.75" hidden="false" customHeight="true" outlineLevel="0" collapsed="false">
      <c r="A187" s="22" t="n">
        <v>183</v>
      </c>
      <c r="B187" s="23" t="s">
        <v>1790</v>
      </c>
      <c r="C187" s="22" t="s">
        <v>1791</v>
      </c>
      <c r="D187" s="22" t="s">
        <v>1792</v>
      </c>
      <c r="E187" s="22" t="s">
        <v>81</v>
      </c>
      <c r="F187" s="22" t="s">
        <v>107</v>
      </c>
      <c r="G187" s="22" t="s">
        <v>59</v>
      </c>
      <c r="H187" s="22" t="s">
        <v>156</v>
      </c>
      <c r="I187" s="22"/>
      <c r="J187" s="22" t="s">
        <v>61</v>
      </c>
      <c r="K187" s="22" t="s">
        <v>1793</v>
      </c>
      <c r="L187" s="22" t="s">
        <v>62</v>
      </c>
      <c r="M187" s="22" t="s">
        <v>84</v>
      </c>
      <c r="N187" s="22" t="s">
        <v>1794</v>
      </c>
      <c r="O187" s="22" t="s">
        <v>1795</v>
      </c>
      <c r="P187" s="22" t="s">
        <v>1796</v>
      </c>
      <c r="Q187" s="22"/>
      <c r="R187" s="22" t="s">
        <v>1797</v>
      </c>
      <c r="S187" s="22" t="s">
        <v>61</v>
      </c>
      <c r="T187" s="22"/>
      <c r="U187" s="22" t="s">
        <v>1798</v>
      </c>
      <c r="V187" s="22" t="s">
        <v>70</v>
      </c>
      <c r="W187" s="22" t="s">
        <v>71</v>
      </c>
      <c r="X187" s="25" t="n">
        <v>43466</v>
      </c>
      <c r="Y187" s="25" t="n">
        <v>45261</v>
      </c>
      <c r="Z187" s="22" t="s">
        <v>72</v>
      </c>
      <c r="AA187" s="22" t="s">
        <v>91</v>
      </c>
      <c r="AB187" s="22" t="s">
        <v>74</v>
      </c>
      <c r="AC187" s="22"/>
      <c r="AD187" s="22" t="n">
        <v>0</v>
      </c>
      <c r="AE187" s="22"/>
      <c r="AF187" s="22"/>
      <c r="AG187" s="22" t="s">
        <v>75</v>
      </c>
      <c r="AH187" s="22"/>
      <c r="AI187" s="22" t="n">
        <v>10</v>
      </c>
      <c r="AJ187" s="22" t="n">
        <v>30</v>
      </c>
      <c r="AK187" s="22" t="s">
        <v>61</v>
      </c>
      <c r="AL187" s="26" t="n">
        <v>36991</v>
      </c>
      <c r="AM187" s="26" t="n">
        <v>45007.6173966898</v>
      </c>
      <c r="AN187" s="25" t="n">
        <v>45007.6186574074</v>
      </c>
      <c r="AO187" s="22" t="n">
        <v>9</v>
      </c>
      <c r="AP187" s="22" t="n">
        <v>40</v>
      </c>
      <c r="AQ187" s="22" t="s">
        <v>0</v>
      </c>
      <c r="AR187" s="27" t="s">
        <v>1642</v>
      </c>
      <c r="AS187" s="27" t="s">
        <v>78</v>
      </c>
      <c r="AT187" s="27"/>
      <c r="AU187" s="27"/>
      <c r="AV187" s="27"/>
      <c r="AW187" s="27"/>
      <c r="AX187" s="27"/>
      <c r="AY187" s="27"/>
    </row>
    <row r="188" customFormat="false" ht="15.75" hidden="false" customHeight="true" outlineLevel="0" collapsed="false">
      <c r="A188" s="22" t="n">
        <v>184</v>
      </c>
      <c r="B188" s="23" t="s">
        <v>1799</v>
      </c>
      <c r="C188" s="22"/>
      <c r="D188" s="22" t="s">
        <v>1800</v>
      </c>
      <c r="E188" s="22" t="s">
        <v>81</v>
      </c>
      <c r="F188" s="22" t="s">
        <v>107</v>
      </c>
      <c r="G188" s="22" t="s">
        <v>59</v>
      </c>
      <c r="H188" s="22" t="s">
        <v>60</v>
      </c>
      <c r="I188" s="22"/>
      <c r="J188" s="22" t="s">
        <v>61</v>
      </c>
      <c r="K188" s="22" t="s">
        <v>1801</v>
      </c>
      <c r="L188" s="22" t="s">
        <v>62</v>
      </c>
      <c r="M188" s="22" t="s">
        <v>1220</v>
      </c>
      <c r="N188" s="22" t="s">
        <v>1802</v>
      </c>
      <c r="O188" s="22" t="s">
        <v>1222</v>
      </c>
      <c r="P188" s="22" t="s">
        <v>1803</v>
      </c>
      <c r="Q188" s="22"/>
      <c r="R188" s="22" t="s">
        <v>1804</v>
      </c>
      <c r="S188" s="22" t="s">
        <v>61</v>
      </c>
      <c r="T188" s="22"/>
      <c r="U188" s="22" t="s">
        <v>1225</v>
      </c>
      <c r="V188" s="22" t="s">
        <v>70</v>
      </c>
      <c r="W188" s="22" t="s">
        <v>71</v>
      </c>
      <c r="X188" s="25" t="n">
        <v>43466</v>
      </c>
      <c r="Y188" s="25" t="n">
        <v>44927</v>
      </c>
      <c r="Z188" s="22" t="s">
        <v>72</v>
      </c>
      <c r="AA188" s="22" t="s">
        <v>91</v>
      </c>
      <c r="AB188" s="22" t="s">
        <v>74</v>
      </c>
      <c r="AC188" s="22"/>
      <c r="AD188" s="22" t="n">
        <v>0</v>
      </c>
      <c r="AE188" s="22"/>
      <c r="AF188" s="22"/>
      <c r="AG188" s="22" t="s">
        <v>75</v>
      </c>
      <c r="AH188" s="22"/>
      <c r="AI188" s="22" t="n">
        <v>10</v>
      </c>
      <c r="AJ188" s="22" t="n">
        <v>30</v>
      </c>
      <c r="AK188" s="22" t="s">
        <v>61</v>
      </c>
      <c r="AL188" s="26" t="n">
        <v>36991</v>
      </c>
      <c r="AM188" s="26" t="n">
        <v>45007.6752966204</v>
      </c>
      <c r="AN188" s="25" t="n">
        <v>45007.6773611111</v>
      </c>
      <c r="AO188" s="22" t="n">
        <v>9</v>
      </c>
      <c r="AP188" s="22" t="n">
        <v>40</v>
      </c>
      <c r="AQ188" s="22" t="s">
        <v>1</v>
      </c>
      <c r="AR188" s="34" t="s">
        <v>1805</v>
      </c>
      <c r="AS188" s="27" t="s">
        <v>206</v>
      </c>
      <c r="AT188" s="28" t="n">
        <v>45054.4861111111</v>
      </c>
      <c r="AU188" s="27" t="s">
        <v>220</v>
      </c>
      <c r="AV188" s="27"/>
      <c r="AW188" s="27"/>
      <c r="AX188" s="27"/>
      <c r="AY188" s="27"/>
    </row>
    <row r="189" customFormat="false" ht="15.75" hidden="false" customHeight="true" outlineLevel="0" collapsed="false">
      <c r="A189" s="22" t="n">
        <v>185</v>
      </c>
      <c r="B189" s="23" t="s">
        <v>1806</v>
      </c>
      <c r="C189" s="22" t="s">
        <v>1807</v>
      </c>
      <c r="D189" s="22" t="s">
        <v>1808</v>
      </c>
      <c r="E189" s="22" t="s">
        <v>81</v>
      </c>
      <c r="F189" s="22" t="s">
        <v>107</v>
      </c>
      <c r="G189" s="22" t="s">
        <v>59</v>
      </c>
      <c r="H189" s="22" t="s">
        <v>60</v>
      </c>
      <c r="I189" s="22"/>
      <c r="J189" s="22" t="s">
        <v>61</v>
      </c>
      <c r="K189" s="22" t="s">
        <v>1809</v>
      </c>
      <c r="L189" s="22" t="s">
        <v>62</v>
      </c>
      <c r="M189" s="22" t="s">
        <v>84</v>
      </c>
      <c r="N189" s="22" t="s">
        <v>1810</v>
      </c>
      <c r="O189" s="22" t="s">
        <v>1811</v>
      </c>
      <c r="P189" s="22" t="s">
        <v>1812</v>
      </c>
      <c r="Q189" s="22"/>
      <c r="R189" s="22" t="s">
        <v>1813</v>
      </c>
      <c r="S189" s="22" t="s">
        <v>61</v>
      </c>
      <c r="T189" s="22"/>
      <c r="U189" s="22" t="s">
        <v>1411</v>
      </c>
      <c r="V189" s="22" t="s">
        <v>70</v>
      </c>
      <c r="W189" s="22" t="s">
        <v>71</v>
      </c>
      <c r="X189" s="25" t="n">
        <v>43497</v>
      </c>
      <c r="Y189" s="25" t="n">
        <v>45231</v>
      </c>
      <c r="Z189" s="22" t="s">
        <v>72</v>
      </c>
      <c r="AA189" s="22" t="s">
        <v>91</v>
      </c>
      <c r="AB189" s="22" t="s">
        <v>74</v>
      </c>
      <c r="AC189" s="22"/>
      <c r="AD189" s="22" t="n">
        <v>0</v>
      </c>
      <c r="AE189" s="22"/>
      <c r="AF189" s="22"/>
      <c r="AG189" s="22" t="s">
        <v>75</v>
      </c>
      <c r="AH189" s="22"/>
      <c r="AI189" s="22" t="n">
        <v>10</v>
      </c>
      <c r="AJ189" s="22" t="n">
        <v>30</v>
      </c>
      <c r="AK189" s="22" t="s">
        <v>61</v>
      </c>
      <c r="AL189" s="26" t="n">
        <v>36993</v>
      </c>
      <c r="AM189" s="26" t="n">
        <v>45000.456201713</v>
      </c>
      <c r="AN189" s="25" t="n">
        <v>45003.6353819444</v>
      </c>
      <c r="AO189" s="22" t="n">
        <v>9</v>
      </c>
      <c r="AP189" s="22" t="n">
        <v>40</v>
      </c>
      <c r="AQ189" s="22" t="s">
        <v>0</v>
      </c>
      <c r="AR189" s="27" t="s">
        <v>1642</v>
      </c>
      <c r="AS189" s="27" t="s">
        <v>78</v>
      </c>
      <c r="AT189" s="27"/>
      <c r="AU189" s="27"/>
      <c r="AV189" s="27"/>
      <c r="AW189" s="27"/>
      <c r="AX189" s="27"/>
      <c r="AY189" s="27"/>
    </row>
    <row r="190" customFormat="false" ht="15.75" hidden="false" customHeight="true" outlineLevel="0" collapsed="false">
      <c r="A190" s="22" t="n">
        <v>186</v>
      </c>
      <c r="B190" s="23" t="s">
        <v>1814</v>
      </c>
      <c r="C190" s="22" t="s">
        <v>1815</v>
      </c>
      <c r="D190" s="22" t="s">
        <v>1816</v>
      </c>
      <c r="E190" s="22" t="s">
        <v>81</v>
      </c>
      <c r="F190" s="22" t="s">
        <v>107</v>
      </c>
      <c r="G190" s="22" t="s">
        <v>59</v>
      </c>
      <c r="H190" s="22" t="s">
        <v>327</v>
      </c>
      <c r="I190" s="22"/>
      <c r="J190" s="22" t="s">
        <v>61</v>
      </c>
      <c r="K190" s="22" t="s">
        <v>1817</v>
      </c>
      <c r="L190" s="22" t="s">
        <v>62</v>
      </c>
      <c r="M190" s="22" t="s">
        <v>63</v>
      </c>
      <c r="N190" s="22" t="s">
        <v>1818</v>
      </c>
      <c r="O190" s="22" t="s">
        <v>1819</v>
      </c>
      <c r="P190" s="22" t="s">
        <v>1820</v>
      </c>
      <c r="Q190" s="22"/>
      <c r="R190" s="22" t="s">
        <v>1821</v>
      </c>
      <c r="S190" s="22" t="s">
        <v>61</v>
      </c>
      <c r="T190" s="22"/>
      <c r="U190" s="22" t="s">
        <v>217</v>
      </c>
      <c r="V190" s="22" t="s">
        <v>70</v>
      </c>
      <c r="W190" s="22" t="s">
        <v>71</v>
      </c>
      <c r="X190" s="25" t="n">
        <v>43862</v>
      </c>
      <c r="Y190" s="25" t="n">
        <v>45809</v>
      </c>
      <c r="Z190" s="22" t="s">
        <v>72</v>
      </c>
      <c r="AA190" s="22" t="s">
        <v>74</v>
      </c>
      <c r="AB190" s="22" t="s">
        <v>74</v>
      </c>
      <c r="AC190" s="22"/>
      <c r="AD190" s="22" t="n">
        <v>0</v>
      </c>
      <c r="AE190" s="22"/>
      <c r="AF190" s="22"/>
      <c r="AG190" s="22" t="s">
        <v>75</v>
      </c>
      <c r="AH190" s="22"/>
      <c r="AI190" s="22" t="n">
        <v>10</v>
      </c>
      <c r="AJ190" s="22" t="n">
        <v>30</v>
      </c>
      <c r="AK190" s="22" t="s">
        <v>61</v>
      </c>
      <c r="AL190" s="26" t="n">
        <v>36996</v>
      </c>
      <c r="AM190" s="26" t="n">
        <v>45001.5876118056</v>
      </c>
      <c r="AN190" s="25" t="n">
        <v>45001.589212963</v>
      </c>
      <c r="AO190" s="22" t="n">
        <v>6</v>
      </c>
      <c r="AP190" s="22" t="n">
        <v>40</v>
      </c>
      <c r="AQ190" s="22" t="s">
        <v>0</v>
      </c>
      <c r="AR190" s="27" t="s">
        <v>1642</v>
      </c>
      <c r="AS190" s="27" t="s">
        <v>78</v>
      </c>
      <c r="AT190" s="27"/>
      <c r="AU190" s="27"/>
      <c r="AV190" s="27"/>
      <c r="AW190" s="27"/>
      <c r="AX190" s="27"/>
      <c r="AY190" s="27"/>
    </row>
    <row r="191" customFormat="false" ht="15.75" hidden="false" customHeight="true" outlineLevel="0" collapsed="false">
      <c r="A191" s="22" t="n">
        <v>187</v>
      </c>
      <c r="B191" s="23" t="s">
        <v>1822</v>
      </c>
      <c r="C191" s="22" t="s">
        <v>1823</v>
      </c>
      <c r="D191" s="22" t="s">
        <v>1824</v>
      </c>
      <c r="E191" s="22" t="s">
        <v>81</v>
      </c>
      <c r="F191" s="22" t="s">
        <v>107</v>
      </c>
      <c r="G191" s="22" t="s">
        <v>59</v>
      </c>
      <c r="H191" s="22" t="s">
        <v>60</v>
      </c>
      <c r="I191" s="22"/>
      <c r="J191" s="22" t="s">
        <v>61</v>
      </c>
      <c r="K191" s="22" t="s">
        <v>1825</v>
      </c>
      <c r="L191" s="22" t="s">
        <v>62</v>
      </c>
      <c r="M191" s="22" t="s">
        <v>84</v>
      </c>
      <c r="N191" s="22" t="s">
        <v>1826</v>
      </c>
      <c r="O191" s="22" t="s">
        <v>963</v>
      </c>
      <c r="P191" s="22" t="s">
        <v>1827</v>
      </c>
      <c r="Q191" s="22"/>
      <c r="R191" s="22" t="s">
        <v>1828</v>
      </c>
      <c r="S191" s="22" t="s">
        <v>61</v>
      </c>
      <c r="T191" s="22"/>
      <c r="U191" s="22" t="s">
        <v>261</v>
      </c>
      <c r="V191" s="22" t="s">
        <v>70</v>
      </c>
      <c r="W191" s="22" t="s">
        <v>71</v>
      </c>
      <c r="X191" s="25" t="n">
        <v>43862</v>
      </c>
      <c r="Y191" s="25" t="n">
        <v>45627</v>
      </c>
      <c r="Z191" s="22" t="s">
        <v>72</v>
      </c>
      <c r="AA191" s="22" t="s">
        <v>74</v>
      </c>
      <c r="AB191" s="22" t="s">
        <v>74</v>
      </c>
      <c r="AC191" s="22"/>
      <c r="AD191" s="22" t="n">
        <v>0</v>
      </c>
      <c r="AE191" s="22"/>
      <c r="AF191" s="22"/>
      <c r="AG191" s="22" t="s">
        <v>75</v>
      </c>
      <c r="AH191" s="22"/>
      <c r="AI191" s="22" t="n">
        <v>10</v>
      </c>
      <c r="AJ191" s="22" t="n">
        <v>30</v>
      </c>
      <c r="AK191" s="22" t="s">
        <v>61</v>
      </c>
      <c r="AL191" s="26" t="n">
        <v>37023</v>
      </c>
      <c r="AM191" s="26" t="n">
        <v>45005.5827675463</v>
      </c>
      <c r="AN191" s="25" t="n">
        <v>45009.4006018519</v>
      </c>
      <c r="AO191" s="22" t="n">
        <v>7</v>
      </c>
      <c r="AP191" s="22" t="n">
        <v>40</v>
      </c>
      <c r="AQ191" s="22" t="s">
        <v>1</v>
      </c>
      <c r="AR191" s="34" t="s">
        <v>1805</v>
      </c>
      <c r="AS191" s="27" t="s">
        <v>206</v>
      </c>
      <c r="AT191" s="28" t="n">
        <v>45054.4861111111</v>
      </c>
      <c r="AU191" s="27" t="s">
        <v>220</v>
      </c>
      <c r="AV191" s="27"/>
      <c r="AW191" s="27"/>
      <c r="AX191" s="27"/>
      <c r="AY191" s="27"/>
    </row>
    <row r="192" customFormat="false" ht="15.75" hidden="false" customHeight="true" outlineLevel="0" collapsed="false">
      <c r="A192" s="22" t="n">
        <v>188</v>
      </c>
      <c r="B192" s="23" t="s">
        <v>1829</v>
      </c>
      <c r="C192" s="22"/>
      <c r="D192" s="22" t="s">
        <v>1830</v>
      </c>
      <c r="E192" s="22" t="s">
        <v>81</v>
      </c>
      <c r="F192" s="22" t="s">
        <v>107</v>
      </c>
      <c r="G192" s="22" t="s">
        <v>59</v>
      </c>
      <c r="H192" s="22" t="s">
        <v>96</v>
      </c>
      <c r="I192" s="22"/>
      <c r="J192" s="22" t="s">
        <v>61</v>
      </c>
      <c r="K192" s="22" t="s">
        <v>1831</v>
      </c>
      <c r="L192" s="22" t="s">
        <v>580</v>
      </c>
      <c r="M192" s="22" t="s">
        <v>581</v>
      </c>
      <c r="N192" s="22" t="s">
        <v>1832</v>
      </c>
      <c r="O192" s="22" t="s">
        <v>1704</v>
      </c>
      <c r="P192" s="22" t="s">
        <v>1833</v>
      </c>
      <c r="Q192" s="22" t="s">
        <v>1834</v>
      </c>
      <c r="R192" s="22" t="s">
        <v>1835</v>
      </c>
      <c r="S192" s="22" t="s">
        <v>61</v>
      </c>
      <c r="T192" s="22"/>
      <c r="U192" s="22" t="s">
        <v>1836</v>
      </c>
      <c r="V192" s="22" t="s">
        <v>70</v>
      </c>
      <c r="W192" s="22" t="s">
        <v>71</v>
      </c>
      <c r="X192" s="25" t="n">
        <v>43466</v>
      </c>
      <c r="Y192" s="25" t="n">
        <v>45627</v>
      </c>
      <c r="Z192" s="22" t="s">
        <v>72</v>
      </c>
      <c r="AA192" s="22" t="s">
        <v>91</v>
      </c>
      <c r="AB192" s="22" t="s">
        <v>74</v>
      </c>
      <c r="AC192" s="22"/>
      <c r="AD192" s="22" t="n">
        <v>0</v>
      </c>
      <c r="AE192" s="22"/>
      <c r="AF192" s="22"/>
      <c r="AG192" s="22" t="s">
        <v>75</v>
      </c>
      <c r="AH192" s="22"/>
      <c r="AI192" s="22" t="n">
        <v>10</v>
      </c>
      <c r="AJ192" s="22" t="n">
        <v>30</v>
      </c>
      <c r="AK192" s="22" t="s">
        <v>61</v>
      </c>
      <c r="AL192" s="26" t="n">
        <v>37031</v>
      </c>
      <c r="AM192" s="26" t="n">
        <v>45005.4443274306</v>
      </c>
      <c r="AN192" s="25" t="n">
        <v>45005.4475115741</v>
      </c>
      <c r="AO192" s="22" t="n">
        <v>7</v>
      </c>
      <c r="AP192" s="22" t="n">
        <v>40</v>
      </c>
      <c r="AQ192" s="22" t="s">
        <v>1</v>
      </c>
      <c r="AR192" s="34" t="s">
        <v>1805</v>
      </c>
      <c r="AS192" s="27" t="s">
        <v>206</v>
      </c>
      <c r="AT192" s="28" t="n">
        <v>45054.4861111111</v>
      </c>
      <c r="AU192" s="27" t="s">
        <v>220</v>
      </c>
      <c r="AV192" s="27"/>
      <c r="AW192" s="27"/>
      <c r="AX192" s="27"/>
      <c r="AY192" s="27"/>
    </row>
    <row r="193" customFormat="false" ht="15.75" hidden="false" customHeight="true" outlineLevel="0" collapsed="false">
      <c r="A193" s="22" t="n">
        <v>189</v>
      </c>
      <c r="B193" s="23" t="s">
        <v>1837</v>
      </c>
      <c r="C193" s="22"/>
      <c r="D193" s="22" t="s">
        <v>1838</v>
      </c>
      <c r="E193" s="22" t="s">
        <v>57</v>
      </c>
      <c r="F193" s="22" t="s">
        <v>82</v>
      </c>
      <c r="G193" s="22" t="s">
        <v>59</v>
      </c>
      <c r="H193" s="22" t="s">
        <v>96</v>
      </c>
      <c r="I193" s="22"/>
      <c r="J193" s="22" t="s">
        <v>61</v>
      </c>
      <c r="K193" s="22" t="s">
        <v>1839</v>
      </c>
      <c r="L193" s="22" t="s">
        <v>62</v>
      </c>
      <c r="M193" s="22" t="s">
        <v>63</v>
      </c>
      <c r="N193" s="22" t="s">
        <v>1840</v>
      </c>
      <c r="O193" s="22" t="s">
        <v>1841</v>
      </c>
      <c r="P193" s="22" t="s">
        <v>1842</v>
      </c>
      <c r="Q193" s="22" t="s">
        <v>1843</v>
      </c>
      <c r="R193" s="22" t="s">
        <v>1844</v>
      </c>
      <c r="S193" s="22" t="s">
        <v>61</v>
      </c>
      <c r="T193" s="22"/>
      <c r="U193" s="22" t="s">
        <v>1845</v>
      </c>
      <c r="V193" s="22" t="s">
        <v>70</v>
      </c>
      <c r="W193" s="22" t="s">
        <v>71</v>
      </c>
      <c r="X193" s="25" t="n">
        <v>43678</v>
      </c>
      <c r="Y193" s="25" t="n">
        <v>45474</v>
      </c>
      <c r="Z193" s="22" t="s">
        <v>72</v>
      </c>
      <c r="AA193" s="22" t="s">
        <v>149</v>
      </c>
      <c r="AB193" s="22" t="s">
        <v>74</v>
      </c>
      <c r="AC193" s="22"/>
      <c r="AD193" s="22" t="n">
        <v>0</v>
      </c>
      <c r="AE193" s="22"/>
      <c r="AF193" s="22"/>
      <c r="AG193" s="22" t="s">
        <v>75</v>
      </c>
      <c r="AH193" s="22"/>
      <c r="AI193" s="22" t="n">
        <v>10</v>
      </c>
      <c r="AJ193" s="22" t="n">
        <v>30</v>
      </c>
      <c r="AK193" s="22" t="s">
        <v>61</v>
      </c>
      <c r="AL193" s="26" t="n">
        <v>37036</v>
      </c>
      <c r="AM193" s="26" t="n">
        <v>45001.4159503472</v>
      </c>
      <c r="AN193" s="25" t="n">
        <v>45007.4839699074</v>
      </c>
      <c r="AO193" s="22" t="n">
        <v>7</v>
      </c>
      <c r="AP193" s="22" t="n">
        <v>40</v>
      </c>
      <c r="AQ193" s="22" t="s">
        <v>0</v>
      </c>
      <c r="AR193" s="27" t="s">
        <v>1642</v>
      </c>
      <c r="AS193" s="27" t="s">
        <v>78</v>
      </c>
      <c r="AT193" s="27"/>
      <c r="AU193" s="27"/>
      <c r="AV193" s="27"/>
      <c r="AW193" s="27"/>
      <c r="AX193" s="27"/>
      <c r="AY193" s="27"/>
    </row>
    <row r="194" customFormat="false" ht="15.75" hidden="false" customHeight="true" outlineLevel="0" collapsed="false">
      <c r="A194" s="22" t="n">
        <v>190</v>
      </c>
      <c r="B194" s="23" t="s">
        <v>1846</v>
      </c>
      <c r="C194" s="22" t="s">
        <v>1847</v>
      </c>
      <c r="D194" s="22" t="s">
        <v>1848</v>
      </c>
      <c r="E194" s="22" t="s">
        <v>57</v>
      </c>
      <c r="F194" s="22" t="s">
        <v>107</v>
      </c>
      <c r="G194" s="22" t="s">
        <v>59</v>
      </c>
      <c r="H194" s="22" t="s">
        <v>96</v>
      </c>
      <c r="I194" s="22"/>
      <c r="J194" s="22" t="s">
        <v>61</v>
      </c>
      <c r="K194" s="22" t="s">
        <v>1849</v>
      </c>
      <c r="L194" s="22" t="s">
        <v>62</v>
      </c>
      <c r="M194" s="22" t="s">
        <v>1850</v>
      </c>
      <c r="N194" s="22" t="s">
        <v>1851</v>
      </c>
      <c r="O194" s="22" t="s">
        <v>1852</v>
      </c>
      <c r="P194" s="22" t="s">
        <v>1853</v>
      </c>
      <c r="Q194" s="22"/>
      <c r="R194" s="22" t="s">
        <v>1854</v>
      </c>
      <c r="S194" s="22" t="s">
        <v>61</v>
      </c>
      <c r="T194" s="22"/>
      <c r="U194" s="22" t="s">
        <v>1855</v>
      </c>
      <c r="V194" s="22" t="s">
        <v>70</v>
      </c>
      <c r="W194" s="22" t="s">
        <v>71</v>
      </c>
      <c r="X194" s="25" t="n">
        <v>44197</v>
      </c>
      <c r="Y194" s="25" t="n">
        <v>45992</v>
      </c>
      <c r="Z194" s="22" t="s">
        <v>72</v>
      </c>
      <c r="AA194" s="22" t="s">
        <v>149</v>
      </c>
      <c r="AB194" s="22" t="s">
        <v>74</v>
      </c>
      <c r="AC194" s="22"/>
      <c r="AD194" s="22" t="n">
        <v>0</v>
      </c>
      <c r="AE194" s="22"/>
      <c r="AF194" s="22"/>
      <c r="AG194" s="22" t="s">
        <v>75</v>
      </c>
      <c r="AH194" s="22"/>
      <c r="AI194" s="22" t="n">
        <v>10</v>
      </c>
      <c r="AJ194" s="22" t="n">
        <v>30</v>
      </c>
      <c r="AK194" s="22" t="s">
        <v>61</v>
      </c>
      <c r="AL194" s="26" t="n">
        <v>37036</v>
      </c>
      <c r="AM194" s="26" t="n">
        <v>45006.4203990046</v>
      </c>
      <c r="AN194" s="25" t="n">
        <v>45007.4028125</v>
      </c>
      <c r="AO194" s="22" t="n">
        <v>5</v>
      </c>
      <c r="AP194" s="22" t="n">
        <v>40</v>
      </c>
      <c r="AQ194" s="22" t="s">
        <v>0</v>
      </c>
      <c r="AR194" s="27" t="s">
        <v>1642</v>
      </c>
      <c r="AS194" s="27" t="s">
        <v>78</v>
      </c>
      <c r="AT194" s="27"/>
      <c r="AU194" s="27"/>
      <c r="AV194" s="27"/>
      <c r="AW194" s="27"/>
      <c r="AX194" s="27"/>
      <c r="AY194" s="27"/>
    </row>
    <row r="195" customFormat="false" ht="15.75" hidden="false" customHeight="true" outlineLevel="0" collapsed="false">
      <c r="A195" s="22" t="n">
        <v>191</v>
      </c>
      <c r="B195" s="23" t="s">
        <v>1856</v>
      </c>
      <c r="C195" s="22"/>
      <c r="D195" s="22" t="s">
        <v>1857</v>
      </c>
      <c r="E195" s="22" t="s">
        <v>81</v>
      </c>
      <c r="F195" s="22" t="s">
        <v>107</v>
      </c>
      <c r="G195" s="22" t="s">
        <v>59</v>
      </c>
      <c r="H195" s="22" t="s">
        <v>60</v>
      </c>
      <c r="I195" s="22"/>
      <c r="J195" s="22" t="s">
        <v>61</v>
      </c>
      <c r="K195" s="22" t="s">
        <v>1858</v>
      </c>
      <c r="L195" s="22" t="s">
        <v>62</v>
      </c>
      <c r="M195" s="22" t="s">
        <v>63</v>
      </c>
      <c r="N195" s="22" t="s">
        <v>1859</v>
      </c>
      <c r="O195" s="22" t="s">
        <v>1860</v>
      </c>
      <c r="P195" s="22" t="s">
        <v>1861</v>
      </c>
      <c r="Q195" s="22"/>
      <c r="R195" s="22" t="s">
        <v>1862</v>
      </c>
      <c r="S195" s="22" t="s">
        <v>61</v>
      </c>
      <c r="T195" s="22"/>
      <c r="U195" s="22" t="s">
        <v>261</v>
      </c>
      <c r="V195" s="22" t="s">
        <v>70</v>
      </c>
      <c r="W195" s="22" t="s">
        <v>71</v>
      </c>
      <c r="X195" s="25" t="n">
        <v>44197</v>
      </c>
      <c r="Y195" s="25" t="n">
        <v>45992</v>
      </c>
      <c r="Z195" s="22" t="s">
        <v>72</v>
      </c>
      <c r="AA195" s="22" t="s">
        <v>149</v>
      </c>
      <c r="AB195" s="22" t="s">
        <v>74</v>
      </c>
      <c r="AC195" s="22"/>
      <c r="AD195" s="22" t="n">
        <v>0</v>
      </c>
      <c r="AE195" s="22"/>
      <c r="AF195" s="22"/>
      <c r="AG195" s="22" t="s">
        <v>75</v>
      </c>
      <c r="AH195" s="22"/>
      <c r="AI195" s="22" t="n">
        <v>10</v>
      </c>
      <c r="AJ195" s="22" t="n">
        <v>30</v>
      </c>
      <c r="AK195" s="22" t="s">
        <v>61</v>
      </c>
      <c r="AL195" s="26" t="n">
        <v>37042</v>
      </c>
      <c r="AM195" s="26" t="n">
        <v>45002.0398267477</v>
      </c>
      <c r="AN195" s="25" t="n">
        <v>45007.8727546296</v>
      </c>
      <c r="AO195" s="22" t="n">
        <v>5</v>
      </c>
      <c r="AP195" s="22" t="n">
        <v>40</v>
      </c>
      <c r="AQ195" s="22" t="s">
        <v>0</v>
      </c>
      <c r="AR195" s="27" t="s">
        <v>1642</v>
      </c>
      <c r="AS195" s="27" t="s">
        <v>78</v>
      </c>
      <c r="AT195" s="27"/>
      <c r="AU195" s="27"/>
      <c r="AV195" s="27"/>
      <c r="AW195" s="27"/>
      <c r="AX195" s="27"/>
      <c r="AY195" s="27"/>
    </row>
    <row r="196" customFormat="false" ht="15.75" hidden="false" customHeight="true" outlineLevel="0" collapsed="false">
      <c r="A196" s="22" t="n">
        <v>192</v>
      </c>
      <c r="B196" s="23" t="s">
        <v>1863</v>
      </c>
      <c r="C196" s="22"/>
      <c r="D196" s="22" t="s">
        <v>1864</v>
      </c>
      <c r="E196" s="22" t="s">
        <v>81</v>
      </c>
      <c r="F196" s="22" t="s">
        <v>107</v>
      </c>
      <c r="G196" s="22" t="s">
        <v>59</v>
      </c>
      <c r="H196" s="22" t="s">
        <v>60</v>
      </c>
      <c r="I196" s="22"/>
      <c r="J196" s="22" t="s">
        <v>61</v>
      </c>
      <c r="K196" s="22" t="s">
        <v>1865</v>
      </c>
      <c r="L196" s="22" t="s">
        <v>62</v>
      </c>
      <c r="M196" s="22" t="s">
        <v>84</v>
      </c>
      <c r="N196" s="22" t="s">
        <v>1866</v>
      </c>
      <c r="O196" s="22" t="s">
        <v>1867</v>
      </c>
      <c r="P196" s="22" t="s">
        <v>1868</v>
      </c>
      <c r="Q196" s="22" t="s">
        <v>1869</v>
      </c>
      <c r="R196" s="22" t="s">
        <v>1870</v>
      </c>
      <c r="S196" s="22" t="s">
        <v>61</v>
      </c>
      <c r="T196" s="22"/>
      <c r="U196" s="22" t="s">
        <v>1777</v>
      </c>
      <c r="V196" s="22" t="s">
        <v>70</v>
      </c>
      <c r="W196" s="22" t="s">
        <v>71</v>
      </c>
      <c r="X196" s="25" t="n">
        <v>43862</v>
      </c>
      <c r="Y196" s="25" t="n">
        <v>45627</v>
      </c>
      <c r="Z196" s="22" t="s">
        <v>72</v>
      </c>
      <c r="AA196" s="22" t="s">
        <v>149</v>
      </c>
      <c r="AB196" s="22" t="s">
        <v>74</v>
      </c>
      <c r="AC196" s="22"/>
      <c r="AD196" s="22" t="n">
        <v>0</v>
      </c>
      <c r="AE196" s="22"/>
      <c r="AF196" s="22"/>
      <c r="AG196" s="22" t="s">
        <v>75</v>
      </c>
      <c r="AH196" s="22"/>
      <c r="AI196" s="22" t="n">
        <v>10</v>
      </c>
      <c r="AJ196" s="22" t="n">
        <v>30</v>
      </c>
      <c r="AK196" s="22" t="s">
        <v>61</v>
      </c>
      <c r="AL196" s="26" t="n">
        <v>37042</v>
      </c>
      <c r="AM196" s="26" t="n">
        <v>45008.4304221412</v>
      </c>
      <c r="AN196" s="25" t="n">
        <v>45008.4315856482</v>
      </c>
      <c r="AO196" s="22" t="n">
        <v>7</v>
      </c>
      <c r="AP196" s="22" t="n">
        <v>40</v>
      </c>
      <c r="AQ196" s="22" t="s">
        <v>0</v>
      </c>
      <c r="AR196" s="27" t="s">
        <v>1805</v>
      </c>
      <c r="AS196" s="27" t="s">
        <v>78</v>
      </c>
      <c r="AT196" s="27"/>
      <c r="AU196" s="27"/>
      <c r="AV196" s="27"/>
      <c r="AW196" s="27"/>
      <c r="AX196" s="27"/>
      <c r="AY196" s="27"/>
    </row>
    <row r="197" customFormat="false" ht="15.75" hidden="false" customHeight="true" outlineLevel="0" collapsed="false">
      <c r="A197" s="22" t="n">
        <v>193</v>
      </c>
      <c r="B197" s="23" t="s">
        <v>1871</v>
      </c>
      <c r="C197" s="22" t="s">
        <v>1872</v>
      </c>
      <c r="D197" s="22" t="s">
        <v>1873</v>
      </c>
      <c r="E197" s="22" t="s">
        <v>81</v>
      </c>
      <c r="F197" s="22" t="s">
        <v>107</v>
      </c>
      <c r="G197" s="22" t="s">
        <v>59</v>
      </c>
      <c r="H197" s="22" t="s">
        <v>60</v>
      </c>
      <c r="I197" s="22"/>
      <c r="J197" s="22" t="s">
        <v>61</v>
      </c>
      <c r="K197" s="22" t="s">
        <v>1874</v>
      </c>
      <c r="L197" s="22" t="s">
        <v>580</v>
      </c>
      <c r="M197" s="22" t="s">
        <v>581</v>
      </c>
      <c r="N197" s="22" t="s">
        <v>1875</v>
      </c>
      <c r="O197" s="22" t="s">
        <v>1876</v>
      </c>
      <c r="P197" s="22" t="s">
        <v>1877</v>
      </c>
      <c r="Q197" s="22"/>
      <c r="R197" s="22" t="s">
        <v>1878</v>
      </c>
      <c r="S197" s="22" t="s">
        <v>61</v>
      </c>
      <c r="T197" s="22"/>
      <c r="U197" s="22" t="s">
        <v>1879</v>
      </c>
      <c r="V197" s="22" t="s">
        <v>70</v>
      </c>
      <c r="W197" s="22" t="s">
        <v>71</v>
      </c>
      <c r="X197" s="25" t="n">
        <v>43497</v>
      </c>
      <c r="Y197" s="25" t="n">
        <v>45261</v>
      </c>
      <c r="Z197" s="22" t="s">
        <v>72</v>
      </c>
      <c r="AA197" s="22" t="s">
        <v>149</v>
      </c>
      <c r="AB197" s="22" t="s">
        <v>74</v>
      </c>
      <c r="AC197" s="22"/>
      <c r="AD197" s="22" t="n">
        <v>0</v>
      </c>
      <c r="AE197" s="22"/>
      <c r="AF197" s="22"/>
      <c r="AG197" s="22" t="s">
        <v>75</v>
      </c>
      <c r="AH197" s="22"/>
      <c r="AI197" s="22" t="n">
        <v>10</v>
      </c>
      <c r="AJ197" s="22" t="n">
        <v>30</v>
      </c>
      <c r="AK197" s="22" t="s">
        <v>61</v>
      </c>
      <c r="AL197" s="26" t="n">
        <v>37045</v>
      </c>
      <c r="AM197" s="26" t="n">
        <v>45000.4028109954</v>
      </c>
      <c r="AN197" s="25" t="n">
        <v>45000.4085648148</v>
      </c>
      <c r="AO197" s="22" t="n">
        <v>9</v>
      </c>
      <c r="AP197" s="22" t="n">
        <v>40</v>
      </c>
      <c r="AQ197" s="22" t="s">
        <v>0</v>
      </c>
      <c r="AR197" s="27" t="s">
        <v>1805</v>
      </c>
      <c r="AS197" s="27" t="s">
        <v>78</v>
      </c>
      <c r="AT197" s="27"/>
      <c r="AU197" s="27"/>
      <c r="AV197" s="27"/>
      <c r="AW197" s="27"/>
      <c r="AX197" s="27"/>
      <c r="AY197" s="27"/>
    </row>
    <row r="198" customFormat="false" ht="15.75" hidden="false" customHeight="true" outlineLevel="0" collapsed="false">
      <c r="A198" s="22" t="n">
        <v>194</v>
      </c>
      <c r="B198" s="23" t="s">
        <v>1880</v>
      </c>
      <c r="C198" s="22" t="s">
        <v>1881</v>
      </c>
      <c r="D198" s="22" t="s">
        <v>1882</v>
      </c>
      <c r="E198" s="22" t="s">
        <v>81</v>
      </c>
      <c r="F198" s="22" t="s">
        <v>107</v>
      </c>
      <c r="G198" s="22" t="s">
        <v>59</v>
      </c>
      <c r="H198" s="22" t="s">
        <v>60</v>
      </c>
      <c r="I198" s="22"/>
      <c r="J198" s="22" t="s">
        <v>61</v>
      </c>
      <c r="K198" s="22" t="s">
        <v>1883</v>
      </c>
      <c r="L198" s="22" t="s">
        <v>62</v>
      </c>
      <c r="M198" s="22" t="s">
        <v>1884</v>
      </c>
      <c r="N198" s="22" t="s">
        <v>1885</v>
      </c>
      <c r="O198" s="22" t="s">
        <v>1886</v>
      </c>
      <c r="P198" s="22" t="s">
        <v>1887</v>
      </c>
      <c r="Q198" s="22" t="s">
        <v>1888</v>
      </c>
      <c r="R198" s="22" t="s">
        <v>1889</v>
      </c>
      <c r="S198" s="22" t="s">
        <v>61</v>
      </c>
      <c r="T198" s="22"/>
      <c r="U198" s="22" t="s">
        <v>1890</v>
      </c>
      <c r="V198" s="22" t="s">
        <v>70</v>
      </c>
      <c r="W198" s="22" t="s">
        <v>71</v>
      </c>
      <c r="X198" s="25" t="n">
        <v>43831</v>
      </c>
      <c r="Y198" s="25" t="n">
        <v>45627</v>
      </c>
      <c r="Z198" s="22" t="s">
        <v>72</v>
      </c>
      <c r="AA198" s="22" t="s">
        <v>91</v>
      </c>
      <c r="AB198" s="22" t="s">
        <v>74</v>
      </c>
      <c r="AC198" s="22"/>
      <c r="AD198" s="22" t="n">
        <v>0</v>
      </c>
      <c r="AE198" s="22"/>
      <c r="AF198" s="22"/>
      <c r="AG198" s="22" t="s">
        <v>75</v>
      </c>
      <c r="AH198" s="22"/>
      <c r="AI198" s="22" t="n">
        <v>10</v>
      </c>
      <c r="AJ198" s="22" t="n">
        <v>30</v>
      </c>
      <c r="AK198" s="22" t="s">
        <v>61</v>
      </c>
      <c r="AL198" s="26" t="n">
        <v>37047</v>
      </c>
      <c r="AM198" s="26" t="n">
        <v>45000.8995296991</v>
      </c>
      <c r="AN198" s="25" t="n">
        <v>45005.9114236111</v>
      </c>
      <c r="AO198" s="22" t="n">
        <v>7</v>
      </c>
      <c r="AP198" s="22" t="n">
        <v>40</v>
      </c>
      <c r="AQ198" s="22" t="s">
        <v>1</v>
      </c>
      <c r="AR198" s="34" t="s">
        <v>1805</v>
      </c>
      <c r="AS198" s="27" t="s">
        <v>206</v>
      </c>
      <c r="AT198" s="28" t="n">
        <v>45054.4861111111</v>
      </c>
      <c r="AU198" s="27" t="s">
        <v>220</v>
      </c>
      <c r="AV198" s="27"/>
      <c r="AW198" s="27"/>
      <c r="AX198" s="27"/>
      <c r="AY198" s="27"/>
    </row>
    <row r="199" customFormat="false" ht="15.75" hidden="false" customHeight="true" outlineLevel="0" collapsed="false">
      <c r="A199" s="22" t="n">
        <v>195</v>
      </c>
      <c r="B199" s="23" t="s">
        <v>1891</v>
      </c>
      <c r="C199" s="22" t="s">
        <v>1892</v>
      </c>
      <c r="D199" s="22" t="s">
        <v>1893</v>
      </c>
      <c r="E199" s="22" t="s">
        <v>81</v>
      </c>
      <c r="F199" s="22" t="s">
        <v>107</v>
      </c>
      <c r="G199" s="22" t="s">
        <v>59</v>
      </c>
      <c r="H199" s="22" t="s">
        <v>327</v>
      </c>
      <c r="I199" s="22"/>
      <c r="J199" s="22" t="s">
        <v>61</v>
      </c>
      <c r="K199" s="22" t="s">
        <v>1894</v>
      </c>
      <c r="L199" s="22" t="s">
        <v>62</v>
      </c>
      <c r="M199" s="22" t="s">
        <v>84</v>
      </c>
      <c r="N199" s="22" t="s">
        <v>1895</v>
      </c>
      <c r="O199" s="22" t="s">
        <v>1896</v>
      </c>
      <c r="P199" s="22" t="s">
        <v>1897</v>
      </c>
      <c r="Q199" s="22"/>
      <c r="R199" s="22" t="s">
        <v>1898</v>
      </c>
      <c r="S199" s="22" t="s">
        <v>61</v>
      </c>
      <c r="T199" s="22"/>
      <c r="U199" s="22" t="s">
        <v>1899</v>
      </c>
      <c r="V199" s="22" t="s">
        <v>70</v>
      </c>
      <c r="W199" s="22" t="s">
        <v>71</v>
      </c>
      <c r="X199" s="25" t="n">
        <v>43922</v>
      </c>
      <c r="Y199" s="25" t="n">
        <v>45627</v>
      </c>
      <c r="Z199" s="22" t="s">
        <v>72</v>
      </c>
      <c r="AA199" s="22" t="s">
        <v>91</v>
      </c>
      <c r="AB199" s="22" t="s">
        <v>74</v>
      </c>
      <c r="AC199" s="22"/>
      <c r="AD199" s="22" t="n">
        <v>0</v>
      </c>
      <c r="AE199" s="22"/>
      <c r="AF199" s="22"/>
      <c r="AG199" s="22" t="s">
        <v>75</v>
      </c>
      <c r="AH199" s="22"/>
      <c r="AI199" s="22" t="n">
        <v>10</v>
      </c>
      <c r="AJ199" s="22" t="n">
        <v>30</v>
      </c>
      <c r="AK199" s="22" t="s">
        <v>61</v>
      </c>
      <c r="AL199" s="26" t="n">
        <v>37063</v>
      </c>
      <c r="AM199" s="26" t="n">
        <v>45000.5341738889</v>
      </c>
      <c r="AN199" s="25" t="n">
        <v>45000.5354282407</v>
      </c>
      <c r="AO199" s="22" t="n">
        <v>6</v>
      </c>
      <c r="AP199" s="22" t="n">
        <v>40</v>
      </c>
      <c r="AQ199" s="22" t="s">
        <v>0</v>
      </c>
      <c r="AR199" s="41" t="s">
        <v>1805</v>
      </c>
      <c r="AS199" s="42" t="s">
        <v>78</v>
      </c>
      <c r="AT199" s="27"/>
      <c r="AU199" s="27"/>
      <c r="AV199" s="27"/>
      <c r="AW199" s="27"/>
      <c r="AX199" s="27"/>
      <c r="AY199" s="27"/>
    </row>
    <row r="200" customFormat="false" ht="15.75" hidden="false" customHeight="true" outlineLevel="0" collapsed="false">
      <c r="A200" s="22" t="n">
        <v>196</v>
      </c>
      <c r="B200" s="23" t="s">
        <v>1900</v>
      </c>
      <c r="C200" s="22"/>
      <c r="D200" s="22" t="s">
        <v>1901</v>
      </c>
      <c r="E200" s="22" t="s">
        <v>57</v>
      </c>
      <c r="F200" s="22" t="s">
        <v>107</v>
      </c>
      <c r="G200" s="22" t="s">
        <v>59</v>
      </c>
      <c r="H200" s="22" t="s">
        <v>60</v>
      </c>
      <c r="I200" s="22"/>
      <c r="J200" s="22" t="s">
        <v>61</v>
      </c>
      <c r="K200" s="22" t="s">
        <v>1586</v>
      </c>
      <c r="L200" s="22" t="s">
        <v>62</v>
      </c>
      <c r="M200" s="22" t="s">
        <v>63</v>
      </c>
      <c r="N200" s="22" t="s">
        <v>1902</v>
      </c>
      <c r="O200" s="22" t="s">
        <v>449</v>
      </c>
      <c r="P200" s="22" t="s">
        <v>1903</v>
      </c>
      <c r="Q200" s="22" t="s">
        <v>1904</v>
      </c>
      <c r="R200" s="22" t="s">
        <v>1905</v>
      </c>
      <c r="S200" s="22" t="s">
        <v>61</v>
      </c>
      <c r="T200" s="22"/>
      <c r="U200" s="22" t="s">
        <v>1906</v>
      </c>
      <c r="V200" s="22" t="s">
        <v>70</v>
      </c>
      <c r="W200" s="22" t="s">
        <v>71</v>
      </c>
      <c r="X200" s="25" t="n">
        <v>43862</v>
      </c>
      <c r="Y200" s="25" t="n">
        <v>46054</v>
      </c>
      <c r="Z200" s="22" t="s">
        <v>72</v>
      </c>
      <c r="AA200" s="22" t="s">
        <v>149</v>
      </c>
      <c r="AB200" s="22" t="s">
        <v>74</v>
      </c>
      <c r="AC200" s="22"/>
      <c r="AD200" s="22" t="n">
        <v>0</v>
      </c>
      <c r="AE200" s="22"/>
      <c r="AF200" s="22"/>
      <c r="AG200" s="22" t="s">
        <v>75</v>
      </c>
      <c r="AH200" s="22"/>
      <c r="AI200" s="22" t="n">
        <v>10</v>
      </c>
      <c r="AJ200" s="22" t="n">
        <v>30</v>
      </c>
      <c r="AK200" s="22" t="s">
        <v>61</v>
      </c>
      <c r="AL200" s="26" t="n">
        <v>37064</v>
      </c>
      <c r="AM200" s="26" t="n">
        <v>45000.693030544</v>
      </c>
      <c r="AN200" s="25" t="n">
        <v>45000.6943402778</v>
      </c>
      <c r="AO200" s="22" t="n">
        <v>5</v>
      </c>
      <c r="AP200" s="22" t="n">
        <v>40</v>
      </c>
      <c r="AQ200" s="22" t="s">
        <v>0</v>
      </c>
      <c r="AR200" s="34" t="s">
        <v>1805</v>
      </c>
      <c r="AS200" s="27" t="s">
        <v>206</v>
      </c>
      <c r="AT200" s="28" t="n">
        <v>45054.4861111111</v>
      </c>
      <c r="AU200" s="27" t="s">
        <v>78</v>
      </c>
      <c r="AV200" s="27"/>
      <c r="AW200" s="27"/>
      <c r="AX200" s="27"/>
      <c r="AY200" s="27"/>
    </row>
    <row r="201" customFormat="false" ht="15.75" hidden="false" customHeight="true" outlineLevel="0" collapsed="false">
      <c r="A201" s="22" t="n">
        <v>197</v>
      </c>
      <c r="B201" s="23" t="s">
        <v>1907</v>
      </c>
      <c r="C201" s="22" t="s">
        <v>1908</v>
      </c>
      <c r="D201" s="22" t="s">
        <v>1909</v>
      </c>
      <c r="E201" s="22" t="s">
        <v>81</v>
      </c>
      <c r="F201" s="22" t="s">
        <v>107</v>
      </c>
      <c r="G201" s="22" t="s">
        <v>59</v>
      </c>
      <c r="H201" s="22" t="s">
        <v>60</v>
      </c>
      <c r="I201" s="22"/>
      <c r="J201" s="22" t="s">
        <v>61</v>
      </c>
      <c r="K201" s="22" t="s">
        <v>1910</v>
      </c>
      <c r="L201" s="22" t="s">
        <v>62</v>
      </c>
      <c r="M201" s="22" t="s">
        <v>63</v>
      </c>
      <c r="N201" s="22" t="s">
        <v>1911</v>
      </c>
      <c r="O201" s="22" t="s">
        <v>1912</v>
      </c>
      <c r="P201" s="22" t="s">
        <v>1913</v>
      </c>
      <c r="Q201" s="22" t="s">
        <v>1914</v>
      </c>
      <c r="R201" s="22" t="s">
        <v>1915</v>
      </c>
      <c r="S201" s="22" t="s">
        <v>61</v>
      </c>
      <c r="T201" s="22"/>
      <c r="U201" s="22" t="s">
        <v>672</v>
      </c>
      <c r="V201" s="22" t="s">
        <v>70</v>
      </c>
      <c r="W201" s="22" t="s">
        <v>71</v>
      </c>
      <c r="X201" s="25" t="n">
        <v>43678</v>
      </c>
      <c r="Y201" s="25" t="n">
        <v>45505</v>
      </c>
      <c r="Z201" s="22" t="s">
        <v>72</v>
      </c>
      <c r="AA201" s="22" t="s">
        <v>91</v>
      </c>
      <c r="AB201" s="22" t="s">
        <v>74</v>
      </c>
      <c r="AC201" s="22"/>
      <c r="AD201" s="22" t="n">
        <v>0</v>
      </c>
      <c r="AE201" s="22"/>
      <c r="AF201" s="22"/>
      <c r="AG201" s="22" t="s">
        <v>75</v>
      </c>
      <c r="AH201" s="22"/>
      <c r="AI201" s="22" t="n">
        <v>10</v>
      </c>
      <c r="AJ201" s="22" t="n">
        <v>30</v>
      </c>
      <c r="AK201" s="22" t="s">
        <v>76</v>
      </c>
      <c r="AL201" s="26" t="n">
        <v>37064</v>
      </c>
      <c r="AM201" s="26" t="n">
        <v>45009.3904192708</v>
      </c>
      <c r="AN201" s="25" t="n">
        <v>45009.3917824074</v>
      </c>
      <c r="AO201" s="22" t="n">
        <v>8</v>
      </c>
      <c r="AP201" s="22" t="n">
        <v>40</v>
      </c>
      <c r="AQ201" s="22" t="s">
        <v>1</v>
      </c>
      <c r="AR201" s="34" t="s">
        <v>1805</v>
      </c>
      <c r="AS201" s="27" t="s">
        <v>206</v>
      </c>
      <c r="AT201" s="28" t="n">
        <v>45054.4861111111</v>
      </c>
      <c r="AU201" s="27" t="s">
        <v>220</v>
      </c>
      <c r="AV201" s="27"/>
      <c r="AW201" s="27"/>
      <c r="AX201" s="27"/>
      <c r="AY201" s="27"/>
    </row>
    <row r="202" customFormat="false" ht="15.75" hidden="false" customHeight="true" outlineLevel="0" collapsed="false">
      <c r="A202" s="22" t="n">
        <v>198</v>
      </c>
      <c r="B202" s="23" t="s">
        <v>1916</v>
      </c>
      <c r="C202" s="22"/>
      <c r="D202" s="22" t="s">
        <v>1917</v>
      </c>
      <c r="E202" s="22" t="s">
        <v>57</v>
      </c>
      <c r="F202" s="22" t="s">
        <v>107</v>
      </c>
      <c r="G202" s="22" t="s">
        <v>59</v>
      </c>
      <c r="H202" s="22" t="s">
        <v>96</v>
      </c>
      <c r="I202" s="22"/>
      <c r="J202" s="22" t="s">
        <v>61</v>
      </c>
      <c r="K202" s="22" t="s">
        <v>1918</v>
      </c>
      <c r="L202" s="22" t="s">
        <v>62</v>
      </c>
      <c r="M202" s="22" t="s">
        <v>63</v>
      </c>
      <c r="N202" s="22" t="s">
        <v>1919</v>
      </c>
      <c r="O202" s="22" t="s">
        <v>1920</v>
      </c>
      <c r="P202" s="22" t="s">
        <v>1921</v>
      </c>
      <c r="Q202" s="22"/>
      <c r="R202" s="22" t="s">
        <v>1922</v>
      </c>
      <c r="S202" s="22" t="s">
        <v>61</v>
      </c>
      <c r="T202" s="22"/>
      <c r="U202" s="22" t="s">
        <v>1923</v>
      </c>
      <c r="V202" s="22" t="s">
        <v>70</v>
      </c>
      <c r="W202" s="22" t="s">
        <v>71</v>
      </c>
      <c r="X202" s="25" t="n">
        <v>43831</v>
      </c>
      <c r="Y202" s="25" t="n">
        <v>45658</v>
      </c>
      <c r="Z202" s="22" t="s">
        <v>72</v>
      </c>
      <c r="AA202" s="22" t="s">
        <v>149</v>
      </c>
      <c r="AB202" s="22" t="s">
        <v>74</v>
      </c>
      <c r="AC202" s="22"/>
      <c r="AD202" s="22" t="n">
        <v>0</v>
      </c>
      <c r="AE202" s="22"/>
      <c r="AF202" s="22"/>
      <c r="AG202" s="22" t="s">
        <v>75</v>
      </c>
      <c r="AH202" s="22"/>
      <c r="AI202" s="22" t="n">
        <v>10</v>
      </c>
      <c r="AJ202" s="22" t="n">
        <v>30</v>
      </c>
      <c r="AK202" s="22" t="s">
        <v>61</v>
      </c>
      <c r="AL202" s="26" t="n">
        <v>37077</v>
      </c>
      <c r="AM202" s="26" t="n">
        <v>45008.509170544</v>
      </c>
      <c r="AN202" s="25" t="n">
        <v>45008.5117708333</v>
      </c>
      <c r="AO202" s="22" t="n">
        <v>7</v>
      </c>
      <c r="AP202" s="22" t="n">
        <v>40</v>
      </c>
      <c r="AQ202" s="22" t="s">
        <v>0</v>
      </c>
      <c r="AR202" s="34" t="s">
        <v>1805</v>
      </c>
      <c r="AS202" s="27" t="s">
        <v>206</v>
      </c>
      <c r="AT202" s="28" t="n">
        <v>45054.4861111111</v>
      </c>
      <c r="AU202" s="27" t="s">
        <v>78</v>
      </c>
      <c r="AV202" s="27"/>
      <c r="AW202" s="27"/>
      <c r="AX202" s="27"/>
      <c r="AY202" s="27"/>
    </row>
    <row r="203" customFormat="false" ht="15.75" hidden="false" customHeight="true" outlineLevel="0" collapsed="false">
      <c r="A203" s="22" t="n">
        <v>199</v>
      </c>
      <c r="B203" s="23" t="s">
        <v>1924</v>
      </c>
      <c r="C203" s="22" t="s">
        <v>1925</v>
      </c>
      <c r="D203" s="22" t="s">
        <v>1926</v>
      </c>
      <c r="E203" s="22" t="s">
        <v>81</v>
      </c>
      <c r="F203" s="22" t="s">
        <v>107</v>
      </c>
      <c r="G203" s="22" t="s">
        <v>59</v>
      </c>
      <c r="H203" s="22" t="s">
        <v>60</v>
      </c>
      <c r="I203" s="22"/>
      <c r="J203" s="22" t="s">
        <v>61</v>
      </c>
      <c r="K203" s="22" t="s">
        <v>1927</v>
      </c>
      <c r="L203" s="22" t="s">
        <v>62</v>
      </c>
      <c r="M203" s="22" t="s">
        <v>63</v>
      </c>
      <c r="N203" s="22" t="s">
        <v>1928</v>
      </c>
      <c r="O203" s="22" t="s">
        <v>179</v>
      </c>
      <c r="P203" s="22" t="s">
        <v>1929</v>
      </c>
      <c r="Q203" s="22"/>
      <c r="R203" s="22" t="s">
        <v>1930</v>
      </c>
      <c r="S203" s="22" t="s">
        <v>61</v>
      </c>
      <c r="T203" s="22"/>
      <c r="U203" s="22" t="s">
        <v>634</v>
      </c>
      <c r="V203" s="22" t="s">
        <v>70</v>
      </c>
      <c r="W203" s="22" t="s">
        <v>71</v>
      </c>
      <c r="X203" s="25" t="n">
        <v>43831</v>
      </c>
      <c r="Y203" s="25" t="n">
        <v>45627</v>
      </c>
      <c r="Z203" s="22" t="s">
        <v>72</v>
      </c>
      <c r="AA203" s="22" t="s">
        <v>149</v>
      </c>
      <c r="AB203" s="22" t="s">
        <v>74</v>
      </c>
      <c r="AC203" s="22"/>
      <c r="AD203" s="22" t="n">
        <v>0</v>
      </c>
      <c r="AE203" s="22"/>
      <c r="AF203" s="22"/>
      <c r="AG203" s="22" t="s">
        <v>75</v>
      </c>
      <c r="AH203" s="22"/>
      <c r="AI203" s="22" t="n">
        <v>10</v>
      </c>
      <c r="AJ203" s="22" t="n">
        <v>30</v>
      </c>
      <c r="AK203" s="22" t="s">
        <v>61</v>
      </c>
      <c r="AL203" s="26" t="n">
        <v>37082</v>
      </c>
      <c r="AM203" s="26" t="n">
        <v>45002.7166216204</v>
      </c>
      <c r="AN203" s="25" t="n">
        <v>45007.4387731481</v>
      </c>
      <c r="AO203" s="22" t="n">
        <v>7</v>
      </c>
      <c r="AP203" s="22" t="n">
        <v>40</v>
      </c>
      <c r="AQ203" s="22" t="s">
        <v>1</v>
      </c>
      <c r="AR203" s="34" t="s">
        <v>1805</v>
      </c>
      <c r="AS203" s="27" t="s">
        <v>206</v>
      </c>
      <c r="AT203" s="28" t="n">
        <v>45054.4861111111</v>
      </c>
      <c r="AU203" s="27" t="s">
        <v>220</v>
      </c>
      <c r="AV203" s="27"/>
      <c r="AW203" s="27"/>
      <c r="AX203" s="27"/>
      <c r="AY203" s="27"/>
    </row>
    <row r="204" customFormat="false" ht="15.75" hidden="false" customHeight="true" outlineLevel="0" collapsed="false">
      <c r="A204" s="22" t="n">
        <v>200</v>
      </c>
      <c r="B204" s="23" t="s">
        <v>1931</v>
      </c>
      <c r="C204" s="22"/>
      <c r="D204" s="22" t="s">
        <v>1932</v>
      </c>
      <c r="E204" s="22" t="s">
        <v>81</v>
      </c>
      <c r="F204" s="22" t="s">
        <v>107</v>
      </c>
      <c r="G204" s="22" t="s">
        <v>59</v>
      </c>
      <c r="H204" s="22" t="s">
        <v>60</v>
      </c>
      <c r="I204" s="22"/>
      <c r="J204" s="22" t="s">
        <v>61</v>
      </c>
      <c r="K204" s="22" t="s">
        <v>1933</v>
      </c>
      <c r="L204" s="22" t="s">
        <v>62</v>
      </c>
      <c r="M204" s="22" t="s">
        <v>63</v>
      </c>
      <c r="N204" s="22" t="s">
        <v>1934</v>
      </c>
      <c r="O204" s="22" t="s">
        <v>1935</v>
      </c>
      <c r="P204" s="22" t="s">
        <v>1936</v>
      </c>
      <c r="Q204" s="22"/>
      <c r="R204" s="22" t="s">
        <v>1937</v>
      </c>
      <c r="S204" s="22" t="s">
        <v>61</v>
      </c>
      <c r="T204" s="22"/>
      <c r="U204" s="22" t="s">
        <v>780</v>
      </c>
      <c r="V204" s="22" t="s">
        <v>70</v>
      </c>
      <c r="W204" s="22" t="s">
        <v>71</v>
      </c>
      <c r="X204" s="25" t="n">
        <v>43831</v>
      </c>
      <c r="Y204" s="25" t="n">
        <v>45292</v>
      </c>
      <c r="Z204" s="22" t="s">
        <v>72</v>
      </c>
      <c r="AA204" s="22" t="s">
        <v>149</v>
      </c>
      <c r="AB204" s="22" t="s">
        <v>74</v>
      </c>
      <c r="AC204" s="22"/>
      <c r="AD204" s="22" t="n">
        <v>0</v>
      </c>
      <c r="AE204" s="22"/>
      <c r="AF204" s="22"/>
      <c r="AG204" s="22" t="s">
        <v>75</v>
      </c>
      <c r="AH204" s="22"/>
      <c r="AI204" s="22" t="n">
        <v>10</v>
      </c>
      <c r="AJ204" s="22" t="n">
        <v>30</v>
      </c>
      <c r="AK204" s="22" t="s">
        <v>61</v>
      </c>
      <c r="AL204" s="26" t="n">
        <v>37087</v>
      </c>
      <c r="AM204" s="26" t="n">
        <v>45000.4031902894</v>
      </c>
      <c r="AN204" s="25" t="n">
        <v>45000.5943055556</v>
      </c>
      <c r="AO204" s="22" t="n">
        <v>7</v>
      </c>
      <c r="AP204" s="22" t="n">
        <v>40</v>
      </c>
      <c r="AQ204" s="22" t="s">
        <v>1</v>
      </c>
      <c r="AR204" s="34" t="s">
        <v>1805</v>
      </c>
      <c r="AS204" s="27" t="s">
        <v>206</v>
      </c>
      <c r="AT204" s="28" t="n">
        <v>45054.4861111111</v>
      </c>
      <c r="AU204" s="27" t="s">
        <v>220</v>
      </c>
      <c r="AV204" s="27"/>
      <c r="AW204" s="27"/>
      <c r="AX204" s="27"/>
      <c r="AY204" s="27"/>
    </row>
    <row r="205" customFormat="false" ht="15.75" hidden="false" customHeight="true" outlineLevel="0" collapsed="false">
      <c r="A205" s="22" t="n">
        <v>201</v>
      </c>
      <c r="B205" s="23" t="s">
        <v>1938</v>
      </c>
      <c r="C205" s="22"/>
      <c r="D205" s="22" t="s">
        <v>1939</v>
      </c>
      <c r="E205" s="22" t="s">
        <v>81</v>
      </c>
      <c r="F205" s="22" t="s">
        <v>107</v>
      </c>
      <c r="G205" s="22" t="s">
        <v>59</v>
      </c>
      <c r="H205" s="22" t="s">
        <v>96</v>
      </c>
      <c r="I205" s="22"/>
      <c r="J205" s="22" t="s">
        <v>61</v>
      </c>
      <c r="K205" s="22" t="s">
        <v>1940</v>
      </c>
      <c r="L205" s="22" t="s">
        <v>62</v>
      </c>
      <c r="M205" s="22" t="s">
        <v>63</v>
      </c>
      <c r="N205" s="22" t="s">
        <v>1941</v>
      </c>
      <c r="O205" s="22" t="s">
        <v>449</v>
      </c>
      <c r="P205" s="22" t="s">
        <v>1942</v>
      </c>
      <c r="Q205" s="22"/>
      <c r="R205" s="22" t="s">
        <v>1943</v>
      </c>
      <c r="S205" s="22" t="s">
        <v>61</v>
      </c>
      <c r="T205" s="22"/>
      <c r="U205" s="22" t="s">
        <v>1944</v>
      </c>
      <c r="V205" s="22" t="s">
        <v>70</v>
      </c>
      <c r="W205" s="22" t="s">
        <v>71</v>
      </c>
      <c r="X205" s="25" t="n">
        <v>43497</v>
      </c>
      <c r="Y205" s="25" t="n">
        <v>45809</v>
      </c>
      <c r="Z205" s="22" t="s">
        <v>72</v>
      </c>
      <c r="AA205" s="22" t="s">
        <v>149</v>
      </c>
      <c r="AB205" s="22" t="s">
        <v>74</v>
      </c>
      <c r="AC205" s="22"/>
      <c r="AD205" s="22" t="n">
        <v>0</v>
      </c>
      <c r="AE205" s="22"/>
      <c r="AF205" s="22"/>
      <c r="AG205" s="22" t="s">
        <v>75</v>
      </c>
      <c r="AH205" s="22"/>
      <c r="AI205" s="22" t="n">
        <v>10</v>
      </c>
      <c r="AJ205" s="22" t="n">
        <v>30</v>
      </c>
      <c r="AK205" s="22" t="s">
        <v>76</v>
      </c>
      <c r="AL205" s="26" t="n">
        <v>37088</v>
      </c>
      <c r="AM205" s="26" t="n">
        <v>45000.7042971412</v>
      </c>
      <c r="AN205" s="25" t="n">
        <v>45006.4360300926</v>
      </c>
      <c r="AO205" s="22" t="n">
        <v>6</v>
      </c>
      <c r="AP205" s="22" t="n">
        <v>40</v>
      </c>
      <c r="AQ205" s="22" t="s">
        <v>0</v>
      </c>
      <c r="AR205" s="34" t="s">
        <v>1805</v>
      </c>
      <c r="AS205" s="27" t="s">
        <v>206</v>
      </c>
      <c r="AT205" s="28" t="n">
        <v>45054.4861111111</v>
      </c>
      <c r="AU205" s="27" t="s">
        <v>78</v>
      </c>
      <c r="AV205" s="27"/>
      <c r="AW205" s="27"/>
      <c r="AX205" s="27"/>
      <c r="AY205" s="27"/>
    </row>
    <row r="206" customFormat="false" ht="15.75" hidden="false" customHeight="true" outlineLevel="0" collapsed="false">
      <c r="A206" s="22" t="n">
        <v>202</v>
      </c>
      <c r="B206" s="23" t="s">
        <v>1945</v>
      </c>
      <c r="C206" s="22"/>
      <c r="D206" s="22" t="s">
        <v>1946</v>
      </c>
      <c r="E206" s="22" t="s">
        <v>81</v>
      </c>
      <c r="F206" s="22" t="s">
        <v>107</v>
      </c>
      <c r="G206" s="22" t="s">
        <v>59</v>
      </c>
      <c r="H206" s="22" t="s">
        <v>60</v>
      </c>
      <c r="I206" s="22"/>
      <c r="J206" s="22" t="s">
        <v>61</v>
      </c>
      <c r="K206" s="22" t="s">
        <v>1947</v>
      </c>
      <c r="L206" s="22" t="s">
        <v>62</v>
      </c>
      <c r="M206" s="22" t="s">
        <v>84</v>
      </c>
      <c r="N206" s="22" t="s">
        <v>1948</v>
      </c>
      <c r="O206" s="22" t="s">
        <v>1949</v>
      </c>
      <c r="P206" s="22" t="s">
        <v>1950</v>
      </c>
      <c r="Q206" s="22"/>
      <c r="R206" s="22" t="s">
        <v>1951</v>
      </c>
      <c r="S206" s="22" t="s">
        <v>76</v>
      </c>
      <c r="T206" s="22" t="s">
        <v>1952</v>
      </c>
      <c r="U206" s="22" t="s">
        <v>1953</v>
      </c>
      <c r="V206" s="22" t="s">
        <v>70</v>
      </c>
      <c r="W206" s="22" t="s">
        <v>71</v>
      </c>
      <c r="X206" s="25" t="n">
        <v>43862</v>
      </c>
      <c r="Y206" s="25" t="n">
        <v>45992</v>
      </c>
      <c r="Z206" s="22" t="s">
        <v>72</v>
      </c>
      <c r="AA206" s="22" t="s">
        <v>149</v>
      </c>
      <c r="AB206" s="22" t="s">
        <v>74</v>
      </c>
      <c r="AC206" s="22"/>
      <c r="AD206" s="22" t="n">
        <v>0</v>
      </c>
      <c r="AE206" s="22"/>
      <c r="AF206" s="22"/>
      <c r="AG206" s="22" t="s">
        <v>75</v>
      </c>
      <c r="AH206" s="22" t="s">
        <v>1954</v>
      </c>
      <c r="AI206" s="22" t="n">
        <v>10</v>
      </c>
      <c r="AJ206" s="22" t="n">
        <v>30</v>
      </c>
      <c r="AK206" s="22" t="s">
        <v>76</v>
      </c>
      <c r="AL206" s="26" t="n">
        <v>37090</v>
      </c>
      <c r="AM206" s="26" t="n">
        <v>45006.4138971991</v>
      </c>
      <c r="AN206" s="25" t="n">
        <v>45009.4935648148</v>
      </c>
      <c r="AO206" s="22" t="n">
        <v>5</v>
      </c>
      <c r="AP206" s="22" t="n">
        <v>40</v>
      </c>
      <c r="AQ206" s="22" t="s">
        <v>0</v>
      </c>
      <c r="AR206" s="23" t="s">
        <v>1955</v>
      </c>
      <c r="AS206" s="42" t="s">
        <v>78</v>
      </c>
      <c r="AT206" s="23"/>
      <c r="AU206" s="23"/>
      <c r="AV206" s="23"/>
      <c r="AW206" s="23"/>
      <c r="AX206" s="23"/>
      <c r="AY206" s="23"/>
    </row>
    <row r="207" customFormat="false" ht="15.75" hidden="false" customHeight="true" outlineLevel="0" collapsed="false">
      <c r="A207" s="22" t="n">
        <v>203</v>
      </c>
      <c r="B207" s="23" t="s">
        <v>1956</v>
      </c>
      <c r="C207" s="22"/>
      <c r="D207" s="22" t="s">
        <v>1957</v>
      </c>
      <c r="E207" s="22" t="s">
        <v>81</v>
      </c>
      <c r="F207" s="22" t="s">
        <v>107</v>
      </c>
      <c r="G207" s="22" t="s">
        <v>59</v>
      </c>
      <c r="H207" s="22" t="s">
        <v>96</v>
      </c>
      <c r="I207" s="22"/>
      <c r="J207" s="22" t="s">
        <v>61</v>
      </c>
      <c r="K207" s="22" t="s">
        <v>1958</v>
      </c>
      <c r="L207" s="22" t="s">
        <v>62</v>
      </c>
      <c r="M207" s="22" t="s">
        <v>84</v>
      </c>
      <c r="N207" s="22" t="s">
        <v>1959</v>
      </c>
      <c r="O207" s="22" t="s">
        <v>1960</v>
      </c>
      <c r="P207" s="22" t="s">
        <v>1961</v>
      </c>
      <c r="Q207" s="22" t="s">
        <v>1962</v>
      </c>
      <c r="R207" s="22" t="s">
        <v>1963</v>
      </c>
      <c r="S207" s="22" t="s">
        <v>61</v>
      </c>
      <c r="T207" s="22"/>
      <c r="U207" s="22" t="s">
        <v>313</v>
      </c>
      <c r="V207" s="22" t="s">
        <v>70</v>
      </c>
      <c r="W207" s="22" t="s">
        <v>71</v>
      </c>
      <c r="X207" s="25" t="n">
        <v>43132</v>
      </c>
      <c r="Y207" s="25" t="n">
        <v>45261</v>
      </c>
      <c r="Z207" s="22" t="s">
        <v>72</v>
      </c>
      <c r="AA207" s="22" t="s">
        <v>149</v>
      </c>
      <c r="AB207" s="22" t="s">
        <v>74</v>
      </c>
      <c r="AC207" s="22"/>
      <c r="AD207" s="22" t="n">
        <v>0</v>
      </c>
      <c r="AE207" s="22"/>
      <c r="AF207" s="22"/>
      <c r="AG207" s="22" t="s">
        <v>75</v>
      </c>
      <c r="AH207" s="22"/>
      <c r="AI207" s="22" t="n">
        <v>10</v>
      </c>
      <c r="AJ207" s="22" t="n">
        <v>30</v>
      </c>
      <c r="AK207" s="22" t="s">
        <v>61</v>
      </c>
      <c r="AL207" s="26" t="n">
        <v>37095</v>
      </c>
      <c r="AM207" s="26" t="n">
        <v>45000.7989210301</v>
      </c>
      <c r="AN207" s="25" t="n">
        <v>45001.8088078704</v>
      </c>
      <c r="AO207" s="22" t="n">
        <v>9</v>
      </c>
      <c r="AP207" s="22" t="n">
        <v>40</v>
      </c>
      <c r="AQ207" s="22" t="s">
        <v>0</v>
      </c>
      <c r="AR207" s="27" t="s">
        <v>1805</v>
      </c>
      <c r="AS207" s="42" t="s">
        <v>78</v>
      </c>
      <c r="AT207" s="27"/>
      <c r="AU207" s="27"/>
      <c r="AV207" s="27"/>
      <c r="AW207" s="27"/>
      <c r="AX207" s="27"/>
      <c r="AY207" s="27"/>
    </row>
    <row r="208" customFormat="false" ht="15.75" hidden="false" customHeight="true" outlineLevel="0" collapsed="false">
      <c r="A208" s="22" t="n">
        <v>204</v>
      </c>
      <c r="B208" s="23" t="s">
        <v>1964</v>
      </c>
      <c r="C208" s="22"/>
      <c r="D208" s="22" t="s">
        <v>1965</v>
      </c>
      <c r="E208" s="22" t="s">
        <v>81</v>
      </c>
      <c r="F208" s="22" t="s">
        <v>107</v>
      </c>
      <c r="G208" s="22" t="s">
        <v>59</v>
      </c>
      <c r="H208" s="22" t="s">
        <v>60</v>
      </c>
      <c r="I208" s="22"/>
      <c r="J208" s="22" t="s">
        <v>61</v>
      </c>
      <c r="K208" s="22" t="s">
        <v>1966</v>
      </c>
      <c r="L208" s="22" t="s">
        <v>1967</v>
      </c>
      <c r="M208" s="22" t="s">
        <v>1968</v>
      </c>
      <c r="N208" s="22" t="s">
        <v>1969</v>
      </c>
      <c r="O208" s="22" t="s">
        <v>213</v>
      </c>
      <c r="P208" s="22" t="s">
        <v>1970</v>
      </c>
      <c r="Q208" s="22" t="s">
        <v>1971</v>
      </c>
      <c r="R208" s="22" t="s">
        <v>1972</v>
      </c>
      <c r="S208" s="22" t="s">
        <v>61</v>
      </c>
      <c r="T208" s="22"/>
      <c r="U208" s="22" t="s">
        <v>1973</v>
      </c>
      <c r="V208" s="22" t="s">
        <v>70</v>
      </c>
      <c r="W208" s="22" t="s">
        <v>71</v>
      </c>
      <c r="X208" s="25" t="n">
        <v>43862</v>
      </c>
      <c r="Y208" s="25" t="n">
        <v>45627</v>
      </c>
      <c r="Z208" s="22" t="s">
        <v>72</v>
      </c>
      <c r="AA208" s="22" t="s">
        <v>149</v>
      </c>
      <c r="AB208" s="22" t="s">
        <v>74</v>
      </c>
      <c r="AC208" s="22"/>
      <c r="AD208" s="22" t="n">
        <v>0</v>
      </c>
      <c r="AE208" s="22"/>
      <c r="AF208" s="22"/>
      <c r="AG208" s="22" t="s">
        <v>75</v>
      </c>
      <c r="AH208" s="22"/>
      <c r="AI208" s="22" t="n">
        <v>10</v>
      </c>
      <c r="AJ208" s="22" t="n">
        <v>30</v>
      </c>
      <c r="AK208" s="22" t="s">
        <v>61</v>
      </c>
      <c r="AL208" s="26" t="n">
        <v>37095</v>
      </c>
      <c r="AM208" s="26" t="n">
        <v>45002.7521641551</v>
      </c>
      <c r="AN208" s="25" t="n">
        <v>45007.8031828704</v>
      </c>
      <c r="AO208" s="22" t="n">
        <v>7</v>
      </c>
      <c r="AP208" s="22" t="n">
        <v>40</v>
      </c>
      <c r="AQ208" s="22" t="s">
        <v>1</v>
      </c>
      <c r="AR208" s="27" t="s">
        <v>1805</v>
      </c>
      <c r="AS208" s="43" t="s">
        <v>1974</v>
      </c>
      <c r="AT208" s="27"/>
      <c r="AU208" s="27"/>
      <c r="AV208" s="27"/>
      <c r="AW208" s="27"/>
      <c r="AX208" s="27"/>
      <c r="AY208" s="27"/>
    </row>
    <row r="209" customFormat="false" ht="15.75" hidden="false" customHeight="true" outlineLevel="0" collapsed="false">
      <c r="A209" s="22" t="n">
        <v>205</v>
      </c>
      <c r="B209" s="23" t="s">
        <v>1975</v>
      </c>
      <c r="C209" s="22"/>
      <c r="D209" s="22" t="s">
        <v>1976</v>
      </c>
      <c r="E209" s="22" t="s">
        <v>81</v>
      </c>
      <c r="F209" s="22" t="s">
        <v>107</v>
      </c>
      <c r="G209" s="22" t="s">
        <v>59</v>
      </c>
      <c r="H209" s="22" t="s">
        <v>60</v>
      </c>
      <c r="I209" s="22"/>
      <c r="J209" s="22" t="s">
        <v>61</v>
      </c>
      <c r="K209" s="22" t="s">
        <v>1977</v>
      </c>
      <c r="L209" s="22" t="s">
        <v>62</v>
      </c>
      <c r="M209" s="22" t="s">
        <v>63</v>
      </c>
      <c r="N209" s="22" t="s">
        <v>1978</v>
      </c>
      <c r="O209" s="22" t="s">
        <v>1261</v>
      </c>
      <c r="P209" s="22" t="s">
        <v>1979</v>
      </c>
      <c r="Q209" s="22"/>
      <c r="R209" s="22" t="s">
        <v>1980</v>
      </c>
      <c r="S209" s="22" t="s">
        <v>61</v>
      </c>
      <c r="T209" s="22"/>
      <c r="U209" s="22" t="s">
        <v>1284</v>
      </c>
      <c r="V209" s="22" t="s">
        <v>70</v>
      </c>
      <c r="W209" s="22" t="s">
        <v>71</v>
      </c>
      <c r="X209" s="25" t="n">
        <v>43831</v>
      </c>
      <c r="Y209" s="25" t="n">
        <v>45292</v>
      </c>
      <c r="Z209" s="22" t="s">
        <v>72</v>
      </c>
      <c r="AA209" s="22" t="s">
        <v>91</v>
      </c>
      <c r="AB209" s="22" t="s">
        <v>74</v>
      </c>
      <c r="AC209" s="22"/>
      <c r="AD209" s="22" t="n">
        <v>0</v>
      </c>
      <c r="AE209" s="22"/>
      <c r="AF209" s="22"/>
      <c r="AG209" s="22" t="s">
        <v>75</v>
      </c>
      <c r="AH209" s="22"/>
      <c r="AI209" s="22" t="n">
        <v>10</v>
      </c>
      <c r="AJ209" s="22" t="n">
        <v>30</v>
      </c>
      <c r="AK209" s="22" t="s">
        <v>61</v>
      </c>
      <c r="AL209" s="26" t="n">
        <v>37106</v>
      </c>
      <c r="AM209" s="26" t="n">
        <v>45005.6280374769</v>
      </c>
      <c r="AN209" s="25" t="n">
        <v>45005.6305208333</v>
      </c>
      <c r="AO209" s="22" t="n">
        <v>7</v>
      </c>
      <c r="AP209" s="22" t="n">
        <v>40</v>
      </c>
      <c r="AQ209" s="22" t="s">
        <v>1</v>
      </c>
      <c r="AR209" s="34" t="s">
        <v>1805</v>
      </c>
      <c r="AS209" s="27" t="s">
        <v>206</v>
      </c>
      <c r="AT209" s="28" t="n">
        <v>45054.5</v>
      </c>
      <c r="AU209" s="27" t="s">
        <v>206</v>
      </c>
      <c r="AV209" s="27"/>
      <c r="AW209" s="27"/>
      <c r="AX209" s="27"/>
      <c r="AY209" s="27"/>
    </row>
    <row r="210" customFormat="false" ht="15.75" hidden="false" customHeight="true" outlineLevel="0" collapsed="false">
      <c r="A210" s="22" t="n">
        <v>206</v>
      </c>
      <c r="B210" s="23" t="s">
        <v>1981</v>
      </c>
      <c r="C210" s="22" t="s">
        <v>1982</v>
      </c>
      <c r="D210" s="22" t="s">
        <v>1983</v>
      </c>
      <c r="E210" s="22" t="s">
        <v>81</v>
      </c>
      <c r="F210" s="22" t="s">
        <v>107</v>
      </c>
      <c r="G210" s="22" t="s">
        <v>59</v>
      </c>
      <c r="H210" s="22" t="s">
        <v>96</v>
      </c>
      <c r="I210" s="22"/>
      <c r="J210" s="22" t="s">
        <v>61</v>
      </c>
      <c r="K210" s="22" t="s">
        <v>1984</v>
      </c>
      <c r="L210" s="22" t="s">
        <v>62</v>
      </c>
      <c r="M210" s="22" t="s">
        <v>84</v>
      </c>
      <c r="N210" s="22" t="s">
        <v>1985</v>
      </c>
      <c r="O210" s="22" t="s">
        <v>1986</v>
      </c>
      <c r="P210" s="22" t="s">
        <v>1987</v>
      </c>
      <c r="Q210" s="22" t="s">
        <v>1988</v>
      </c>
      <c r="R210" s="22" t="s">
        <v>1989</v>
      </c>
      <c r="S210" s="22" t="s">
        <v>61</v>
      </c>
      <c r="T210" s="22"/>
      <c r="U210" s="22" t="s">
        <v>533</v>
      </c>
      <c r="V210" s="22" t="s">
        <v>70</v>
      </c>
      <c r="W210" s="22" t="s">
        <v>71</v>
      </c>
      <c r="X210" s="25" t="n">
        <v>44409</v>
      </c>
      <c r="Y210" s="25" t="n">
        <v>46174</v>
      </c>
      <c r="Z210" s="22" t="s">
        <v>72</v>
      </c>
      <c r="AA210" s="22" t="s">
        <v>149</v>
      </c>
      <c r="AB210" s="22" t="s">
        <v>74</v>
      </c>
      <c r="AC210" s="22"/>
      <c r="AD210" s="22" t="n">
        <v>0</v>
      </c>
      <c r="AE210" s="22"/>
      <c r="AF210" s="22"/>
      <c r="AG210" s="22" t="s">
        <v>75</v>
      </c>
      <c r="AH210" s="22"/>
      <c r="AI210" s="22" t="n">
        <v>10</v>
      </c>
      <c r="AJ210" s="22" t="n">
        <v>30</v>
      </c>
      <c r="AK210" s="22" t="s">
        <v>61</v>
      </c>
      <c r="AL210" s="26" t="n">
        <v>37109</v>
      </c>
      <c r="AM210" s="26" t="n">
        <v>45001.7367485648</v>
      </c>
      <c r="AN210" s="25" t="n">
        <v>45001.7547106482</v>
      </c>
      <c r="AO210" s="22" t="n">
        <v>5</v>
      </c>
      <c r="AP210" s="22" t="n">
        <v>40</v>
      </c>
      <c r="AQ210" s="22" t="s">
        <v>1</v>
      </c>
      <c r="AR210" s="27" t="s">
        <v>1805</v>
      </c>
      <c r="AS210" s="27" t="s">
        <v>1599</v>
      </c>
      <c r="AT210" s="28" t="n">
        <v>45054.5</v>
      </c>
      <c r="AU210" s="27" t="s">
        <v>1246</v>
      </c>
      <c r="AV210" s="27"/>
      <c r="AW210" s="27"/>
      <c r="AX210" s="27"/>
      <c r="AY210" s="27"/>
    </row>
    <row r="211" customFormat="false" ht="15.75" hidden="false" customHeight="true" outlineLevel="0" collapsed="false">
      <c r="A211" s="22" t="n">
        <v>207</v>
      </c>
      <c r="B211" s="23" t="s">
        <v>1990</v>
      </c>
      <c r="C211" s="22" t="s">
        <v>1991</v>
      </c>
      <c r="D211" s="22" t="s">
        <v>1992</v>
      </c>
      <c r="E211" s="22" t="s">
        <v>81</v>
      </c>
      <c r="F211" s="22" t="s">
        <v>107</v>
      </c>
      <c r="G211" s="22" t="s">
        <v>59</v>
      </c>
      <c r="H211" s="22" t="s">
        <v>96</v>
      </c>
      <c r="I211" s="22"/>
      <c r="J211" s="22" t="s">
        <v>61</v>
      </c>
      <c r="K211" s="22" t="s">
        <v>1993</v>
      </c>
      <c r="L211" s="22" t="s">
        <v>62</v>
      </c>
      <c r="M211" s="22" t="s">
        <v>84</v>
      </c>
      <c r="N211" s="22" t="s">
        <v>1994</v>
      </c>
      <c r="O211" s="22" t="s">
        <v>1995</v>
      </c>
      <c r="P211" s="22" t="s">
        <v>1996</v>
      </c>
      <c r="Q211" s="22" t="s">
        <v>1997</v>
      </c>
      <c r="R211" s="22" t="s">
        <v>1998</v>
      </c>
      <c r="S211" s="22" t="s">
        <v>61</v>
      </c>
      <c r="T211" s="22"/>
      <c r="U211" s="22" t="s">
        <v>1999</v>
      </c>
      <c r="V211" s="22" t="s">
        <v>70</v>
      </c>
      <c r="W211" s="22" t="s">
        <v>71</v>
      </c>
      <c r="X211" s="25" t="n">
        <v>43466</v>
      </c>
      <c r="Y211" s="25" t="n">
        <v>45658</v>
      </c>
      <c r="Z211" s="22" t="s">
        <v>72</v>
      </c>
      <c r="AA211" s="22" t="s">
        <v>91</v>
      </c>
      <c r="AB211" s="22" t="s">
        <v>74</v>
      </c>
      <c r="AC211" s="22"/>
      <c r="AD211" s="22" t="n">
        <v>0</v>
      </c>
      <c r="AE211" s="22"/>
      <c r="AF211" s="22"/>
      <c r="AG211" s="22" t="s">
        <v>75</v>
      </c>
      <c r="AH211" s="22"/>
      <c r="AI211" s="22" t="n">
        <v>10</v>
      </c>
      <c r="AJ211" s="22" t="n">
        <v>30</v>
      </c>
      <c r="AK211" s="22" t="s">
        <v>61</v>
      </c>
      <c r="AL211" s="26" t="n">
        <v>37114</v>
      </c>
      <c r="AM211" s="26" t="n">
        <v>45001.6519523843</v>
      </c>
      <c r="AN211" s="25" t="n">
        <v>45007.7468402778</v>
      </c>
      <c r="AO211" s="22" t="n">
        <v>6</v>
      </c>
      <c r="AP211" s="22" t="n">
        <v>40</v>
      </c>
      <c r="AQ211" s="22" t="s">
        <v>1</v>
      </c>
      <c r="AR211" s="34" t="s">
        <v>1805</v>
      </c>
      <c r="AS211" s="27" t="s">
        <v>206</v>
      </c>
      <c r="AT211" s="28" t="n">
        <v>45054.5</v>
      </c>
      <c r="AU211" s="27" t="s">
        <v>206</v>
      </c>
      <c r="AV211" s="27"/>
      <c r="AW211" s="27"/>
      <c r="AX211" s="27"/>
      <c r="AY211" s="27"/>
    </row>
    <row r="212" customFormat="false" ht="15.75" hidden="false" customHeight="true" outlineLevel="0" collapsed="false">
      <c r="A212" s="22" t="n">
        <v>208</v>
      </c>
      <c r="B212" s="23" t="s">
        <v>2000</v>
      </c>
      <c r="C212" s="22" t="s">
        <v>2001</v>
      </c>
      <c r="D212" s="22" t="s">
        <v>2002</v>
      </c>
      <c r="E212" s="22" t="s">
        <v>57</v>
      </c>
      <c r="F212" s="22" t="s">
        <v>107</v>
      </c>
      <c r="G212" s="22" t="s">
        <v>59</v>
      </c>
      <c r="H212" s="22" t="s">
        <v>96</v>
      </c>
      <c r="I212" s="22"/>
      <c r="J212" s="22" t="s">
        <v>61</v>
      </c>
      <c r="K212" s="22" t="s">
        <v>2003</v>
      </c>
      <c r="L212" s="22" t="s">
        <v>62</v>
      </c>
      <c r="M212" s="22" t="s">
        <v>63</v>
      </c>
      <c r="N212" s="22" t="s">
        <v>2004</v>
      </c>
      <c r="O212" s="22" t="s">
        <v>2005</v>
      </c>
      <c r="P212" s="22" t="s">
        <v>2006</v>
      </c>
      <c r="Q212" s="22" t="s">
        <v>2007</v>
      </c>
      <c r="R212" s="22" t="s">
        <v>2008</v>
      </c>
      <c r="S212" s="22" t="s">
        <v>61</v>
      </c>
      <c r="T212" s="22"/>
      <c r="U212" s="22" t="s">
        <v>672</v>
      </c>
      <c r="V212" s="22" t="s">
        <v>70</v>
      </c>
      <c r="W212" s="22" t="s">
        <v>71</v>
      </c>
      <c r="X212" s="25" t="n">
        <v>44044</v>
      </c>
      <c r="Y212" s="25" t="n">
        <v>45992</v>
      </c>
      <c r="Z212" s="22" t="s">
        <v>72</v>
      </c>
      <c r="AA212" s="22" t="s">
        <v>149</v>
      </c>
      <c r="AB212" s="22" t="s">
        <v>74</v>
      </c>
      <c r="AC212" s="22"/>
      <c r="AD212" s="22" t="n">
        <v>0</v>
      </c>
      <c r="AE212" s="22"/>
      <c r="AF212" s="22"/>
      <c r="AG212" s="22" t="s">
        <v>75</v>
      </c>
      <c r="AH212" s="22"/>
      <c r="AI212" s="22" t="n">
        <v>10</v>
      </c>
      <c r="AJ212" s="22" t="n">
        <v>30</v>
      </c>
      <c r="AK212" s="22" t="s">
        <v>76</v>
      </c>
      <c r="AL212" s="26" t="n">
        <v>37115</v>
      </c>
      <c r="AM212" s="26" t="n">
        <v>45006.7015416898</v>
      </c>
      <c r="AN212" s="25" t="n">
        <v>45006.7054513889</v>
      </c>
      <c r="AO212" s="22" t="n">
        <v>5</v>
      </c>
      <c r="AP212" s="22" t="n">
        <v>40</v>
      </c>
      <c r="AQ212" s="22" t="s">
        <v>0</v>
      </c>
      <c r="AR212" s="27" t="s">
        <v>1805</v>
      </c>
      <c r="AS212" s="42" t="s">
        <v>78</v>
      </c>
      <c r="AT212" s="27"/>
      <c r="AU212" s="27"/>
      <c r="AV212" s="27"/>
      <c r="AW212" s="27"/>
      <c r="AX212" s="27"/>
      <c r="AY212" s="27"/>
    </row>
    <row r="213" customFormat="false" ht="15.75" hidden="false" customHeight="true" outlineLevel="0" collapsed="false">
      <c r="A213" s="22" t="n">
        <v>209</v>
      </c>
      <c r="B213" s="23" t="s">
        <v>2009</v>
      </c>
      <c r="C213" s="22" t="s">
        <v>2010</v>
      </c>
      <c r="D213" s="22" t="s">
        <v>2011</v>
      </c>
      <c r="E213" s="22" t="s">
        <v>57</v>
      </c>
      <c r="F213" s="22" t="s">
        <v>107</v>
      </c>
      <c r="G213" s="22" t="s">
        <v>59</v>
      </c>
      <c r="H213" s="22" t="s">
        <v>60</v>
      </c>
      <c r="I213" s="22"/>
      <c r="J213" s="22" t="s">
        <v>61</v>
      </c>
      <c r="K213" s="22" t="s">
        <v>2012</v>
      </c>
      <c r="L213" s="22" t="s">
        <v>62</v>
      </c>
      <c r="M213" s="22" t="s">
        <v>2013</v>
      </c>
      <c r="N213" s="22" t="s">
        <v>2014</v>
      </c>
      <c r="O213" s="22" t="s">
        <v>2015</v>
      </c>
      <c r="P213" s="22" t="s">
        <v>2016</v>
      </c>
      <c r="Q213" s="22" t="s">
        <v>2017</v>
      </c>
      <c r="R213" s="22" t="s">
        <v>2018</v>
      </c>
      <c r="S213" s="22" t="s">
        <v>61</v>
      </c>
      <c r="T213" s="22"/>
      <c r="U213" s="22" t="s">
        <v>2019</v>
      </c>
      <c r="V213" s="22" t="s">
        <v>70</v>
      </c>
      <c r="W213" s="22" t="s">
        <v>71</v>
      </c>
      <c r="X213" s="25" t="n">
        <v>43862</v>
      </c>
      <c r="Y213" s="25" t="n">
        <v>45627</v>
      </c>
      <c r="Z213" s="22" t="s">
        <v>72</v>
      </c>
      <c r="AA213" s="22" t="s">
        <v>91</v>
      </c>
      <c r="AB213" s="22" t="s">
        <v>74</v>
      </c>
      <c r="AC213" s="22"/>
      <c r="AD213" s="22" t="n">
        <v>0</v>
      </c>
      <c r="AE213" s="22"/>
      <c r="AF213" s="22"/>
      <c r="AG213" s="22" t="s">
        <v>75</v>
      </c>
      <c r="AH213" s="22"/>
      <c r="AI213" s="22" t="n">
        <v>10</v>
      </c>
      <c r="AJ213" s="22" t="n">
        <v>30</v>
      </c>
      <c r="AK213" s="22" t="s">
        <v>76</v>
      </c>
      <c r="AL213" s="26" t="n">
        <v>37126</v>
      </c>
      <c r="AM213" s="26" t="n">
        <v>45008.7806800926</v>
      </c>
      <c r="AN213" s="25" t="n">
        <v>45008.7853125</v>
      </c>
      <c r="AO213" s="22" t="n">
        <v>7</v>
      </c>
      <c r="AP213" s="22" t="n">
        <v>40</v>
      </c>
      <c r="AQ213" s="22" t="s">
        <v>1</v>
      </c>
      <c r="AR213" s="27" t="s">
        <v>1805</v>
      </c>
      <c r="AS213" s="43" t="s">
        <v>2020</v>
      </c>
      <c r="AT213" s="27"/>
      <c r="AU213" s="27"/>
      <c r="AV213" s="27"/>
      <c r="AW213" s="27"/>
      <c r="AX213" s="27"/>
      <c r="AY213" s="27"/>
    </row>
    <row r="214" customFormat="false" ht="15.75" hidden="false" customHeight="true" outlineLevel="0" collapsed="false">
      <c r="A214" s="22" t="n">
        <v>210</v>
      </c>
      <c r="B214" s="23" t="s">
        <v>2021</v>
      </c>
      <c r="C214" s="22"/>
      <c r="D214" s="22" t="s">
        <v>2022</v>
      </c>
      <c r="E214" s="22" t="s">
        <v>57</v>
      </c>
      <c r="F214" s="22" t="s">
        <v>107</v>
      </c>
      <c r="G214" s="22" t="s">
        <v>59</v>
      </c>
      <c r="H214" s="22" t="s">
        <v>60</v>
      </c>
      <c r="I214" s="22"/>
      <c r="J214" s="22" t="s">
        <v>61</v>
      </c>
      <c r="K214" s="22" t="s">
        <v>2023</v>
      </c>
      <c r="L214" s="22" t="s">
        <v>62</v>
      </c>
      <c r="M214" s="22" t="s">
        <v>63</v>
      </c>
      <c r="N214" s="22" t="s">
        <v>2024</v>
      </c>
      <c r="O214" s="22" t="s">
        <v>1143</v>
      </c>
      <c r="P214" s="22" t="s">
        <v>2025</v>
      </c>
      <c r="Q214" s="22" t="s">
        <v>2026</v>
      </c>
      <c r="R214" s="22" t="s">
        <v>2027</v>
      </c>
      <c r="S214" s="22" t="s">
        <v>61</v>
      </c>
      <c r="T214" s="22"/>
      <c r="U214" s="22" t="s">
        <v>261</v>
      </c>
      <c r="V214" s="22" t="s">
        <v>70</v>
      </c>
      <c r="W214" s="22" t="s">
        <v>71</v>
      </c>
      <c r="X214" s="25" t="n">
        <v>43862</v>
      </c>
      <c r="Y214" s="25" t="n">
        <v>45627</v>
      </c>
      <c r="Z214" s="22" t="s">
        <v>72</v>
      </c>
      <c r="AA214" s="22" t="s">
        <v>91</v>
      </c>
      <c r="AB214" s="22" t="s">
        <v>74</v>
      </c>
      <c r="AC214" s="22"/>
      <c r="AD214" s="22" t="n">
        <v>0</v>
      </c>
      <c r="AE214" s="22"/>
      <c r="AF214" s="22"/>
      <c r="AG214" s="22" t="s">
        <v>75</v>
      </c>
      <c r="AH214" s="22"/>
      <c r="AI214" s="22" t="n">
        <v>10</v>
      </c>
      <c r="AJ214" s="22" t="n">
        <v>30</v>
      </c>
      <c r="AK214" s="22" t="s">
        <v>76</v>
      </c>
      <c r="AL214" s="26" t="n">
        <v>37135</v>
      </c>
      <c r="AM214" s="26" t="n">
        <v>45005.5950427662</v>
      </c>
      <c r="AN214" s="25" t="n">
        <v>45005.7465509259</v>
      </c>
      <c r="AO214" s="22" t="n">
        <v>7</v>
      </c>
      <c r="AP214" s="22" t="n">
        <v>40</v>
      </c>
      <c r="AQ214" s="22" t="s">
        <v>0</v>
      </c>
      <c r="AR214" s="27" t="s">
        <v>1805</v>
      </c>
      <c r="AS214" s="42" t="s">
        <v>78</v>
      </c>
      <c r="AT214" s="27"/>
      <c r="AU214" s="27"/>
      <c r="AV214" s="27"/>
      <c r="AW214" s="27"/>
      <c r="AX214" s="27"/>
      <c r="AY214" s="27"/>
    </row>
    <row r="215" customFormat="false" ht="15.75" hidden="false" customHeight="true" outlineLevel="0" collapsed="false">
      <c r="A215" s="22" t="n">
        <v>211</v>
      </c>
      <c r="B215" s="23" t="s">
        <v>2028</v>
      </c>
      <c r="C215" s="22" t="s">
        <v>2029</v>
      </c>
      <c r="D215" s="22" t="s">
        <v>2030</v>
      </c>
      <c r="E215" s="22" t="s">
        <v>81</v>
      </c>
      <c r="F215" s="22" t="s">
        <v>107</v>
      </c>
      <c r="G215" s="22" t="s">
        <v>59</v>
      </c>
      <c r="H215" s="22" t="s">
        <v>156</v>
      </c>
      <c r="I215" s="22"/>
      <c r="J215" s="22" t="s">
        <v>61</v>
      </c>
      <c r="K215" s="22" t="s">
        <v>2031</v>
      </c>
      <c r="L215" s="22" t="s">
        <v>62</v>
      </c>
      <c r="M215" s="22" t="s">
        <v>63</v>
      </c>
      <c r="N215" s="22" t="s">
        <v>2032</v>
      </c>
      <c r="O215" s="22" t="s">
        <v>1518</v>
      </c>
      <c r="P215" s="22" t="s">
        <v>2033</v>
      </c>
      <c r="Q215" s="22"/>
      <c r="R215" s="22" t="s">
        <v>2034</v>
      </c>
      <c r="S215" s="22" t="s">
        <v>61</v>
      </c>
      <c r="T215" s="22"/>
      <c r="U215" s="22" t="s">
        <v>2035</v>
      </c>
      <c r="V215" s="22" t="s">
        <v>70</v>
      </c>
      <c r="W215" s="22" t="s">
        <v>71</v>
      </c>
      <c r="X215" s="25" t="n">
        <v>43466</v>
      </c>
      <c r="Y215" s="25" t="n">
        <v>45444</v>
      </c>
      <c r="Z215" s="22" t="s">
        <v>72</v>
      </c>
      <c r="AA215" s="22" t="s">
        <v>91</v>
      </c>
      <c r="AB215" s="22" t="s">
        <v>74</v>
      </c>
      <c r="AC215" s="22"/>
      <c r="AD215" s="22" t="n">
        <v>0</v>
      </c>
      <c r="AE215" s="22"/>
      <c r="AF215" s="22"/>
      <c r="AG215" s="22" t="s">
        <v>75</v>
      </c>
      <c r="AH215" s="22"/>
      <c r="AI215" s="22" t="n">
        <v>10</v>
      </c>
      <c r="AJ215" s="22" t="n">
        <v>30</v>
      </c>
      <c r="AK215" s="22" t="s">
        <v>76</v>
      </c>
      <c r="AL215" s="26" t="n">
        <v>37138</v>
      </c>
      <c r="AM215" s="26" t="n">
        <v>45002.9735216782</v>
      </c>
      <c r="AN215" s="25" t="n">
        <v>45002.975462963</v>
      </c>
      <c r="AO215" s="22" t="n">
        <v>8</v>
      </c>
      <c r="AP215" s="22" t="n">
        <v>40</v>
      </c>
      <c r="AQ215" s="22" t="s">
        <v>0</v>
      </c>
      <c r="AR215" s="27" t="s">
        <v>1805</v>
      </c>
      <c r="AS215" s="42" t="s">
        <v>78</v>
      </c>
      <c r="AT215" s="27"/>
      <c r="AU215" s="27"/>
      <c r="AV215" s="27"/>
      <c r="AW215" s="27"/>
      <c r="AX215" s="27"/>
      <c r="AY215" s="27"/>
    </row>
    <row r="216" customFormat="false" ht="15.75" hidden="false" customHeight="true" outlineLevel="0" collapsed="false">
      <c r="A216" s="22" t="n">
        <v>212</v>
      </c>
      <c r="B216" s="23" t="s">
        <v>2036</v>
      </c>
      <c r="C216" s="22"/>
      <c r="D216" s="22" t="s">
        <v>2037</v>
      </c>
      <c r="E216" s="22" t="s">
        <v>57</v>
      </c>
      <c r="F216" s="22" t="s">
        <v>107</v>
      </c>
      <c r="G216" s="22" t="s">
        <v>59</v>
      </c>
      <c r="H216" s="22" t="s">
        <v>96</v>
      </c>
      <c r="I216" s="22"/>
      <c r="J216" s="22" t="s">
        <v>61</v>
      </c>
      <c r="K216" s="22" t="s">
        <v>2038</v>
      </c>
      <c r="L216" s="22" t="s">
        <v>62</v>
      </c>
      <c r="M216" s="22" t="s">
        <v>63</v>
      </c>
      <c r="N216" s="22" t="s">
        <v>2039</v>
      </c>
      <c r="O216" s="22" t="s">
        <v>2040</v>
      </c>
      <c r="P216" s="22" t="s">
        <v>2041</v>
      </c>
      <c r="Q216" s="22"/>
      <c r="R216" s="22" t="s">
        <v>2042</v>
      </c>
      <c r="S216" s="22" t="s">
        <v>61</v>
      </c>
      <c r="T216" s="22"/>
      <c r="U216" s="22" t="s">
        <v>836</v>
      </c>
      <c r="V216" s="22" t="s">
        <v>70</v>
      </c>
      <c r="W216" s="22" t="s">
        <v>71</v>
      </c>
      <c r="X216" s="25" t="n">
        <v>43831</v>
      </c>
      <c r="Y216" s="25" t="n">
        <v>45627</v>
      </c>
      <c r="Z216" s="22" t="s">
        <v>72</v>
      </c>
      <c r="AA216" s="22" t="s">
        <v>149</v>
      </c>
      <c r="AB216" s="22" t="s">
        <v>74</v>
      </c>
      <c r="AC216" s="22"/>
      <c r="AD216" s="22" t="n">
        <v>0</v>
      </c>
      <c r="AE216" s="22"/>
      <c r="AF216" s="22"/>
      <c r="AG216" s="22" t="s">
        <v>75</v>
      </c>
      <c r="AH216" s="22"/>
      <c r="AI216" s="22" t="n">
        <v>10</v>
      </c>
      <c r="AJ216" s="22" t="n">
        <v>30</v>
      </c>
      <c r="AK216" s="22" t="s">
        <v>61</v>
      </c>
      <c r="AL216" s="26" t="n">
        <v>37139</v>
      </c>
      <c r="AM216" s="26" t="n">
        <v>45008.414590081</v>
      </c>
      <c r="AN216" s="25" t="n">
        <v>45008.4161226852</v>
      </c>
      <c r="AO216" s="22" t="n">
        <v>5</v>
      </c>
      <c r="AP216" s="22" t="n">
        <v>40</v>
      </c>
      <c r="AQ216" s="22" t="s">
        <v>1</v>
      </c>
      <c r="AR216" s="34" t="s">
        <v>1805</v>
      </c>
      <c r="AS216" s="27" t="s">
        <v>206</v>
      </c>
      <c r="AT216" s="28" t="n">
        <v>45054.5</v>
      </c>
      <c r="AU216" s="27" t="s">
        <v>206</v>
      </c>
      <c r="AV216" s="27"/>
      <c r="AW216" s="27"/>
      <c r="AX216" s="27"/>
      <c r="AY216" s="27"/>
    </row>
    <row r="217" customFormat="false" ht="15.75" hidden="false" customHeight="true" outlineLevel="0" collapsed="false">
      <c r="A217" s="22" t="n">
        <v>213</v>
      </c>
      <c r="B217" s="23" t="s">
        <v>2043</v>
      </c>
      <c r="C217" s="22" t="s">
        <v>2044</v>
      </c>
      <c r="D217" s="22" t="s">
        <v>2045</v>
      </c>
      <c r="E217" s="22" t="s">
        <v>81</v>
      </c>
      <c r="F217" s="22" t="s">
        <v>107</v>
      </c>
      <c r="G217" s="22" t="s">
        <v>59</v>
      </c>
      <c r="H217" s="22" t="s">
        <v>60</v>
      </c>
      <c r="I217" s="22"/>
      <c r="J217" s="22" t="s">
        <v>61</v>
      </c>
      <c r="K217" s="22" t="s">
        <v>2046</v>
      </c>
      <c r="L217" s="22" t="s">
        <v>62</v>
      </c>
      <c r="M217" s="22" t="s">
        <v>2047</v>
      </c>
      <c r="N217" s="22" t="s">
        <v>2048</v>
      </c>
      <c r="O217" s="22" t="s">
        <v>2049</v>
      </c>
      <c r="P217" s="22" t="s">
        <v>2050</v>
      </c>
      <c r="Q217" s="22" t="s">
        <v>2051</v>
      </c>
      <c r="R217" s="22" t="s">
        <v>2052</v>
      </c>
      <c r="S217" s="22" t="s">
        <v>61</v>
      </c>
      <c r="T217" s="22"/>
      <c r="U217" s="22" t="s">
        <v>2053</v>
      </c>
      <c r="V217" s="22" t="s">
        <v>70</v>
      </c>
      <c r="W217" s="22" t="s">
        <v>71</v>
      </c>
      <c r="X217" s="25" t="n">
        <v>43831</v>
      </c>
      <c r="Y217" s="25" t="n">
        <v>45627</v>
      </c>
      <c r="Z217" s="22" t="s">
        <v>72</v>
      </c>
      <c r="AA217" s="22" t="s">
        <v>91</v>
      </c>
      <c r="AB217" s="22" t="s">
        <v>74</v>
      </c>
      <c r="AC217" s="22"/>
      <c r="AD217" s="22" t="n">
        <v>0</v>
      </c>
      <c r="AE217" s="22"/>
      <c r="AF217" s="22"/>
      <c r="AG217" s="22" t="s">
        <v>75</v>
      </c>
      <c r="AH217" s="22"/>
      <c r="AI217" s="22" t="n">
        <v>10</v>
      </c>
      <c r="AJ217" s="22" t="n">
        <v>30</v>
      </c>
      <c r="AK217" s="22" t="s">
        <v>76</v>
      </c>
      <c r="AL217" s="26" t="n">
        <v>37160</v>
      </c>
      <c r="AM217" s="26" t="n">
        <v>45006.6688407176</v>
      </c>
      <c r="AN217" s="25" t="n">
        <v>45006.6708564815</v>
      </c>
      <c r="AO217" s="22" t="n">
        <v>7</v>
      </c>
      <c r="AP217" s="22" t="n">
        <v>40</v>
      </c>
      <c r="AQ217" s="22" t="s">
        <v>0</v>
      </c>
      <c r="AR217" s="27" t="s">
        <v>2054</v>
      </c>
      <c r="AS217" s="42" t="s">
        <v>78</v>
      </c>
      <c r="AT217" s="27"/>
      <c r="AU217" s="27"/>
      <c r="AV217" s="27"/>
      <c r="AW217" s="27"/>
      <c r="AX217" s="27"/>
      <c r="AY217" s="27"/>
    </row>
    <row r="218" customFormat="false" ht="15.75" hidden="false" customHeight="true" outlineLevel="0" collapsed="false">
      <c r="A218" s="22" t="n">
        <v>214</v>
      </c>
      <c r="B218" s="23" t="s">
        <v>2055</v>
      </c>
      <c r="C218" s="22"/>
      <c r="D218" s="22" t="s">
        <v>2056</v>
      </c>
      <c r="E218" s="22" t="s">
        <v>81</v>
      </c>
      <c r="F218" s="22" t="s">
        <v>107</v>
      </c>
      <c r="G218" s="22" t="s">
        <v>59</v>
      </c>
      <c r="H218" s="22" t="s">
        <v>60</v>
      </c>
      <c r="I218" s="22"/>
      <c r="J218" s="22" t="s">
        <v>61</v>
      </c>
      <c r="K218" s="22" t="s">
        <v>2057</v>
      </c>
      <c r="L218" s="22" t="s">
        <v>62</v>
      </c>
      <c r="M218" s="22" t="s">
        <v>63</v>
      </c>
      <c r="N218" s="22" t="s">
        <v>2058</v>
      </c>
      <c r="O218" s="22" t="s">
        <v>2059</v>
      </c>
      <c r="P218" s="22" t="s">
        <v>2060</v>
      </c>
      <c r="Q218" s="22" t="s">
        <v>2061</v>
      </c>
      <c r="R218" s="22" t="s">
        <v>2062</v>
      </c>
      <c r="S218" s="22" t="s">
        <v>61</v>
      </c>
      <c r="T218" s="22"/>
      <c r="U218" s="22" t="s">
        <v>1923</v>
      </c>
      <c r="V218" s="22" t="s">
        <v>70</v>
      </c>
      <c r="W218" s="22" t="s">
        <v>71</v>
      </c>
      <c r="X218" s="25" t="n">
        <v>44197</v>
      </c>
      <c r="Y218" s="25" t="n">
        <v>45992</v>
      </c>
      <c r="Z218" s="22" t="s">
        <v>72</v>
      </c>
      <c r="AA218" s="22" t="s">
        <v>149</v>
      </c>
      <c r="AB218" s="22" t="s">
        <v>74</v>
      </c>
      <c r="AC218" s="22"/>
      <c r="AD218" s="22" t="n">
        <v>0</v>
      </c>
      <c r="AE218" s="22"/>
      <c r="AF218" s="22"/>
      <c r="AG218" s="22" t="s">
        <v>75</v>
      </c>
      <c r="AH218" s="22"/>
      <c r="AI218" s="22" t="n">
        <v>10</v>
      </c>
      <c r="AJ218" s="22" t="n">
        <v>30</v>
      </c>
      <c r="AK218" s="22" t="s">
        <v>61</v>
      </c>
      <c r="AL218" s="26" t="n">
        <v>37163</v>
      </c>
      <c r="AM218" s="26" t="n">
        <v>45008.9020633912</v>
      </c>
      <c r="AN218" s="25" t="n">
        <v>45008.9082060185</v>
      </c>
      <c r="AO218" s="22" t="n">
        <v>5</v>
      </c>
      <c r="AP218" s="22" t="n">
        <v>40</v>
      </c>
      <c r="AQ218" s="22" t="s">
        <v>1</v>
      </c>
      <c r="AR218" s="34" t="s">
        <v>1805</v>
      </c>
      <c r="AS218" s="27" t="s">
        <v>206</v>
      </c>
      <c r="AT218" s="28" t="n">
        <v>45054.5</v>
      </c>
      <c r="AU218" s="27" t="s">
        <v>206</v>
      </c>
      <c r="AV218" s="27"/>
      <c r="AW218" s="27"/>
      <c r="AX218" s="27"/>
      <c r="AY218" s="27"/>
    </row>
    <row r="219" customFormat="false" ht="15.75" hidden="false" customHeight="true" outlineLevel="0" collapsed="false">
      <c r="A219" s="22" t="n">
        <v>215</v>
      </c>
      <c r="B219" s="23" t="s">
        <v>2063</v>
      </c>
      <c r="C219" s="22"/>
      <c r="D219" s="22" t="s">
        <v>2064</v>
      </c>
      <c r="E219" s="22" t="s">
        <v>57</v>
      </c>
      <c r="F219" s="22" t="s">
        <v>107</v>
      </c>
      <c r="G219" s="22" t="s">
        <v>59</v>
      </c>
      <c r="H219" s="22" t="s">
        <v>96</v>
      </c>
      <c r="I219" s="22"/>
      <c r="J219" s="22" t="s">
        <v>61</v>
      </c>
      <c r="K219" s="22" t="s">
        <v>784</v>
      </c>
      <c r="L219" s="22" t="s">
        <v>62</v>
      </c>
      <c r="M219" s="22" t="s">
        <v>84</v>
      </c>
      <c r="N219" s="22" t="s">
        <v>2065</v>
      </c>
      <c r="O219" s="22" t="s">
        <v>2066</v>
      </c>
      <c r="P219" s="22" t="s">
        <v>2067</v>
      </c>
      <c r="Q219" s="22"/>
      <c r="R219" s="22" t="s">
        <v>2068</v>
      </c>
      <c r="S219" s="22" t="s">
        <v>61</v>
      </c>
      <c r="T219" s="22"/>
      <c r="U219" s="22" t="s">
        <v>2069</v>
      </c>
      <c r="V219" s="22" t="s">
        <v>70</v>
      </c>
      <c r="W219" s="22" t="s">
        <v>71</v>
      </c>
      <c r="X219" s="25" t="n">
        <v>44197</v>
      </c>
      <c r="Y219" s="25" t="n">
        <v>45992</v>
      </c>
      <c r="Z219" s="22" t="s">
        <v>72</v>
      </c>
      <c r="AA219" s="22" t="s">
        <v>91</v>
      </c>
      <c r="AB219" s="22" t="s">
        <v>74</v>
      </c>
      <c r="AC219" s="22"/>
      <c r="AD219" s="22" t="n">
        <v>0</v>
      </c>
      <c r="AE219" s="22"/>
      <c r="AF219" s="22"/>
      <c r="AG219" s="22" t="s">
        <v>75</v>
      </c>
      <c r="AH219" s="22"/>
      <c r="AI219" s="22" t="n">
        <v>10</v>
      </c>
      <c r="AJ219" s="22" t="n">
        <v>30</v>
      </c>
      <c r="AK219" s="22" t="s">
        <v>61</v>
      </c>
      <c r="AL219" s="26" t="n">
        <v>37174</v>
      </c>
      <c r="AM219" s="26" t="n">
        <v>45000.6672340972</v>
      </c>
      <c r="AN219" s="25" t="n">
        <v>45002.310775463</v>
      </c>
      <c r="AO219" s="22" t="n">
        <v>5</v>
      </c>
      <c r="AP219" s="22" t="n">
        <v>40</v>
      </c>
      <c r="AQ219" s="22" t="s">
        <v>0</v>
      </c>
      <c r="AR219" s="27" t="s">
        <v>2054</v>
      </c>
      <c r="AS219" s="42" t="s">
        <v>78</v>
      </c>
      <c r="AT219" s="27"/>
      <c r="AU219" s="27"/>
      <c r="AV219" s="27"/>
      <c r="AW219" s="27"/>
      <c r="AX219" s="27"/>
      <c r="AY219" s="27"/>
    </row>
    <row r="220" customFormat="false" ht="15.75" hidden="false" customHeight="true" outlineLevel="0" collapsed="false">
      <c r="A220" s="22" t="n">
        <v>216</v>
      </c>
      <c r="B220" s="23" t="s">
        <v>2070</v>
      </c>
      <c r="C220" s="22"/>
      <c r="D220" s="22" t="s">
        <v>2071</v>
      </c>
      <c r="E220" s="22" t="s">
        <v>81</v>
      </c>
      <c r="F220" s="22" t="s">
        <v>107</v>
      </c>
      <c r="G220" s="22" t="s">
        <v>59</v>
      </c>
      <c r="H220" s="22" t="s">
        <v>60</v>
      </c>
      <c r="I220" s="22"/>
      <c r="J220" s="22" t="s">
        <v>61</v>
      </c>
      <c r="K220" s="22" t="s">
        <v>2072</v>
      </c>
      <c r="L220" s="22" t="s">
        <v>62</v>
      </c>
      <c r="M220" s="22" t="s">
        <v>84</v>
      </c>
      <c r="N220" s="22" t="s">
        <v>2073</v>
      </c>
      <c r="O220" s="22" t="s">
        <v>2074</v>
      </c>
      <c r="P220" s="22" t="s">
        <v>2075</v>
      </c>
      <c r="Q220" s="22"/>
      <c r="R220" s="22" t="s">
        <v>2076</v>
      </c>
      <c r="S220" s="22" t="s">
        <v>61</v>
      </c>
      <c r="T220" s="22"/>
      <c r="U220" s="22" t="s">
        <v>2077</v>
      </c>
      <c r="V220" s="22" t="s">
        <v>70</v>
      </c>
      <c r="W220" s="22" t="s">
        <v>71</v>
      </c>
      <c r="X220" s="25" t="n">
        <v>43831</v>
      </c>
      <c r="Y220" s="25" t="n">
        <v>45627</v>
      </c>
      <c r="Z220" s="22" t="s">
        <v>72</v>
      </c>
      <c r="AA220" s="22" t="s">
        <v>91</v>
      </c>
      <c r="AB220" s="22" t="s">
        <v>74</v>
      </c>
      <c r="AC220" s="22"/>
      <c r="AD220" s="22" t="n">
        <v>0</v>
      </c>
      <c r="AE220" s="22"/>
      <c r="AF220" s="22"/>
      <c r="AG220" s="22" t="s">
        <v>75</v>
      </c>
      <c r="AH220" s="22"/>
      <c r="AI220" s="22" t="n">
        <v>10</v>
      </c>
      <c r="AJ220" s="22" t="n">
        <v>30</v>
      </c>
      <c r="AK220" s="22" t="s">
        <v>76</v>
      </c>
      <c r="AL220" s="26" t="n">
        <v>37175</v>
      </c>
      <c r="AM220" s="26" t="n">
        <v>45006.7069860301</v>
      </c>
      <c r="AN220" s="25" t="n">
        <v>45007.9446990741</v>
      </c>
      <c r="AO220" s="22" t="n">
        <v>7</v>
      </c>
      <c r="AP220" s="22" t="n">
        <v>40</v>
      </c>
      <c r="AQ220" s="22" t="s">
        <v>1</v>
      </c>
      <c r="AR220" s="34" t="s">
        <v>1805</v>
      </c>
      <c r="AS220" s="27" t="s">
        <v>206</v>
      </c>
      <c r="AT220" s="28" t="n">
        <v>45054.5</v>
      </c>
      <c r="AU220" s="27" t="s">
        <v>206</v>
      </c>
      <c r="AV220" s="27"/>
      <c r="AW220" s="27"/>
      <c r="AX220" s="27"/>
      <c r="AY220" s="27"/>
    </row>
    <row r="221" customFormat="false" ht="15" hidden="false" customHeight="false" outlineLevel="0" collapsed="false">
      <c r="A221" s="22" t="n">
        <v>217</v>
      </c>
      <c r="B221" s="23" t="s">
        <v>2078</v>
      </c>
      <c r="C221" s="22"/>
      <c r="D221" s="22" t="s">
        <v>2079</v>
      </c>
      <c r="E221" s="22" t="s">
        <v>81</v>
      </c>
      <c r="F221" s="22" t="s">
        <v>107</v>
      </c>
      <c r="G221" s="22" t="s">
        <v>59</v>
      </c>
      <c r="H221" s="22" t="s">
        <v>96</v>
      </c>
      <c r="I221" s="22"/>
      <c r="J221" s="22" t="s">
        <v>61</v>
      </c>
      <c r="K221" s="22" t="s">
        <v>2080</v>
      </c>
      <c r="L221" s="22" t="s">
        <v>62</v>
      </c>
      <c r="M221" s="22" t="s">
        <v>2081</v>
      </c>
      <c r="N221" s="22" t="s">
        <v>2082</v>
      </c>
      <c r="O221" s="22" t="s">
        <v>2083</v>
      </c>
      <c r="P221" s="22" t="s">
        <v>2084</v>
      </c>
      <c r="Q221" s="22" t="s">
        <v>2085</v>
      </c>
      <c r="R221" s="22" t="s">
        <v>2086</v>
      </c>
      <c r="S221" s="22" t="s">
        <v>61</v>
      </c>
      <c r="T221" s="22"/>
      <c r="U221" s="22" t="s">
        <v>836</v>
      </c>
      <c r="V221" s="22" t="s">
        <v>70</v>
      </c>
      <c r="W221" s="22" t="s">
        <v>71</v>
      </c>
      <c r="X221" s="25" t="n">
        <v>43497</v>
      </c>
      <c r="Y221" s="25" t="n">
        <v>45323</v>
      </c>
      <c r="Z221" s="22" t="s">
        <v>72</v>
      </c>
      <c r="AA221" s="22" t="s">
        <v>91</v>
      </c>
      <c r="AB221" s="22" t="s">
        <v>74</v>
      </c>
      <c r="AC221" s="22"/>
      <c r="AD221" s="22" t="n">
        <v>0</v>
      </c>
      <c r="AE221" s="22"/>
      <c r="AF221" s="22"/>
      <c r="AG221" s="22" t="s">
        <v>75</v>
      </c>
      <c r="AH221" s="22" t="s">
        <v>242</v>
      </c>
      <c r="AI221" s="22" t="n">
        <v>10</v>
      </c>
      <c r="AJ221" s="22" t="n">
        <v>30</v>
      </c>
      <c r="AK221" s="22" t="s">
        <v>76</v>
      </c>
      <c r="AL221" s="26" t="n">
        <v>37176</v>
      </c>
      <c r="AM221" s="26" t="n">
        <v>45000.6714541204</v>
      </c>
      <c r="AN221" s="25" t="n">
        <v>45000.6721527778</v>
      </c>
      <c r="AO221" s="22" t="n">
        <v>8</v>
      </c>
      <c r="AP221" s="22" t="n">
        <v>40</v>
      </c>
      <c r="AQ221" s="22" t="s">
        <v>1</v>
      </c>
      <c r="AR221" s="27" t="s">
        <v>2087</v>
      </c>
      <c r="AS221" s="27" t="s">
        <v>1698</v>
      </c>
      <c r="AT221" s="40" t="n">
        <v>45050.5625</v>
      </c>
      <c r="AU221" s="27" t="s">
        <v>805</v>
      </c>
      <c r="AV221" s="27"/>
      <c r="AW221" s="27"/>
      <c r="AX221" s="27"/>
      <c r="AY221" s="27"/>
    </row>
    <row r="222" customFormat="false" ht="15.75" hidden="false" customHeight="true" outlineLevel="0" collapsed="false">
      <c r="A222" s="22" t="n">
        <v>218</v>
      </c>
      <c r="B222" s="23" t="s">
        <v>2088</v>
      </c>
      <c r="C222" s="22" t="s">
        <v>2089</v>
      </c>
      <c r="D222" s="22" t="s">
        <v>2090</v>
      </c>
      <c r="E222" s="22" t="s">
        <v>57</v>
      </c>
      <c r="F222" s="22" t="s">
        <v>107</v>
      </c>
      <c r="G222" s="22" t="s">
        <v>59</v>
      </c>
      <c r="H222" s="22" t="s">
        <v>96</v>
      </c>
      <c r="I222" s="22"/>
      <c r="J222" s="22" t="s">
        <v>61</v>
      </c>
      <c r="K222" s="22" t="s">
        <v>2091</v>
      </c>
      <c r="L222" s="22" t="s">
        <v>62</v>
      </c>
      <c r="M222" s="22" t="s">
        <v>2092</v>
      </c>
      <c r="N222" s="22" t="s">
        <v>2093</v>
      </c>
      <c r="O222" s="22" t="s">
        <v>2094</v>
      </c>
      <c r="P222" s="22" t="s">
        <v>2095</v>
      </c>
      <c r="Q222" s="22"/>
      <c r="R222" s="22" t="s">
        <v>2096</v>
      </c>
      <c r="S222" s="22" t="s">
        <v>61</v>
      </c>
      <c r="T222" s="22"/>
      <c r="U222" s="22" t="s">
        <v>2097</v>
      </c>
      <c r="V222" s="22" t="s">
        <v>70</v>
      </c>
      <c r="W222" s="22" t="s">
        <v>71</v>
      </c>
      <c r="X222" s="25" t="n">
        <v>43831</v>
      </c>
      <c r="Y222" s="25" t="n">
        <v>45627</v>
      </c>
      <c r="Z222" s="22" t="s">
        <v>72</v>
      </c>
      <c r="AA222" s="22" t="s">
        <v>73</v>
      </c>
      <c r="AB222" s="22" t="s">
        <v>74</v>
      </c>
      <c r="AC222" s="22"/>
      <c r="AD222" s="22" t="n">
        <v>0</v>
      </c>
      <c r="AE222" s="22"/>
      <c r="AF222" s="22"/>
      <c r="AG222" s="22" t="s">
        <v>75</v>
      </c>
      <c r="AH222" s="22"/>
      <c r="AI222" s="22" t="n">
        <v>10</v>
      </c>
      <c r="AJ222" s="22" t="n">
        <v>30</v>
      </c>
      <c r="AK222" s="22" t="s">
        <v>61</v>
      </c>
      <c r="AL222" s="26" t="n">
        <v>37178.0416666667</v>
      </c>
      <c r="AM222" s="26" t="n">
        <v>45008.4013239699</v>
      </c>
      <c r="AN222" s="25" t="n">
        <v>45008.4043171296</v>
      </c>
      <c r="AO222" s="22" t="n">
        <v>7</v>
      </c>
      <c r="AP222" s="22" t="n">
        <v>40</v>
      </c>
      <c r="AQ222" s="22" t="s">
        <v>1</v>
      </c>
      <c r="AR222" s="37" t="s">
        <v>2054</v>
      </c>
      <c r="AS222" s="27" t="s">
        <v>206</v>
      </c>
      <c r="AT222" s="27" t="s">
        <v>2098</v>
      </c>
      <c r="AU222" s="27" t="s">
        <v>654</v>
      </c>
      <c r="AV222" s="27"/>
      <c r="AW222" s="27"/>
      <c r="AX222" s="27"/>
      <c r="AY222" s="27"/>
    </row>
    <row r="223" customFormat="false" ht="15.75" hidden="false" customHeight="true" outlineLevel="0" collapsed="false">
      <c r="A223" s="22" t="n">
        <v>219</v>
      </c>
      <c r="B223" s="23" t="s">
        <v>2099</v>
      </c>
      <c r="C223" s="22" t="s">
        <v>2100</v>
      </c>
      <c r="D223" s="22" t="s">
        <v>2101</v>
      </c>
      <c r="E223" s="22" t="s">
        <v>81</v>
      </c>
      <c r="F223" s="22" t="s">
        <v>107</v>
      </c>
      <c r="G223" s="22" t="s">
        <v>59</v>
      </c>
      <c r="H223" s="22" t="s">
        <v>60</v>
      </c>
      <c r="I223" s="22"/>
      <c r="J223" s="22" t="s">
        <v>61</v>
      </c>
      <c r="K223" s="22" t="s">
        <v>2102</v>
      </c>
      <c r="L223" s="22" t="s">
        <v>62</v>
      </c>
      <c r="M223" s="22" t="s">
        <v>1111</v>
      </c>
      <c r="N223" s="22" t="s">
        <v>2103</v>
      </c>
      <c r="O223" s="22" t="s">
        <v>2104</v>
      </c>
      <c r="P223" s="22" t="s">
        <v>2105</v>
      </c>
      <c r="Q223" s="22" t="s">
        <v>2106</v>
      </c>
      <c r="R223" s="22" t="s">
        <v>2107</v>
      </c>
      <c r="S223" s="22" t="s">
        <v>61</v>
      </c>
      <c r="T223" s="22"/>
      <c r="U223" s="22" t="s">
        <v>2108</v>
      </c>
      <c r="V223" s="22" t="s">
        <v>70</v>
      </c>
      <c r="W223" s="22" t="s">
        <v>71</v>
      </c>
      <c r="X223" s="25" t="n">
        <v>43466</v>
      </c>
      <c r="Y223" s="25" t="n">
        <v>45261</v>
      </c>
      <c r="Z223" s="22" t="s">
        <v>72</v>
      </c>
      <c r="AA223" s="22" t="s">
        <v>91</v>
      </c>
      <c r="AB223" s="22" t="s">
        <v>74</v>
      </c>
      <c r="AC223" s="22"/>
      <c r="AD223" s="22" t="n">
        <v>0</v>
      </c>
      <c r="AE223" s="22"/>
      <c r="AF223" s="22"/>
      <c r="AG223" s="22" t="s">
        <v>75</v>
      </c>
      <c r="AH223" s="22"/>
      <c r="AI223" s="22" t="n">
        <v>10</v>
      </c>
      <c r="AJ223" s="22" t="n">
        <v>30</v>
      </c>
      <c r="AK223" s="22" t="s">
        <v>61</v>
      </c>
      <c r="AL223" s="26" t="n">
        <v>37181</v>
      </c>
      <c r="AM223" s="26" t="n">
        <v>45004.762018287</v>
      </c>
      <c r="AN223" s="25" t="n">
        <v>45004.7656365741</v>
      </c>
      <c r="AO223" s="22" t="n">
        <v>9</v>
      </c>
      <c r="AP223" s="22" t="n">
        <v>40</v>
      </c>
      <c r="AQ223" s="22" t="s">
        <v>1</v>
      </c>
      <c r="AR223" s="27" t="s">
        <v>2109</v>
      </c>
      <c r="AS223" s="27" t="s">
        <v>2110</v>
      </c>
      <c r="AT223" s="27"/>
      <c r="AU223" s="27"/>
      <c r="AV223" s="27"/>
      <c r="AW223" s="27"/>
      <c r="AX223" s="27"/>
      <c r="AY223" s="27"/>
    </row>
    <row r="224" customFormat="false" ht="15.75" hidden="false" customHeight="true" outlineLevel="0" collapsed="false">
      <c r="A224" s="22" t="n">
        <v>220</v>
      </c>
      <c r="B224" s="23" t="s">
        <v>2111</v>
      </c>
      <c r="C224" s="22"/>
      <c r="D224" s="22" t="s">
        <v>2112</v>
      </c>
      <c r="E224" s="22" t="s">
        <v>57</v>
      </c>
      <c r="F224" s="22" t="s">
        <v>107</v>
      </c>
      <c r="G224" s="22" t="s">
        <v>59</v>
      </c>
      <c r="H224" s="22" t="s">
        <v>96</v>
      </c>
      <c r="I224" s="22"/>
      <c r="J224" s="22" t="s">
        <v>61</v>
      </c>
      <c r="K224" s="22" t="s">
        <v>2113</v>
      </c>
      <c r="L224" s="22" t="s">
        <v>62</v>
      </c>
      <c r="M224" s="22" t="s">
        <v>63</v>
      </c>
      <c r="N224" s="22" t="s">
        <v>2114</v>
      </c>
      <c r="O224" s="22" t="s">
        <v>397</v>
      </c>
      <c r="P224" s="22" t="s">
        <v>2115</v>
      </c>
      <c r="Q224" s="22"/>
      <c r="R224" s="22" t="s">
        <v>2116</v>
      </c>
      <c r="S224" s="22" t="s">
        <v>61</v>
      </c>
      <c r="T224" s="22"/>
      <c r="U224" s="22" t="s">
        <v>1096</v>
      </c>
      <c r="V224" s="22" t="s">
        <v>70</v>
      </c>
      <c r="W224" s="22" t="s">
        <v>71</v>
      </c>
      <c r="X224" s="25" t="n">
        <v>43831</v>
      </c>
      <c r="Y224" s="25" t="n">
        <v>45870</v>
      </c>
      <c r="Z224" s="22" t="s">
        <v>72</v>
      </c>
      <c r="AA224" s="22" t="s">
        <v>149</v>
      </c>
      <c r="AB224" s="22" t="s">
        <v>74</v>
      </c>
      <c r="AC224" s="22"/>
      <c r="AD224" s="22" t="n">
        <v>0</v>
      </c>
      <c r="AE224" s="22"/>
      <c r="AF224" s="22"/>
      <c r="AG224" s="22" t="s">
        <v>75</v>
      </c>
      <c r="AH224" s="22"/>
      <c r="AI224" s="22" t="n">
        <v>10</v>
      </c>
      <c r="AJ224" s="22" t="n">
        <v>30</v>
      </c>
      <c r="AK224" s="22" t="s">
        <v>61</v>
      </c>
      <c r="AL224" s="26" t="n">
        <v>37190</v>
      </c>
      <c r="AM224" s="26" t="n">
        <v>45001.5540865509</v>
      </c>
      <c r="AN224" s="25" t="n">
        <v>45001.5558564815</v>
      </c>
      <c r="AO224" s="22" t="n">
        <v>6</v>
      </c>
      <c r="AP224" s="22" t="n">
        <v>40</v>
      </c>
      <c r="AQ224" s="22" t="s">
        <v>1</v>
      </c>
      <c r="AR224" s="37" t="s">
        <v>2054</v>
      </c>
      <c r="AS224" s="27" t="s">
        <v>206</v>
      </c>
      <c r="AT224" s="28" t="n">
        <v>45054.5</v>
      </c>
      <c r="AU224" s="27" t="s">
        <v>220</v>
      </c>
      <c r="AV224" s="27"/>
      <c r="AW224" s="27"/>
      <c r="AX224" s="27"/>
      <c r="AY224" s="27"/>
    </row>
    <row r="225" customFormat="false" ht="15.75" hidden="false" customHeight="true" outlineLevel="0" collapsed="false">
      <c r="A225" s="22" t="n">
        <v>221</v>
      </c>
      <c r="B225" s="23" t="s">
        <v>2117</v>
      </c>
      <c r="C225" s="22" t="s">
        <v>2118</v>
      </c>
      <c r="D225" s="22" t="s">
        <v>2119</v>
      </c>
      <c r="E225" s="22" t="s">
        <v>81</v>
      </c>
      <c r="F225" s="22" t="s">
        <v>107</v>
      </c>
      <c r="G225" s="22" t="s">
        <v>59</v>
      </c>
      <c r="H225" s="22" t="s">
        <v>96</v>
      </c>
      <c r="I225" s="22"/>
      <c r="J225" s="22" t="s">
        <v>61</v>
      </c>
      <c r="K225" s="22" t="s">
        <v>2120</v>
      </c>
      <c r="L225" s="22" t="s">
        <v>62</v>
      </c>
      <c r="M225" s="22" t="s">
        <v>63</v>
      </c>
      <c r="N225" s="22" t="s">
        <v>2121</v>
      </c>
      <c r="O225" s="22" t="s">
        <v>1605</v>
      </c>
      <c r="P225" s="22" t="s">
        <v>2122</v>
      </c>
      <c r="Q225" s="22"/>
      <c r="R225" s="22" t="s">
        <v>2123</v>
      </c>
      <c r="S225" s="22" t="s">
        <v>61</v>
      </c>
      <c r="T225" s="22"/>
      <c r="U225" s="22" t="s">
        <v>2124</v>
      </c>
      <c r="V225" s="22" t="s">
        <v>70</v>
      </c>
      <c r="W225" s="22" t="s">
        <v>71</v>
      </c>
      <c r="X225" s="25" t="n">
        <v>43862</v>
      </c>
      <c r="Y225" s="25" t="n">
        <v>45627</v>
      </c>
      <c r="Z225" s="22" t="s">
        <v>72</v>
      </c>
      <c r="AA225" s="22" t="s">
        <v>149</v>
      </c>
      <c r="AB225" s="22" t="s">
        <v>74</v>
      </c>
      <c r="AC225" s="22"/>
      <c r="AD225" s="22" t="n">
        <v>0</v>
      </c>
      <c r="AE225" s="22"/>
      <c r="AF225" s="22"/>
      <c r="AG225" s="22" t="s">
        <v>75</v>
      </c>
      <c r="AH225" s="22"/>
      <c r="AI225" s="22" t="n">
        <v>10</v>
      </c>
      <c r="AJ225" s="22" t="n">
        <v>30</v>
      </c>
      <c r="AK225" s="22" t="s">
        <v>61</v>
      </c>
      <c r="AL225" s="26" t="n">
        <v>37203</v>
      </c>
      <c r="AM225" s="26" t="n">
        <v>45008.6435783796</v>
      </c>
      <c r="AN225" s="25" t="n">
        <v>45008.6448032407</v>
      </c>
      <c r="AO225" s="22" t="n">
        <v>7</v>
      </c>
      <c r="AP225" s="22" t="n">
        <v>40</v>
      </c>
      <c r="AQ225" s="22" t="s">
        <v>0</v>
      </c>
      <c r="AR225" s="27" t="s">
        <v>2054</v>
      </c>
      <c r="AS225" s="42" t="s">
        <v>78</v>
      </c>
      <c r="AT225" s="27"/>
      <c r="AU225" s="27"/>
      <c r="AV225" s="27"/>
      <c r="AW225" s="27"/>
      <c r="AX225" s="27"/>
      <c r="AY225" s="27"/>
    </row>
    <row r="226" customFormat="false" ht="15.75" hidden="false" customHeight="true" outlineLevel="0" collapsed="false">
      <c r="A226" s="22" t="n">
        <v>222</v>
      </c>
      <c r="B226" s="23" t="s">
        <v>2125</v>
      </c>
      <c r="C226" s="22"/>
      <c r="D226" s="22" t="s">
        <v>2126</v>
      </c>
      <c r="E226" s="22" t="s">
        <v>81</v>
      </c>
      <c r="F226" s="22" t="s">
        <v>107</v>
      </c>
      <c r="G226" s="22" t="s">
        <v>59</v>
      </c>
      <c r="H226" s="22" t="s">
        <v>156</v>
      </c>
      <c r="I226" s="22"/>
      <c r="J226" s="22" t="s">
        <v>61</v>
      </c>
      <c r="K226" s="22" t="s">
        <v>2127</v>
      </c>
      <c r="L226" s="22" t="s">
        <v>62</v>
      </c>
      <c r="M226" s="22" t="s">
        <v>63</v>
      </c>
      <c r="N226" s="22" t="s">
        <v>2128</v>
      </c>
      <c r="O226" s="22" t="s">
        <v>2129</v>
      </c>
      <c r="P226" s="22" t="s">
        <v>2130</v>
      </c>
      <c r="Q226" s="22" t="s">
        <v>2131</v>
      </c>
      <c r="R226" s="22" t="s">
        <v>2132</v>
      </c>
      <c r="S226" s="22" t="s">
        <v>61</v>
      </c>
      <c r="T226" s="22"/>
      <c r="U226" s="22" t="s">
        <v>1465</v>
      </c>
      <c r="V226" s="22" t="s">
        <v>70</v>
      </c>
      <c r="W226" s="22" t="s">
        <v>71</v>
      </c>
      <c r="X226" s="25" t="n">
        <v>44197</v>
      </c>
      <c r="Y226" s="25" t="n">
        <v>45992</v>
      </c>
      <c r="Z226" s="22" t="s">
        <v>72</v>
      </c>
      <c r="AA226" s="22" t="s">
        <v>149</v>
      </c>
      <c r="AB226" s="22" t="s">
        <v>74</v>
      </c>
      <c r="AC226" s="22"/>
      <c r="AD226" s="22" t="n">
        <v>0</v>
      </c>
      <c r="AE226" s="22"/>
      <c r="AF226" s="22"/>
      <c r="AG226" s="22" t="s">
        <v>75</v>
      </c>
      <c r="AH226" s="22"/>
      <c r="AI226" s="22" t="n">
        <v>10</v>
      </c>
      <c r="AJ226" s="22" t="n">
        <v>30</v>
      </c>
      <c r="AK226" s="22" t="s">
        <v>61</v>
      </c>
      <c r="AL226" s="26" t="n">
        <v>37208</v>
      </c>
      <c r="AM226" s="26" t="n">
        <v>45002.5875205787</v>
      </c>
      <c r="AN226" s="25" t="n">
        <v>45002.6240162037</v>
      </c>
      <c r="AO226" s="22" t="n">
        <v>5</v>
      </c>
      <c r="AP226" s="22" t="n">
        <v>40</v>
      </c>
      <c r="AQ226" s="22" t="s">
        <v>0</v>
      </c>
      <c r="AR226" s="27" t="s">
        <v>2054</v>
      </c>
      <c r="AS226" s="42" t="s">
        <v>78</v>
      </c>
      <c r="AT226" s="27"/>
      <c r="AU226" s="27"/>
      <c r="AV226" s="27"/>
      <c r="AW226" s="27"/>
      <c r="AX226" s="27"/>
      <c r="AY226" s="27"/>
    </row>
    <row r="227" customFormat="false" ht="15.75" hidden="false" customHeight="true" outlineLevel="0" collapsed="false">
      <c r="A227" s="22" t="n">
        <v>223</v>
      </c>
      <c r="B227" s="23" t="s">
        <v>2133</v>
      </c>
      <c r="C227" s="22"/>
      <c r="D227" s="22" t="s">
        <v>2134</v>
      </c>
      <c r="E227" s="22" t="s">
        <v>81</v>
      </c>
      <c r="F227" s="22" t="s">
        <v>107</v>
      </c>
      <c r="G227" s="22" t="s">
        <v>59</v>
      </c>
      <c r="H227" s="22" t="s">
        <v>96</v>
      </c>
      <c r="I227" s="22"/>
      <c r="J227" s="22" t="s">
        <v>61</v>
      </c>
      <c r="K227" s="22" t="s">
        <v>2135</v>
      </c>
      <c r="L227" s="22" t="s">
        <v>62</v>
      </c>
      <c r="M227" s="22" t="s">
        <v>63</v>
      </c>
      <c r="N227" s="22" t="s">
        <v>2136</v>
      </c>
      <c r="O227" s="22" t="s">
        <v>2137</v>
      </c>
      <c r="P227" s="22" t="s">
        <v>2138</v>
      </c>
      <c r="Q227" s="22" t="s">
        <v>2139</v>
      </c>
      <c r="R227" s="22" t="s">
        <v>2140</v>
      </c>
      <c r="S227" s="22" t="s">
        <v>61</v>
      </c>
      <c r="T227" s="22"/>
      <c r="U227" s="22" t="s">
        <v>2141</v>
      </c>
      <c r="V227" s="22" t="s">
        <v>70</v>
      </c>
      <c r="W227" s="22" t="s">
        <v>71</v>
      </c>
      <c r="X227" s="25" t="n">
        <v>44228</v>
      </c>
      <c r="Y227" s="25" t="n">
        <v>44986</v>
      </c>
      <c r="Z227" s="22" t="s">
        <v>72</v>
      </c>
      <c r="AA227" s="22" t="s">
        <v>91</v>
      </c>
      <c r="AB227" s="22" t="s">
        <v>74</v>
      </c>
      <c r="AC227" s="22"/>
      <c r="AD227" s="22" t="n">
        <v>0</v>
      </c>
      <c r="AE227" s="22"/>
      <c r="AF227" s="22"/>
      <c r="AG227" s="22" t="s">
        <v>75</v>
      </c>
      <c r="AH227" s="22"/>
      <c r="AI227" s="22" t="n">
        <v>10</v>
      </c>
      <c r="AJ227" s="22" t="n">
        <v>30</v>
      </c>
      <c r="AK227" s="22" t="s">
        <v>61</v>
      </c>
      <c r="AL227" s="26" t="n">
        <v>37215</v>
      </c>
      <c r="AM227" s="26" t="n">
        <v>45005.8343864815</v>
      </c>
      <c r="AN227" s="25" t="n">
        <v>45008.797037037</v>
      </c>
      <c r="AO227" s="22" t="n">
        <v>5</v>
      </c>
      <c r="AP227" s="22" t="n">
        <v>40</v>
      </c>
      <c r="AQ227" s="22" t="s">
        <v>1</v>
      </c>
      <c r="AR227" s="37" t="s">
        <v>2054</v>
      </c>
      <c r="AS227" s="27" t="s">
        <v>206</v>
      </c>
      <c r="AT227" s="28" t="n">
        <v>45054.5</v>
      </c>
      <c r="AU227" s="27" t="s">
        <v>220</v>
      </c>
      <c r="AV227" s="27"/>
      <c r="AW227" s="27"/>
      <c r="AX227" s="27"/>
      <c r="AY227" s="27"/>
    </row>
    <row r="228" customFormat="false" ht="15.75" hidden="false" customHeight="true" outlineLevel="0" collapsed="false">
      <c r="A228" s="22" t="n">
        <v>224</v>
      </c>
      <c r="B228" s="23" t="s">
        <v>2142</v>
      </c>
      <c r="C228" s="22"/>
      <c r="D228" s="22" t="s">
        <v>2143</v>
      </c>
      <c r="E228" s="22" t="s">
        <v>81</v>
      </c>
      <c r="F228" s="22" t="s">
        <v>107</v>
      </c>
      <c r="G228" s="22" t="s">
        <v>59</v>
      </c>
      <c r="H228" s="22" t="s">
        <v>60</v>
      </c>
      <c r="I228" s="22"/>
      <c r="J228" s="22" t="s">
        <v>61</v>
      </c>
      <c r="K228" s="22" t="s">
        <v>2144</v>
      </c>
      <c r="L228" s="22" t="s">
        <v>62</v>
      </c>
      <c r="M228" s="22" t="s">
        <v>63</v>
      </c>
      <c r="N228" s="22" t="s">
        <v>2145</v>
      </c>
      <c r="O228" s="22" t="s">
        <v>2146</v>
      </c>
      <c r="P228" s="22" t="s">
        <v>2147</v>
      </c>
      <c r="Q228" s="22"/>
      <c r="R228" s="22" t="s">
        <v>2148</v>
      </c>
      <c r="S228" s="22" t="s">
        <v>61</v>
      </c>
      <c r="T228" s="22"/>
      <c r="U228" s="22" t="s">
        <v>906</v>
      </c>
      <c r="V228" s="22" t="s">
        <v>70</v>
      </c>
      <c r="W228" s="22" t="s">
        <v>71</v>
      </c>
      <c r="X228" s="25" t="n">
        <v>43831</v>
      </c>
      <c r="Y228" s="25" t="n">
        <v>45627</v>
      </c>
      <c r="Z228" s="22" t="s">
        <v>72</v>
      </c>
      <c r="AA228" s="22" t="s">
        <v>149</v>
      </c>
      <c r="AB228" s="22" t="s">
        <v>74</v>
      </c>
      <c r="AC228" s="22"/>
      <c r="AD228" s="22" t="n">
        <v>0</v>
      </c>
      <c r="AE228" s="22"/>
      <c r="AF228" s="22"/>
      <c r="AG228" s="22" t="s">
        <v>75</v>
      </c>
      <c r="AH228" s="22"/>
      <c r="AI228" s="22" t="n">
        <v>10</v>
      </c>
      <c r="AJ228" s="22" t="n">
        <v>30</v>
      </c>
      <c r="AK228" s="22" t="s">
        <v>61</v>
      </c>
      <c r="AL228" s="26" t="n">
        <v>37216</v>
      </c>
      <c r="AM228" s="26" t="n">
        <v>45006.7802383449</v>
      </c>
      <c r="AN228" s="25" t="n">
        <v>45006.7814351852</v>
      </c>
      <c r="AO228" s="22" t="n">
        <v>7</v>
      </c>
      <c r="AP228" s="22" t="n">
        <v>40</v>
      </c>
      <c r="AQ228" s="22" t="s">
        <v>1</v>
      </c>
      <c r="AR228" s="37" t="s">
        <v>2054</v>
      </c>
      <c r="AS228" s="44" t="s">
        <v>2149</v>
      </c>
      <c r="AT228" s="28" t="n">
        <v>45054.5</v>
      </c>
      <c r="AU228" s="27" t="s">
        <v>2149</v>
      </c>
      <c r="AV228" s="27"/>
      <c r="AW228" s="27"/>
      <c r="AX228" s="27"/>
      <c r="AY228" s="27"/>
    </row>
    <row r="229" customFormat="false" ht="15.75" hidden="false" customHeight="true" outlineLevel="0" collapsed="false">
      <c r="A229" s="22" t="n">
        <v>225</v>
      </c>
      <c r="B229" s="23" t="s">
        <v>2150</v>
      </c>
      <c r="C229" s="22" t="s">
        <v>2151</v>
      </c>
      <c r="D229" s="22" t="s">
        <v>2152</v>
      </c>
      <c r="E229" s="22" t="s">
        <v>57</v>
      </c>
      <c r="F229" s="22" t="s">
        <v>107</v>
      </c>
      <c r="G229" s="22" t="s">
        <v>59</v>
      </c>
      <c r="H229" s="22" t="s">
        <v>96</v>
      </c>
      <c r="I229" s="22"/>
      <c r="J229" s="22" t="s">
        <v>61</v>
      </c>
      <c r="K229" s="22" t="s">
        <v>2153</v>
      </c>
      <c r="L229" s="22" t="s">
        <v>62</v>
      </c>
      <c r="M229" s="22" t="s">
        <v>63</v>
      </c>
      <c r="N229" s="22" t="s">
        <v>2154</v>
      </c>
      <c r="O229" s="22" t="s">
        <v>2155</v>
      </c>
      <c r="P229" s="22" t="s">
        <v>2156</v>
      </c>
      <c r="Q229" s="22"/>
      <c r="R229" s="22" t="s">
        <v>2157</v>
      </c>
      <c r="S229" s="22" t="s">
        <v>61</v>
      </c>
      <c r="T229" s="22"/>
      <c r="U229" s="22" t="s">
        <v>634</v>
      </c>
      <c r="V229" s="22" t="s">
        <v>70</v>
      </c>
      <c r="W229" s="22" t="s">
        <v>71</v>
      </c>
      <c r="X229" s="25" t="n">
        <v>43831</v>
      </c>
      <c r="Y229" s="25" t="n">
        <v>45627</v>
      </c>
      <c r="Z229" s="22" t="s">
        <v>72</v>
      </c>
      <c r="AA229" s="22" t="s">
        <v>149</v>
      </c>
      <c r="AB229" s="22" t="s">
        <v>74</v>
      </c>
      <c r="AC229" s="22"/>
      <c r="AD229" s="22" t="n">
        <v>0</v>
      </c>
      <c r="AE229" s="22"/>
      <c r="AF229" s="22"/>
      <c r="AG229" s="22" t="s">
        <v>75</v>
      </c>
      <c r="AH229" s="22"/>
      <c r="AI229" s="22" t="n">
        <v>10</v>
      </c>
      <c r="AJ229" s="22" t="n">
        <v>30</v>
      </c>
      <c r="AK229" s="22" t="s">
        <v>61</v>
      </c>
      <c r="AL229" s="26" t="n">
        <v>37223</v>
      </c>
      <c r="AM229" s="26" t="n">
        <v>45001.3229189468</v>
      </c>
      <c r="AN229" s="25" t="n">
        <v>45005.4003009259</v>
      </c>
      <c r="AO229" s="22" t="n">
        <v>7</v>
      </c>
      <c r="AP229" s="22" t="n">
        <v>40</v>
      </c>
      <c r="AQ229" s="22" t="s">
        <v>0</v>
      </c>
      <c r="AR229" s="27" t="s">
        <v>523</v>
      </c>
      <c r="AS229" s="42" t="s">
        <v>78</v>
      </c>
      <c r="AT229" s="27"/>
      <c r="AU229" s="27"/>
      <c r="AV229" s="27"/>
      <c r="AW229" s="27"/>
      <c r="AX229" s="27"/>
      <c r="AY229" s="27"/>
    </row>
    <row r="230" customFormat="false" ht="15.75" hidden="false" customHeight="true" outlineLevel="0" collapsed="false">
      <c r="A230" s="22" t="n">
        <v>226</v>
      </c>
      <c r="B230" s="23" t="s">
        <v>2158</v>
      </c>
      <c r="C230" s="22" t="s">
        <v>2159</v>
      </c>
      <c r="D230" s="22" t="s">
        <v>2160</v>
      </c>
      <c r="E230" s="22" t="s">
        <v>81</v>
      </c>
      <c r="F230" s="22" t="s">
        <v>107</v>
      </c>
      <c r="G230" s="22" t="s">
        <v>59</v>
      </c>
      <c r="H230" s="22" t="s">
        <v>96</v>
      </c>
      <c r="I230" s="22"/>
      <c r="J230" s="22" t="s">
        <v>61</v>
      </c>
      <c r="K230" s="22" t="s">
        <v>2161</v>
      </c>
      <c r="L230" s="22" t="s">
        <v>62</v>
      </c>
      <c r="M230" s="22" t="s">
        <v>63</v>
      </c>
      <c r="N230" s="22" t="s">
        <v>2162</v>
      </c>
      <c r="O230" s="22" t="s">
        <v>685</v>
      </c>
      <c r="P230" s="22" t="s">
        <v>2163</v>
      </c>
      <c r="Q230" s="22" t="s">
        <v>2164</v>
      </c>
      <c r="R230" s="22" t="s">
        <v>2165</v>
      </c>
      <c r="S230" s="22" t="s">
        <v>61</v>
      </c>
      <c r="T230" s="22"/>
      <c r="U230" s="22" t="s">
        <v>1364</v>
      </c>
      <c r="V230" s="22" t="s">
        <v>70</v>
      </c>
      <c r="W230" s="22" t="s">
        <v>71</v>
      </c>
      <c r="X230" s="25" t="n">
        <v>43862</v>
      </c>
      <c r="Y230" s="25" t="n">
        <v>45627</v>
      </c>
      <c r="Z230" s="22" t="s">
        <v>72</v>
      </c>
      <c r="AA230" s="22" t="s">
        <v>74</v>
      </c>
      <c r="AB230" s="22" t="s">
        <v>74</v>
      </c>
      <c r="AC230" s="22"/>
      <c r="AD230" s="22" t="n">
        <v>0</v>
      </c>
      <c r="AE230" s="22"/>
      <c r="AF230" s="22"/>
      <c r="AG230" s="22" t="s">
        <v>75</v>
      </c>
      <c r="AH230" s="22"/>
      <c r="AI230" s="22" t="n">
        <v>10</v>
      </c>
      <c r="AJ230" s="22" t="n">
        <v>30</v>
      </c>
      <c r="AK230" s="22" t="s">
        <v>61</v>
      </c>
      <c r="AL230" s="26" t="n">
        <v>37235</v>
      </c>
      <c r="AM230" s="26" t="n">
        <v>45002.9717334606</v>
      </c>
      <c r="AN230" s="25" t="n">
        <v>45004.8808101852</v>
      </c>
      <c r="AO230" s="22" t="n">
        <v>7</v>
      </c>
      <c r="AP230" s="22" t="n">
        <v>40</v>
      </c>
      <c r="AQ230" s="22" t="s">
        <v>1</v>
      </c>
      <c r="AR230" s="37" t="s">
        <v>2054</v>
      </c>
      <c r="AS230" s="27" t="s">
        <v>206</v>
      </c>
      <c r="AT230" s="28" t="n">
        <v>45054.5</v>
      </c>
      <c r="AU230" s="27" t="s">
        <v>220</v>
      </c>
      <c r="AV230" s="27"/>
      <c r="AW230" s="27"/>
      <c r="AX230" s="27"/>
      <c r="AY230" s="27"/>
    </row>
    <row r="231" customFormat="false" ht="15.75" hidden="false" customHeight="true" outlineLevel="0" collapsed="false">
      <c r="A231" s="22" t="n">
        <v>227</v>
      </c>
      <c r="B231" s="23" t="s">
        <v>2166</v>
      </c>
      <c r="C231" s="22" t="s">
        <v>2167</v>
      </c>
      <c r="D231" s="22" t="s">
        <v>2168</v>
      </c>
      <c r="E231" s="22" t="s">
        <v>81</v>
      </c>
      <c r="F231" s="22" t="s">
        <v>107</v>
      </c>
      <c r="G231" s="22" t="s">
        <v>59</v>
      </c>
      <c r="H231" s="22" t="s">
        <v>60</v>
      </c>
      <c r="I231" s="22"/>
      <c r="J231" s="22" t="s">
        <v>61</v>
      </c>
      <c r="K231" s="22" t="s">
        <v>2169</v>
      </c>
      <c r="L231" s="22" t="s">
        <v>62</v>
      </c>
      <c r="M231" s="22" t="s">
        <v>63</v>
      </c>
      <c r="N231" s="22" t="s">
        <v>2170</v>
      </c>
      <c r="O231" s="22" t="s">
        <v>963</v>
      </c>
      <c r="P231" s="22" t="s">
        <v>2171</v>
      </c>
      <c r="Q231" s="22"/>
      <c r="R231" s="22" t="s">
        <v>2172</v>
      </c>
      <c r="S231" s="22" t="s">
        <v>61</v>
      </c>
      <c r="T231" s="22"/>
      <c r="U231" s="22" t="s">
        <v>261</v>
      </c>
      <c r="V231" s="22" t="s">
        <v>70</v>
      </c>
      <c r="W231" s="22" t="s">
        <v>71</v>
      </c>
      <c r="X231" s="25" t="n">
        <v>43862</v>
      </c>
      <c r="Y231" s="25" t="n">
        <v>45627</v>
      </c>
      <c r="Z231" s="22" t="s">
        <v>72</v>
      </c>
      <c r="AA231" s="22" t="s">
        <v>73</v>
      </c>
      <c r="AB231" s="22" t="s">
        <v>74</v>
      </c>
      <c r="AC231" s="22"/>
      <c r="AD231" s="22" t="n">
        <v>0</v>
      </c>
      <c r="AE231" s="22"/>
      <c r="AF231" s="22"/>
      <c r="AG231" s="22" t="s">
        <v>75</v>
      </c>
      <c r="AH231" s="22"/>
      <c r="AI231" s="22" t="n">
        <v>10</v>
      </c>
      <c r="AJ231" s="22" t="n">
        <v>30</v>
      </c>
      <c r="AK231" s="22" t="s">
        <v>61</v>
      </c>
      <c r="AL231" s="26" t="n">
        <v>37235</v>
      </c>
      <c r="AM231" s="26" t="n">
        <v>45008.4437320718</v>
      </c>
      <c r="AN231" s="25" t="n">
        <v>45008.7390625</v>
      </c>
      <c r="AO231" s="22" t="n">
        <v>7</v>
      </c>
      <c r="AP231" s="22" t="n">
        <v>40</v>
      </c>
      <c r="AQ231" s="22" t="s">
        <v>0</v>
      </c>
      <c r="AR231" s="27" t="s">
        <v>2054</v>
      </c>
      <c r="AS231" s="27" t="s">
        <v>78</v>
      </c>
      <c r="AT231" s="27"/>
      <c r="AU231" s="27"/>
      <c r="AV231" s="27"/>
      <c r="AW231" s="27"/>
      <c r="AX231" s="27"/>
      <c r="AY231" s="27"/>
    </row>
    <row r="232" customFormat="false" ht="15.75" hidden="false" customHeight="true" outlineLevel="0" collapsed="false">
      <c r="A232" s="22" t="n">
        <v>228</v>
      </c>
      <c r="B232" s="23" t="s">
        <v>2173</v>
      </c>
      <c r="C232" s="22"/>
      <c r="D232" s="22" t="s">
        <v>2174</v>
      </c>
      <c r="E232" s="22" t="s">
        <v>81</v>
      </c>
      <c r="F232" s="22" t="s">
        <v>107</v>
      </c>
      <c r="G232" s="22" t="s">
        <v>59</v>
      </c>
      <c r="H232" s="22" t="s">
        <v>96</v>
      </c>
      <c r="I232" s="22"/>
      <c r="J232" s="22" t="s">
        <v>61</v>
      </c>
      <c r="K232" s="22" t="s">
        <v>2175</v>
      </c>
      <c r="L232" s="22" t="s">
        <v>62</v>
      </c>
      <c r="M232" s="22" t="s">
        <v>2176</v>
      </c>
      <c r="N232" s="22" t="s">
        <v>2177</v>
      </c>
      <c r="O232" s="22" t="s">
        <v>2178</v>
      </c>
      <c r="P232" s="22" t="s">
        <v>2179</v>
      </c>
      <c r="Q232" s="22"/>
      <c r="R232" s="22" t="s">
        <v>2180</v>
      </c>
      <c r="S232" s="22" t="s">
        <v>61</v>
      </c>
      <c r="T232" s="22"/>
      <c r="U232" s="22" t="s">
        <v>2181</v>
      </c>
      <c r="V232" s="22" t="s">
        <v>70</v>
      </c>
      <c r="W232" s="22" t="s">
        <v>71</v>
      </c>
      <c r="X232" s="25" t="n">
        <v>43831</v>
      </c>
      <c r="Y232" s="25" t="n">
        <v>45627</v>
      </c>
      <c r="Z232" s="22" t="s">
        <v>72</v>
      </c>
      <c r="AA232" s="22" t="s">
        <v>91</v>
      </c>
      <c r="AB232" s="22" t="s">
        <v>74</v>
      </c>
      <c r="AC232" s="22"/>
      <c r="AD232" s="22" t="n">
        <v>0</v>
      </c>
      <c r="AE232" s="22"/>
      <c r="AF232" s="22"/>
      <c r="AG232" s="22" t="s">
        <v>75</v>
      </c>
      <c r="AH232" s="22"/>
      <c r="AI232" s="22" t="n">
        <v>10</v>
      </c>
      <c r="AJ232" s="22" t="n">
        <v>30</v>
      </c>
      <c r="AK232" s="22" t="s">
        <v>61</v>
      </c>
      <c r="AL232" s="26" t="n">
        <v>37241</v>
      </c>
      <c r="AM232" s="26" t="n">
        <v>45000.5029582639</v>
      </c>
      <c r="AN232" s="25" t="n">
        <v>45000.6542361111</v>
      </c>
      <c r="AO232" s="22" t="n">
        <v>7</v>
      </c>
      <c r="AP232" s="22" t="n">
        <v>40</v>
      </c>
      <c r="AQ232" s="22" t="s">
        <v>1</v>
      </c>
      <c r="AR232" s="27" t="s">
        <v>2054</v>
      </c>
      <c r="AS232" s="45" t="s">
        <v>2182</v>
      </c>
      <c r="AT232" s="27"/>
      <c r="AU232" s="27"/>
      <c r="AV232" s="27"/>
      <c r="AW232" s="27"/>
      <c r="AX232" s="27"/>
      <c r="AY232" s="27"/>
    </row>
    <row r="233" customFormat="false" ht="15.75" hidden="false" customHeight="true" outlineLevel="0" collapsed="false">
      <c r="A233" s="22" t="n">
        <v>229</v>
      </c>
      <c r="B233" s="23" t="s">
        <v>2183</v>
      </c>
      <c r="C233" s="22" t="s">
        <v>2184</v>
      </c>
      <c r="D233" s="22" t="s">
        <v>2185</v>
      </c>
      <c r="E233" s="22" t="s">
        <v>81</v>
      </c>
      <c r="F233" s="22" t="s">
        <v>107</v>
      </c>
      <c r="G233" s="22" t="s">
        <v>59</v>
      </c>
      <c r="H233" s="22" t="s">
        <v>156</v>
      </c>
      <c r="I233" s="22"/>
      <c r="J233" s="22" t="s">
        <v>61</v>
      </c>
      <c r="K233" s="22" t="s">
        <v>2186</v>
      </c>
      <c r="L233" s="22" t="s">
        <v>62</v>
      </c>
      <c r="M233" s="22" t="s">
        <v>84</v>
      </c>
      <c r="N233" s="22" t="s">
        <v>2187</v>
      </c>
      <c r="O233" s="22" t="s">
        <v>122</v>
      </c>
      <c r="P233" s="22" t="s">
        <v>2188</v>
      </c>
      <c r="Q233" s="22"/>
      <c r="R233" s="22" t="s">
        <v>2189</v>
      </c>
      <c r="S233" s="22" t="s">
        <v>61</v>
      </c>
      <c r="T233" s="22"/>
      <c r="U233" s="22" t="s">
        <v>313</v>
      </c>
      <c r="V233" s="22" t="s">
        <v>70</v>
      </c>
      <c r="W233" s="22" t="s">
        <v>71</v>
      </c>
      <c r="X233" s="25" t="n">
        <v>44228</v>
      </c>
      <c r="Y233" s="25" t="n">
        <v>46357</v>
      </c>
      <c r="Z233" s="22" t="s">
        <v>72</v>
      </c>
      <c r="AA233" s="22" t="s">
        <v>149</v>
      </c>
      <c r="AB233" s="22" t="s">
        <v>74</v>
      </c>
      <c r="AC233" s="22"/>
      <c r="AD233" s="22" t="n">
        <v>0</v>
      </c>
      <c r="AE233" s="22"/>
      <c r="AF233" s="22"/>
      <c r="AG233" s="22" t="s">
        <v>75</v>
      </c>
      <c r="AH233" s="22"/>
      <c r="AI233" s="22" t="n">
        <v>10</v>
      </c>
      <c r="AJ233" s="22" t="n">
        <v>30</v>
      </c>
      <c r="AK233" s="22" t="s">
        <v>61</v>
      </c>
      <c r="AL233" s="26" t="n">
        <v>37251</v>
      </c>
      <c r="AM233" s="26" t="n">
        <v>45008.9515503819</v>
      </c>
      <c r="AN233" s="25" t="n">
        <v>45008.9546180556</v>
      </c>
      <c r="AO233" s="22" t="n">
        <v>5</v>
      </c>
      <c r="AP233" s="22" t="n">
        <v>40</v>
      </c>
      <c r="AQ233" s="22" t="s">
        <v>0</v>
      </c>
      <c r="AR233" s="27" t="s">
        <v>2054</v>
      </c>
      <c r="AS233" s="27" t="s">
        <v>2190</v>
      </c>
      <c r="AT233" s="28" t="n">
        <v>45054.5</v>
      </c>
      <c r="AU233" s="27" t="s">
        <v>78</v>
      </c>
      <c r="AV233" s="27"/>
      <c r="AW233" s="27"/>
      <c r="AX233" s="27"/>
      <c r="AY233" s="27"/>
    </row>
    <row r="234" customFormat="false" ht="15.75" hidden="false" customHeight="true" outlineLevel="0" collapsed="false">
      <c r="A234" s="22" t="n">
        <v>230</v>
      </c>
      <c r="B234" s="23" t="s">
        <v>2191</v>
      </c>
      <c r="C234" s="22"/>
      <c r="D234" s="22" t="s">
        <v>2192</v>
      </c>
      <c r="E234" s="22" t="s">
        <v>81</v>
      </c>
      <c r="F234" s="22" t="s">
        <v>107</v>
      </c>
      <c r="G234" s="22" t="s">
        <v>59</v>
      </c>
      <c r="H234" s="22" t="s">
        <v>96</v>
      </c>
      <c r="I234" s="22"/>
      <c r="J234" s="22" t="s">
        <v>61</v>
      </c>
      <c r="K234" s="22" t="s">
        <v>2193</v>
      </c>
      <c r="L234" s="22" t="s">
        <v>580</v>
      </c>
      <c r="M234" s="22" t="s">
        <v>581</v>
      </c>
      <c r="N234" s="22" t="s">
        <v>2194</v>
      </c>
      <c r="O234" s="22" t="s">
        <v>2195</v>
      </c>
      <c r="P234" s="22" t="s">
        <v>2196</v>
      </c>
      <c r="Q234" s="22"/>
      <c r="R234" s="22" t="s">
        <v>2197</v>
      </c>
      <c r="S234" s="22" t="s">
        <v>61</v>
      </c>
      <c r="T234" s="22"/>
      <c r="U234" s="22" t="s">
        <v>2198</v>
      </c>
      <c r="V234" s="22" t="s">
        <v>70</v>
      </c>
      <c r="W234" s="22" t="s">
        <v>71</v>
      </c>
      <c r="X234" s="25" t="n">
        <v>44228</v>
      </c>
      <c r="Y234" s="25" t="n">
        <v>45689</v>
      </c>
      <c r="Z234" s="22" t="s">
        <v>72</v>
      </c>
      <c r="AA234" s="22" t="s">
        <v>149</v>
      </c>
      <c r="AB234" s="22" t="s">
        <v>74</v>
      </c>
      <c r="AC234" s="22"/>
      <c r="AD234" s="22" t="n">
        <v>0</v>
      </c>
      <c r="AE234" s="22"/>
      <c r="AF234" s="22"/>
      <c r="AG234" s="22" t="s">
        <v>75</v>
      </c>
      <c r="AH234" s="22"/>
      <c r="AI234" s="22" t="n">
        <v>10</v>
      </c>
      <c r="AJ234" s="22" t="n">
        <v>30</v>
      </c>
      <c r="AK234" s="22" t="s">
        <v>61</v>
      </c>
      <c r="AL234" s="26" t="n">
        <v>37259</v>
      </c>
      <c r="AM234" s="26" t="n">
        <v>45006.4255267477</v>
      </c>
      <c r="AN234" s="25" t="n">
        <v>45007.4037268519</v>
      </c>
      <c r="AO234" s="22" t="n">
        <v>5</v>
      </c>
      <c r="AP234" s="22" t="n">
        <v>40</v>
      </c>
      <c r="AQ234" s="22" t="s">
        <v>1</v>
      </c>
      <c r="AR234" s="27" t="s">
        <v>2054</v>
      </c>
      <c r="AS234" s="27" t="s">
        <v>2199</v>
      </c>
      <c r="AT234" s="27"/>
      <c r="AU234" s="27"/>
      <c r="AV234" s="27"/>
      <c r="AW234" s="27"/>
      <c r="AX234" s="27"/>
      <c r="AY234" s="27"/>
    </row>
    <row r="235" customFormat="false" ht="15.75" hidden="false" customHeight="true" outlineLevel="0" collapsed="false">
      <c r="A235" s="22" t="n">
        <v>231</v>
      </c>
      <c r="B235" s="23" t="s">
        <v>2200</v>
      </c>
      <c r="C235" s="22"/>
      <c r="D235" s="22" t="s">
        <v>2201</v>
      </c>
      <c r="E235" s="22" t="s">
        <v>57</v>
      </c>
      <c r="F235" s="22" t="s">
        <v>107</v>
      </c>
      <c r="G235" s="22" t="s">
        <v>59</v>
      </c>
      <c r="H235" s="22" t="s">
        <v>96</v>
      </c>
      <c r="I235" s="22"/>
      <c r="J235" s="22" t="s">
        <v>61</v>
      </c>
      <c r="K235" s="22" t="s">
        <v>2202</v>
      </c>
      <c r="L235" s="22" t="s">
        <v>62</v>
      </c>
      <c r="M235" s="22" t="s">
        <v>84</v>
      </c>
      <c r="N235" s="22" t="s">
        <v>2203</v>
      </c>
      <c r="O235" s="22" t="s">
        <v>2204</v>
      </c>
      <c r="P235" s="22" t="s">
        <v>2205</v>
      </c>
      <c r="Q235" s="22" t="s">
        <v>2206</v>
      </c>
      <c r="R235" s="22" t="s">
        <v>2207</v>
      </c>
      <c r="S235" s="22" t="s">
        <v>61</v>
      </c>
      <c r="T235" s="22"/>
      <c r="U235" s="22" t="s">
        <v>634</v>
      </c>
      <c r="V235" s="22" t="s">
        <v>70</v>
      </c>
      <c r="W235" s="22" t="s">
        <v>71</v>
      </c>
      <c r="X235" s="25" t="n">
        <v>43497</v>
      </c>
      <c r="Y235" s="25" t="n">
        <v>45292</v>
      </c>
      <c r="Z235" s="22" t="s">
        <v>72</v>
      </c>
      <c r="AA235" s="22" t="s">
        <v>149</v>
      </c>
      <c r="AB235" s="22" t="s">
        <v>74</v>
      </c>
      <c r="AC235" s="22"/>
      <c r="AD235" s="22" t="n">
        <v>0</v>
      </c>
      <c r="AE235" s="22"/>
      <c r="AF235" s="22"/>
      <c r="AG235" s="22" t="s">
        <v>75</v>
      </c>
      <c r="AH235" s="22"/>
      <c r="AI235" s="22" t="n">
        <v>10</v>
      </c>
      <c r="AJ235" s="22" t="n">
        <v>30</v>
      </c>
      <c r="AK235" s="22" t="s">
        <v>61</v>
      </c>
      <c r="AL235" s="26" t="n">
        <v>37260</v>
      </c>
      <c r="AM235" s="26" t="n">
        <v>45001.6081793171</v>
      </c>
      <c r="AN235" s="25" t="n">
        <v>45002.6644097222</v>
      </c>
      <c r="AO235" s="22" t="n">
        <v>7</v>
      </c>
      <c r="AP235" s="22" t="n">
        <v>40</v>
      </c>
      <c r="AQ235" s="22" t="s">
        <v>0</v>
      </c>
      <c r="AR235" s="27" t="s">
        <v>2054</v>
      </c>
      <c r="AS235" s="27" t="s">
        <v>78</v>
      </c>
      <c r="AT235" s="27"/>
      <c r="AU235" s="27"/>
      <c r="AV235" s="27"/>
      <c r="AW235" s="27"/>
      <c r="AX235" s="27"/>
      <c r="AY235" s="27"/>
    </row>
    <row r="236" customFormat="false" ht="15.75" hidden="false" customHeight="true" outlineLevel="0" collapsed="false">
      <c r="A236" s="22" t="n">
        <v>232</v>
      </c>
      <c r="B236" s="23" t="s">
        <v>2208</v>
      </c>
      <c r="C236" s="22"/>
      <c r="D236" s="22" t="s">
        <v>2209</v>
      </c>
      <c r="E236" s="22" t="s">
        <v>81</v>
      </c>
      <c r="F236" s="22" t="s">
        <v>107</v>
      </c>
      <c r="G236" s="22" t="s">
        <v>59</v>
      </c>
      <c r="H236" s="22" t="s">
        <v>96</v>
      </c>
      <c r="I236" s="22"/>
      <c r="J236" s="22" t="s">
        <v>61</v>
      </c>
      <c r="K236" s="22" t="s">
        <v>2210</v>
      </c>
      <c r="L236" s="22" t="s">
        <v>62</v>
      </c>
      <c r="M236" s="22" t="s">
        <v>2211</v>
      </c>
      <c r="N236" s="22" t="s">
        <v>2212</v>
      </c>
      <c r="O236" s="22" t="s">
        <v>2213</v>
      </c>
      <c r="P236" s="22" t="s">
        <v>2214</v>
      </c>
      <c r="Q236" s="22"/>
      <c r="R236" s="22" t="s">
        <v>2215</v>
      </c>
      <c r="S236" s="22" t="s">
        <v>61</v>
      </c>
      <c r="T236" s="22"/>
      <c r="U236" s="22" t="s">
        <v>2216</v>
      </c>
      <c r="V236" s="22" t="s">
        <v>70</v>
      </c>
      <c r="W236" s="22" t="s">
        <v>71</v>
      </c>
      <c r="X236" s="25" t="n">
        <v>43831</v>
      </c>
      <c r="Y236" s="25" t="n">
        <v>45323</v>
      </c>
      <c r="Z236" s="22" t="s">
        <v>72</v>
      </c>
      <c r="AA236" s="22" t="s">
        <v>149</v>
      </c>
      <c r="AB236" s="22" t="s">
        <v>74</v>
      </c>
      <c r="AC236" s="22"/>
      <c r="AD236" s="22" t="n">
        <v>0</v>
      </c>
      <c r="AE236" s="22"/>
      <c r="AF236" s="22"/>
      <c r="AG236" s="22" t="s">
        <v>75</v>
      </c>
      <c r="AH236" s="22"/>
      <c r="AI236" s="22" t="n">
        <v>10</v>
      </c>
      <c r="AJ236" s="22" t="n">
        <v>30</v>
      </c>
      <c r="AK236" s="22" t="s">
        <v>61</v>
      </c>
      <c r="AL236" s="26" t="n">
        <v>37260</v>
      </c>
      <c r="AM236" s="26" t="n">
        <v>45006.7871458102</v>
      </c>
      <c r="AN236" s="25" t="n">
        <v>45008.5396759259</v>
      </c>
      <c r="AO236" s="22" t="n">
        <v>7</v>
      </c>
      <c r="AP236" s="22" t="n">
        <v>40</v>
      </c>
      <c r="AQ236" s="22" t="s">
        <v>1</v>
      </c>
      <c r="AR236" s="37" t="s">
        <v>2054</v>
      </c>
      <c r="AS236" s="27" t="s">
        <v>206</v>
      </c>
      <c r="AT236" s="28" t="n">
        <v>45054.5</v>
      </c>
      <c r="AU236" s="27" t="s">
        <v>220</v>
      </c>
      <c r="AV236" s="27"/>
      <c r="AW236" s="27"/>
      <c r="AX236" s="27"/>
      <c r="AY236" s="27"/>
    </row>
    <row r="237" customFormat="false" ht="15.75" hidden="false" customHeight="true" outlineLevel="0" collapsed="false">
      <c r="A237" s="22" t="n">
        <v>233</v>
      </c>
      <c r="B237" s="23" t="s">
        <v>2217</v>
      </c>
      <c r="C237" s="22" t="s">
        <v>2218</v>
      </c>
      <c r="D237" s="22" t="s">
        <v>2219</v>
      </c>
      <c r="E237" s="22" t="s">
        <v>57</v>
      </c>
      <c r="F237" s="22" t="s">
        <v>107</v>
      </c>
      <c r="G237" s="22" t="s">
        <v>59</v>
      </c>
      <c r="H237" s="22" t="s">
        <v>96</v>
      </c>
      <c r="I237" s="22"/>
      <c r="J237" s="22" t="s">
        <v>61</v>
      </c>
      <c r="K237" s="22" t="s">
        <v>2220</v>
      </c>
      <c r="L237" s="22" t="s">
        <v>62</v>
      </c>
      <c r="M237" s="22" t="s">
        <v>84</v>
      </c>
      <c r="N237" s="22" t="s">
        <v>2221</v>
      </c>
      <c r="O237" s="22" t="s">
        <v>2222</v>
      </c>
      <c r="P237" s="22" t="s">
        <v>2223</v>
      </c>
      <c r="Q237" s="22" t="s">
        <v>430</v>
      </c>
      <c r="R237" s="22" t="s">
        <v>2224</v>
      </c>
      <c r="S237" s="22" t="s">
        <v>61</v>
      </c>
      <c r="T237" s="22"/>
      <c r="U237" s="22" t="s">
        <v>672</v>
      </c>
      <c r="V237" s="22" t="s">
        <v>70</v>
      </c>
      <c r="W237" s="22" t="s">
        <v>71</v>
      </c>
      <c r="X237" s="25" t="n">
        <v>43831</v>
      </c>
      <c r="Y237" s="25" t="n">
        <v>45627</v>
      </c>
      <c r="Z237" s="22" t="s">
        <v>72</v>
      </c>
      <c r="AA237" s="22" t="s">
        <v>149</v>
      </c>
      <c r="AB237" s="22" t="s">
        <v>74</v>
      </c>
      <c r="AC237" s="22"/>
      <c r="AD237" s="22" t="n">
        <v>0</v>
      </c>
      <c r="AE237" s="22"/>
      <c r="AF237" s="22"/>
      <c r="AG237" s="22" t="s">
        <v>75</v>
      </c>
      <c r="AH237" s="22"/>
      <c r="AI237" s="22" t="n">
        <v>10</v>
      </c>
      <c r="AJ237" s="22" t="n">
        <v>30</v>
      </c>
      <c r="AK237" s="22" t="s">
        <v>76</v>
      </c>
      <c r="AL237" s="26" t="n">
        <v>37268</v>
      </c>
      <c r="AM237" s="26" t="n">
        <v>45001.7290372107</v>
      </c>
      <c r="AN237" s="25" t="n">
        <v>45001.7347685185</v>
      </c>
      <c r="AO237" s="22" t="n">
        <v>7</v>
      </c>
      <c r="AP237" s="22" t="n">
        <v>40</v>
      </c>
      <c r="AQ237" s="22" t="s">
        <v>0</v>
      </c>
      <c r="AR237" s="37" t="s">
        <v>2054</v>
      </c>
      <c r="AS237" s="27" t="s">
        <v>206</v>
      </c>
      <c r="AT237" s="28" t="n">
        <v>45054.5</v>
      </c>
      <c r="AU237" s="27" t="s">
        <v>78</v>
      </c>
      <c r="AV237" s="27"/>
      <c r="AW237" s="27"/>
      <c r="AX237" s="27"/>
      <c r="AY237" s="27"/>
    </row>
    <row r="238" customFormat="false" ht="15.75" hidden="false" customHeight="true" outlineLevel="0" collapsed="false">
      <c r="A238" s="22" t="n">
        <v>234</v>
      </c>
      <c r="B238" s="23" t="s">
        <v>2225</v>
      </c>
      <c r="C238" s="22"/>
      <c r="D238" s="22" t="s">
        <v>2226</v>
      </c>
      <c r="E238" s="22" t="s">
        <v>57</v>
      </c>
      <c r="F238" s="22" t="s">
        <v>107</v>
      </c>
      <c r="G238" s="22" t="s">
        <v>59</v>
      </c>
      <c r="H238" s="22" t="s">
        <v>96</v>
      </c>
      <c r="I238" s="22"/>
      <c r="J238" s="22" t="s">
        <v>61</v>
      </c>
      <c r="K238" s="22" t="s">
        <v>2227</v>
      </c>
      <c r="L238" s="22" t="s">
        <v>62</v>
      </c>
      <c r="M238" s="22" t="s">
        <v>1220</v>
      </c>
      <c r="N238" s="22" t="s">
        <v>2228</v>
      </c>
      <c r="O238" s="22" t="s">
        <v>2229</v>
      </c>
      <c r="P238" s="22" t="s">
        <v>2230</v>
      </c>
      <c r="Q238" s="22"/>
      <c r="R238" s="22" t="s">
        <v>2231</v>
      </c>
      <c r="S238" s="22" t="s">
        <v>61</v>
      </c>
      <c r="T238" s="22"/>
      <c r="U238" s="22" t="s">
        <v>2232</v>
      </c>
      <c r="V238" s="22" t="s">
        <v>70</v>
      </c>
      <c r="W238" s="22" t="s">
        <v>71</v>
      </c>
      <c r="X238" s="25" t="n">
        <v>44197</v>
      </c>
      <c r="Y238" s="25" t="n">
        <v>45992</v>
      </c>
      <c r="Z238" s="22" t="s">
        <v>72</v>
      </c>
      <c r="AA238" s="22" t="s">
        <v>91</v>
      </c>
      <c r="AB238" s="22" t="s">
        <v>74</v>
      </c>
      <c r="AC238" s="22"/>
      <c r="AD238" s="22" t="n">
        <v>0</v>
      </c>
      <c r="AE238" s="22"/>
      <c r="AF238" s="22"/>
      <c r="AG238" s="22" t="s">
        <v>75</v>
      </c>
      <c r="AH238" s="22"/>
      <c r="AI238" s="22" t="n">
        <v>10</v>
      </c>
      <c r="AJ238" s="22" t="n">
        <v>30</v>
      </c>
      <c r="AK238" s="22" t="s">
        <v>61</v>
      </c>
      <c r="AL238" s="26" t="n">
        <v>37271</v>
      </c>
      <c r="AM238" s="26" t="n">
        <v>45006.704055787</v>
      </c>
      <c r="AN238" s="25" t="n">
        <v>45006.7057407407</v>
      </c>
      <c r="AO238" s="22" t="n">
        <v>5</v>
      </c>
      <c r="AP238" s="22" t="n">
        <v>40</v>
      </c>
      <c r="AQ238" s="22" t="s">
        <v>1</v>
      </c>
      <c r="AR238" s="37" t="s">
        <v>2054</v>
      </c>
      <c r="AS238" s="27" t="s">
        <v>206</v>
      </c>
      <c r="AT238" s="28" t="n">
        <v>45054.5</v>
      </c>
      <c r="AU238" s="27" t="s">
        <v>206</v>
      </c>
      <c r="AV238" s="27"/>
      <c r="AW238" s="27"/>
      <c r="AX238" s="27"/>
      <c r="AY238" s="27"/>
    </row>
    <row r="239" customFormat="false" ht="15.75" hidden="false" customHeight="true" outlineLevel="0" collapsed="false">
      <c r="A239" s="22" t="n">
        <v>235</v>
      </c>
      <c r="B239" s="23" t="s">
        <v>2233</v>
      </c>
      <c r="C239" s="22" t="s">
        <v>2234</v>
      </c>
      <c r="D239" s="22" t="s">
        <v>2235</v>
      </c>
      <c r="E239" s="22" t="s">
        <v>81</v>
      </c>
      <c r="F239" s="22" t="s">
        <v>107</v>
      </c>
      <c r="G239" s="22" t="s">
        <v>59</v>
      </c>
      <c r="H239" s="22" t="s">
        <v>96</v>
      </c>
      <c r="I239" s="22"/>
      <c r="J239" s="22" t="s">
        <v>61</v>
      </c>
      <c r="K239" s="22" t="s">
        <v>2236</v>
      </c>
      <c r="L239" s="22" t="s">
        <v>62</v>
      </c>
      <c r="M239" s="22" t="s">
        <v>1526</v>
      </c>
      <c r="N239" s="22" t="s">
        <v>2237</v>
      </c>
      <c r="O239" s="22" t="s">
        <v>2238</v>
      </c>
      <c r="P239" s="22" t="s">
        <v>2239</v>
      </c>
      <c r="Q239" s="22"/>
      <c r="R239" s="22" t="s">
        <v>2240</v>
      </c>
      <c r="S239" s="22" t="s">
        <v>61</v>
      </c>
      <c r="T239" s="22"/>
      <c r="U239" s="22" t="s">
        <v>2241</v>
      </c>
      <c r="V239" s="22" t="s">
        <v>70</v>
      </c>
      <c r="W239" s="22" t="s">
        <v>71</v>
      </c>
      <c r="X239" s="25" t="n">
        <v>43862</v>
      </c>
      <c r="Y239" s="25" t="n">
        <v>45627</v>
      </c>
      <c r="Z239" s="22" t="s">
        <v>72</v>
      </c>
      <c r="AA239" s="22" t="s">
        <v>149</v>
      </c>
      <c r="AB239" s="22" t="s">
        <v>74</v>
      </c>
      <c r="AC239" s="22"/>
      <c r="AD239" s="22" t="n">
        <v>0</v>
      </c>
      <c r="AE239" s="22"/>
      <c r="AF239" s="22"/>
      <c r="AG239" s="22" t="s">
        <v>75</v>
      </c>
      <c r="AH239" s="22"/>
      <c r="AI239" s="22" t="n">
        <v>10</v>
      </c>
      <c r="AJ239" s="22" t="n">
        <v>30</v>
      </c>
      <c r="AK239" s="22" t="s">
        <v>61</v>
      </c>
      <c r="AL239" s="26" t="n">
        <v>37277</v>
      </c>
      <c r="AM239" s="26" t="n">
        <v>45003.783177662</v>
      </c>
      <c r="AN239" s="25" t="n">
        <v>45003.7844791667</v>
      </c>
      <c r="AO239" s="22" t="n">
        <v>7</v>
      </c>
      <c r="AP239" s="22" t="n">
        <v>40</v>
      </c>
      <c r="AQ239" s="22" t="s">
        <v>1</v>
      </c>
      <c r="AR239" s="37" t="s">
        <v>2054</v>
      </c>
      <c r="AS239" s="27" t="s">
        <v>563</v>
      </c>
      <c r="AT239" s="27" t="s">
        <v>564</v>
      </c>
      <c r="AU239" s="27" t="s">
        <v>1031</v>
      </c>
      <c r="AV239" s="27"/>
      <c r="AW239" s="27"/>
      <c r="AX239" s="27"/>
      <c r="AY239" s="27"/>
    </row>
    <row r="240" customFormat="false" ht="15.75" hidden="false" customHeight="true" outlineLevel="0" collapsed="false">
      <c r="A240" s="22" t="n">
        <v>236</v>
      </c>
      <c r="B240" s="23" t="s">
        <v>2242</v>
      </c>
      <c r="C240" s="22"/>
      <c r="D240" s="22" t="s">
        <v>2243</v>
      </c>
      <c r="E240" s="22" t="s">
        <v>81</v>
      </c>
      <c r="F240" s="22" t="s">
        <v>107</v>
      </c>
      <c r="G240" s="22" t="s">
        <v>59</v>
      </c>
      <c r="H240" s="22" t="s">
        <v>96</v>
      </c>
      <c r="I240" s="22"/>
      <c r="J240" s="22" t="s">
        <v>61</v>
      </c>
      <c r="K240" s="22" t="s">
        <v>2244</v>
      </c>
      <c r="L240" s="22" t="s">
        <v>62</v>
      </c>
      <c r="M240" s="22" t="s">
        <v>84</v>
      </c>
      <c r="N240" s="22" t="s">
        <v>2245</v>
      </c>
      <c r="O240" s="22" t="s">
        <v>2146</v>
      </c>
      <c r="P240" s="22" t="s">
        <v>2246</v>
      </c>
      <c r="Q240" s="22"/>
      <c r="R240" s="22" t="s">
        <v>2247</v>
      </c>
      <c r="S240" s="22" t="s">
        <v>61</v>
      </c>
      <c r="T240" s="22"/>
      <c r="U240" s="22" t="s">
        <v>2248</v>
      </c>
      <c r="V240" s="22" t="s">
        <v>70</v>
      </c>
      <c r="W240" s="22" t="s">
        <v>71</v>
      </c>
      <c r="X240" s="25" t="n">
        <v>43831</v>
      </c>
      <c r="Y240" s="25" t="n">
        <v>45627</v>
      </c>
      <c r="Z240" s="22" t="s">
        <v>72</v>
      </c>
      <c r="AA240" s="22" t="s">
        <v>149</v>
      </c>
      <c r="AB240" s="22" t="s">
        <v>74</v>
      </c>
      <c r="AC240" s="22"/>
      <c r="AD240" s="22" t="n">
        <v>0</v>
      </c>
      <c r="AE240" s="22"/>
      <c r="AF240" s="22"/>
      <c r="AG240" s="22" t="s">
        <v>75</v>
      </c>
      <c r="AH240" s="22"/>
      <c r="AI240" s="22" t="n">
        <v>10</v>
      </c>
      <c r="AJ240" s="22" t="n">
        <v>30</v>
      </c>
      <c r="AK240" s="22" t="s">
        <v>61</v>
      </c>
      <c r="AL240" s="26" t="n">
        <v>37285</v>
      </c>
      <c r="AM240" s="26" t="n">
        <v>45001.5873534838</v>
      </c>
      <c r="AN240" s="25" t="n">
        <v>45006.8172222222</v>
      </c>
      <c r="AO240" s="22" t="n">
        <v>7</v>
      </c>
      <c r="AP240" s="22" t="n">
        <v>40</v>
      </c>
      <c r="AQ240" s="22" t="s">
        <v>1</v>
      </c>
      <c r="AR240" s="37" t="s">
        <v>2054</v>
      </c>
      <c r="AS240" s="27" t="s">
        <v>206</v>
      </c>
      <c r="AT240" s="28" t="n">
        <v>45054.5</v>
      </c>
      <c r="AU240" s="27" t="s">
        <v>206</v>
      </c>
      <c r="AV240" s="27"/>
      <c r="AW240" s="27"/>
      <c r="AX240" s="27"/>
      <c r="AY240" s="27"/>
    </row>
    <row r="241" customFormat="false" ht="15.75" hidden="false" customHeight="true" outlineLevel="0" collapsed="false">
      <c r="A241" s="22" t="n">
        <v>237</v>
      </c>
      <c r="B241" s="23" t="s">
        <v>2249</v>
      </c>
      <c r="C241" s="22" t="s">
        <v>2250</v>
      </c>
      <c r="D241" s="22" t="s">
        <v>2251</v>
      </c>
      <c r="E241" s="22" t="s">
        <v>81</v>
      </c>
      <c r="F241" s="22" t="s">
        <v>107</v>
      </c>
      <c r="G241" s="22" t="s">
        <v>59</v>
      </c>
      <c r="H241" s="22" t="s">
        <v>327</v>
      </c>
      <c r="I241" s="22"/>
      <c r="J241" s="22" t="s">
        <v>61</v>
      </c>
      <c r="K241" s="22" t="s">
        <v>2252</v>
      </c>
      <c r="L241" s="22" t="s">
        <v>62</v>
      </c>
      <c r="M241" s="22" t="s">
        <v>63</v>
      </c>
      <c r="N241" s="22" t="s">
        <v>2253</v>
      </c>
      <c r="O241" s="22" t="s">
        <v>65</v>
      </c>
      <c r="P241" s="22" t="s">
        <v>2254</v>
      </c>
      <c r="Q241" s="22" t="s">
        <v>2255</v>
      </c>
      <c r="R241" s="22" t="s">
        <v>2256</v>
      </c>
      <c r="S241" s="22" t="s">
        <v>61</v>
      </c>
      <c r="T241" s="22"/>
      <c r="U241" s="22" t="s">
        <v>2257</v>
      </c>
      <c r="V241" s="22" t="s">
        <v>70</v>
      </c>
      <c r="W241" s="22" t="s">
        <v>71</v>
      </c>
      <c r="X241" s="25" t="n">
        <v>43862</v>
      </c>
      <c r="Y241" s="25" t="n">
        <v>45597</v>
      </c>
      <c r="Z241" s="22" t="s">
        <v>72</v>
      </c>
      <c r="AA241" s="22" t="s">
        <v>149</v>
      </c>
      <c r="AB241" s="22" t="s">
        <v>74</v>
      </c>
      <c r="AC241" s="22"/>
      <c r="AD241" s="22" t="n">
        <v>0</v>
      </c>
      <c r="AE241" s="22"/>
      <c r="AF241" s="22"/>
      <c r="AG241" s="22" t="s">
        <v>75</v>
      </c>
      <c r="AH241" s="22"/>
      <c r="AI241" s="22" t="n">
        <v>10</v>
      </c>
      <c r="AJ241" s="22" t="n">
        <v>30</v>
      </c>
      <c r="AK241" s="22" t="s">
        <v>61</v>
      </c>
      <c r="AL241" s="26" t="n">
        <v>37291</v>
      </c>
      <c r="AM241" s="26" t="n">
        <v>45001.5418732639</v>
      </c>
      <c r="AN241" s="25" t="n">
        <v>45001.5594097222</v>
      </c>
      <c r="AO241" s="22" t="n">
        <v>7</v>
      </c>
      <c r="AP241" s="22" t="n">
        <v>40</v>
      </c>
      <c r="AQ241" s="22" t="s">
        <v>0</v>
      </c>
      <c r="AR241" s="27" t="s">
        <v>2258</v>
      </c>
      <c r="AS241" s="27" t="s">
        <v>78</v>
      </c>
      <c r="AT241" s="27"/>
      <c r="AU241" s="27"/>
      <c r="AV241" s="27"/>
      <c r="AW241" s="27"/>
      <c r="AX241" s="27"/>
      <c r="AY241" s="27"/>
    </row>
    <row r="242" customFormat="false" ht="15.75" hidden="false" customHeight="true" outlineLevel="0" collapsed="false">
      <c r="A242" s="22" t="n">
        <v>238</v>
      </c>
      <c r="B242" s="23" t="s">
        <v>2259</v>
      </c>
      <c r="C242" s="22"/>
      <c r="D242" s="22" t="s">
        <v>2260</v>
      </c>
      <c r="E242" s="22" t="s">
        <v>81</v>
      </c>
      <c r="F242" s="22" t="s">
        <v>107</v>
      </c>
      <c r="G242" s="22" t="s">
        <v>59</v>
      </c>
      <c r="H242" s="22" t="s">
        <v>96</v>
      </c>
      <c r="I242" s="22"/>
      <c r="J242" s="22" t="s">
        <v>61</v>
      </c>
      <c r="K242" s="22" t="s">
        <v>2261</v>
      </c>
      <c r="L242" s="22" t="s">
        <v>62</v>
      </c>
      <c r="M242" s="22" t="s">
        <v>84</v>
      </c>
      <c r="N242" s="22" t="s">
        <v>2262</v>
      </c>
      <c r="O242" s="22" t="s">
        <v>2263</v>
      </c>
      <c r="P242" s="22" t="s">
        <v>2264</v>
      </c>
      <c r="Q242" s="22" t="s">
        <v>2265</v>
      </c>
      <c r="R242" s="22" t="s">
        <v>2266</v>
      </c>
      <c r="S242" s="22" t="s">
        <v>61</v>
      </c>
      <c r="T242" s="22"/>
      <c r="U242" s="22" t="s">
        <v>2267</v>
      </c>
      <c r="V242" s="22" t="s">
        <v>70</v>
      </c>
      <c r="W242" s="22" t="s">
        <v>71</v>
      </c>
      <c r="X242" s="25" t="n">
        <v>43831</v>
      </c>
      <c r="Y242" s="25" t="n">
        <v>45627</v>
      </c>
      <c r="Z242" s="22" t="s">
        <v>72</v>
      </c>
      <c r="AA242" s="22" t="s">
        <v>149</v>
      </c>
      <c r="AB242" s="22" t="s">
        <v>74</v>
      </c>
      <c r="AC242" s="22"/>
      <c r="AD242" s="22" t="n">
        <v>0</v>
      </c>
      <c r="AE242" s="22"/>
      <c r="AF242" s="22"/>
      <c r="AG242" s="22" t="s">
        <v>75</v>
      </c>
      <c r="AH242" s="22"/>
      <c r="AI242" s="22" t="n">
        <v>10</v>
      </c>
      <c r="AJ242" s="22" t="n">
        <v>30</v>
      </c>
      <c r="AK242" s="22" t="s">
        <v>61</v>
      </c>
      <c r="AL242" s="26" t="n">
        <v>37295</v>
      </c>
      <c r="AM242" s="26" t="n">
        <v>45006.3195461111</v>
      </c>
      <c r="AN242" s="25" t="n">
        <v>45006.3204166667</v>
      </c>
      <c r="AO242" s="22" t="n">
        <v>7</v>
      </c>
      <c r="AP242" s="22" t="n">
        <v>40</v>
      </c>
      <c r="AQ242" s="22" t="s">
        <v>0</v>
      </c>
      <c r="AR242" s="27" t="s">
        <v>2258</v>
      </c>
      <c r="AS242" s="27" t="s">
        <v>78</v>
      </c>
      <c r="AT242" s="27"/>
      <c r="AU242" s="27"/>
      <c r="AV242" s="27"/>
      <c r="AW242" s="27"/>
      <c r="AX242" s="27"/>
      <c r="AY242" s="27"/>
    </row>
    <row r="243" customFormat="false" ht="15.75" hidden="false" customHeight="true" outlineLevel="0" collapsed="false">
      <c r="A243" s="22" t="n">
        <v>239</v>
      </c>
      <c r="B243" s="23" t="s">
        <v>2268</v>
      </c>
      <c r="C243" s="22" t="s">
        <v>2269</v>
      </c>
      <c r="D243" s="22" t="s">
        <v>2270</v>
      </c>
      <c r="E243" s="22" t="s">
        <v>57</v>
      </c>
      <c r="F243" s="22" t="s">
        <v>107</v>
      </c>
      <c r="G243" s="22" t="s">
        <v>59</v>
      </c>
      <c r="H243" s="22" t="s">
        <v>96</v>
      </c>
      <c r="I243" s="22"/>
      <c r="J243" s="22" t="s">
        <v>61</v>
      </c>
      <c r="K243" s="22" t="s">
        <v>2271</v>
      </c>
      <c r="L243" s="22" t="s">
        <v>62</v>
      </c>
      <c r="M243" s="22" t="s">
        <v>84</v>
      </c>
      <c r="N243" s="22" t="s">
        <v>2272</v>
      </c>
      <c r="O243" s="22" t="s">
        <v>1673</v>
      </c>
      <c r="P243" s="22" t="s">
        <v>2273</v>
      </c>
      <c r="Q243" s="22" t="s">
        <v>2274</v>
      </c>
      <c r="R243" s="22" t="s">
        <v>2275</v>
      </c>
      <c r="S243" s="22" t="s">
        <v>61</v>
      </c>
      <c r="T243" s="22"/>
      <c r="U243" s="22" t="s">
        <v>2276</v>
      </c>
      <c r="V243" s="22" t="s">
        <v>70</v>
      </c>
      <c r="W243" s="22" t="s">
        <v>71</v>
      </c>
      <c r="X243" s="25" t="n">
        <v>44197</v>
      </c>
      <c r="Y243" s="25" t="n">
        <v>45992</v>
      </c>
      <c r="Z243" s="22" t="s">
        <v>72</v>
      </c>
      <c r="AA243" s="22" t="s">
        <v>149</v>
      </c>
      <c r="AB243" s="22" t="s">
        <v>74</v>
      </c>
      <c r="AC243" s="22"/>
      <c r="AD243" s="22" t="n">
        <v>0</v>
      </c>
      <c r="AE243" s="22"/>
      <c r="AF243" s="22"/>
      <c r="AG243" s="22" t="s">
        <v>75</v>
      </c>
      <c r="AH243" s="22"/>
      <c r="AI243" s="22" t="n">
        <v>10</v>
      </c>
      <c r="AJ243" s="22" t="n">
        <v>30</v>
      </c>
      <c r="AK243" s="22" t="s">
        <v>61</v>
      </c>
      <c r="AL243" s="26" t="n">
        <v>37317</v>
      </c>
      <c r="AM243" s="26" t="n">
        <v>45000.6880483796</v>
      </c>
      <c r="AN243" s="25" t="n">
        <v>45001.5624189815</v>
      </c>
      <c r="AO243" s="22" t="n">
        <v>5</v>
      </c>
      <c r="AP243" s="22" t="n">
        <v>40</v>
      </c>
      <c r="AQ243" s="22" t="s">
        <v>1</v>
      </c>
      <c r="AR243" s="27" t="s">
        <v>2258</v>
      </c>
      <c r="AS243" s="27" t="s">
        <v>2277</v>
      </c>
      <c r="AT243" s="27"/>
      <c r="AU243" s="27"/>
      <c r="AV243" s="27"/>
      <c r="AW243" s="27"/>
      <c r="AX243" s="27"/>
      <c r="AY243" s="27"/>
    </row>
    <row r="244" customFormat="false" ht="15.75" hidden="false" customHeight="true" outlineLevel="0" collapsed="false">
      <c r="A244" s="22" t="n">
        <v>240</v>
      </c>
      <c r="B244" s="23" t="s">
        <v>2278</v>
      </c>
      <c r="C244" s="22"/>
      <c r="D244" s="22" t="s">
        <v>2279</v>
      </c>
      <c r="E244" s="22" t="s">
        <v>81</v>
      </c>
      <c r="F244" s="22" t="s">
        <v>107</v>
      </c>
      <c r="G244" s="22" t="s">
        <v>59</v>
      </c>
      <c r="H244" s="22" t="s">
        <v>96</v>
      </c>
      <c r="I244" s="22"/>
      <c r="J244" s="22" t="s">
        <v>61</v>
      </c>
      <c r="K244" s="22" t="s">
        <v>2280</v>
      </c>
      <c r="L244" s="22" t="s">
        <v>62</v>
      </c>
      <c r="M244" s="22" t="s">
        <v>63</v>
      </c>
      <c r="N244" s="22" t="s">
        <v>2281</v>
      </c>
      <c r="O244" s="22" t="s">
        <v>2282</v>
      </c>
      <c r="P244" s="22" t="s">
        <v>2283</v>
      </c>
      <c r="Q244" s="22"/>
      <c r="R244" s="22" t="s">
        <v>2284</v>
      </c>
      <c r="S244" s="22" t="s">
        <v>61</v>
      </c>
      <c r="T244" s="22"/>
      <c r="U244" s="22" t="s">
        <v>2285</v>
      </c>
      <c r="V244" s="22" t="s">
        <v>70</v>
      </c>
      <c r="W244" s="22" t="s">
        <v>71</v>
      </c>
      <c r="X244" s="25" t="n">
        <v>44044</v>
      </c>
      <c r="Y244" s="25" t="n">
        <v>45870</v>
      </c>
      <c r="Z244" s="22" t="s">
        <v>72</v>
      </c>
      <c r="AA244" s="22" t="s">
        <v>91</v>
      </c>
      <c r="AB244" s="22" t="s">
        <v>74</v>
      </c>
      <c r="AC244" s="22"/>
      <c r="AD244" s="22" t="n">
        <v>0</v>
      </c>
      <c r="AE244" s="22"/>
      <c r="AF244" s="22"/>
      <c r="AG244" s="22" t="s">
        <v>75</v>
      </c>
      <c r="AH244" s="22"/>
      <c r="AI244" s="22" t="n">
        <v>10</v>
      </c>
      <c r="AJ244" s="22" t="n">
        <v>30</v>
      </c>
      <c r="AK244" s="22" t="s">
        <v>76</v>
      </c>
      <c r="AL244" s="26" t="n">
        <v>37322</v>
      </c>
      <c r="AM244" s="26" t="n">
        <v>45006.816988206</v>
      </c>
      <c r="AN244" s="25" t="n">
        <v>45007.9068055556</v>
      </c>
      <c r="AO244" s="22" t="n">
        <v>6</v>
      </c>
      <c r="AP244" s="22" t="n">
        <v>40</v>
      </c>
      <c r="AQ244" s="22" t="s">
        <v>1</v>
      </c>
      <c r="AR244" s="37" t="s">
        <v>2054</v>
      </c>
      <c r="AS244" s="27" t="s">
        <v>206</v>
      </c>
      <c r="AT244" s="28" t="n">
        <v>45054.5</v>
      </c>
      <c r="AU244" s="27" t="s">
        <v>206</v>
      </c>
      <c r="AV244" s="27"/>
      <c r="AW244" s="27"/>
      <c r="AX244" s="27"/>
      <c r="AY244" s="27"/>
    </row>
    <row r="245" customFormat="false" ht="15.75" hidden="false" customHeight="true" outlineLevel="0" collapsed="false">
      <c r="A245" s="22" t="n">
        <v>241</v>
      </c>
      <c r="B245" s="23" t="s">
        <v>2286</v>
      </c>
      <c r="C245" s="22"/>
      <c r="D245" s="22" t="s">
        <v>2287</v>
      </c>
      <c r="E245" s="22" t="s">
        <v>81</v>
      </c>
      <c r="F245" s="22" t="s">
        <v>107</v>
      </c>
      <c r="G245" s="22" t="s">
        <v>59</v>
      </c>
      <c r="H245" s="22" t="s">
        <v>156</v>
      </c>
      <c r="I245" s="22"/>
      <c r="J245" s="22" t="s">
        <v>61</v>
      </c>
      <c r="K245" s="22" t="s">
        <v>2288</v>
      </c>
      <c r="L245" s="22" t="s">
        <v>62</v>
      </c>
      <c r="M245" s="22" t="s">
        <v>2289</v>
      </c>
      <c r="N245" s="22" t="s">
        <v>2290</v>
      </c>
      <c r="O245" s="22" t="s">
        <v>2291</v>
      </c>
      <c r="P245" s="22" t="s">
        <v>2292</v>
      </c>
      <c r="Q245" s="22"/>
      <c r="R245" s="22" t="s">
        <v>2293</v>
      </c>
      <c r="S245" s="22" t="s">
        <v>61</v>
      </c>
      <c r="T245" s="22"/>
      <c r="U245" s="22" t="s">
        <v>2294</v>
      </c>
      <c r="V245" s="22" t="s">
        <v>70</v>
      </c>
      <c r="W245" s="22" t="s">
        <v>71</v>
      </c>
      <c r="X245" s="25" t="n">
        <v>43862</v>
      </c>
      <c r="Y245" s="25" t="n">
        <v>45627</v>
      </c>
      <c r="Z245" s="22" t="s">
        <v>72</v>
      </c>
      <c r="AA245" s="22" t="s">
        <v>91</v>
      </c>
      <c r="AB245" s="22" t="s">
        <v>74</v>
      </c>
      <c r="AC245" s="22"/>
      <c r="AD245" s="22" t="n">
        <v>0</v>
      </c>
      <c r="AE245" s="22"/>
      <c r="AF245" s="22"/>
      <c r="AG245" s="22" t="s">
        <v>75</v>
      </c>
      <c r="AH245" s="22"/>
      <c r="AI245" s="22" t="n">
        <v>10</v>
      </c>
      <c r="AJ245" s="22" t="n">
        <v>30</v>
      </c>
      <c r="AK245" s="22" t="s">
        <v>61</v>
      </c>
      <c r="AL245" s="26" t="n">
        <v>37325</v>
      </c>
      <c r="AM245" s="26" t="n">
        <v>45003.7237188773</v>
      </c>
      <c r="AN245" s="25" t="n">
        <v>45003.7311805556</v>
      </c>
      <c r="AO245" s="22" t="n">
        <v>7</v>
      </c>
      <c r="AP245" s="22" t="n">
        <v>40</v>
      </c>
      <c r="AQ245" s="22" t="s">
        <v>1</v>
      </c>
      <c r="AR245" s="37" t="s">
        <v>2054</v>
      </c>
      <c r="AS245" s="27" t="s">
        <v>206</v>
      </c>
      <c r="AT245" s="27" t="s">
        <v>564</v>
      </c>
      <c r="AU245" s="27" t="s">
        <v>1031</v>
      </c>
      <c r="AV245" s="27"/>
      <c r="AW245" s="27"/>
      <c r="AX245" s="27"/>
      <c r="AY245" s="27"/>
    </row>
    <row r="246" customFormat="false" ht="15.75" hidden="false" customHeight="true" outlineLevel="0" collapsed="false">
      <c r="A246" s="22" t="n">
        <v>242</v>
      </c>
      <c r="B246" s="23" t="s">
        <v>2295</v>
      </c>
      <c r="C246" s="22"/>
      <c r="D246" s="22" t="s">
        <v>2296</v>
      </c>
      <c r="E246" s="22" t="s">
        <v>81</v>
      </c>
      <c r="F246" s="22" t="s">
        <v>107</v>
      </c>
      <c r="G246" s="22" t="s">
        <v>59</v>
      </c>
      <c r="H246" s="22" t="s">
        <v>60</v>
      </c>
      <c r="I246" s="22"/>
      <c r="J246" s="22" t="s">
        <v>61</v>
      </c>
      <c r="K246" s="22" t="s">
        <v>2297</v>
      </c>
      <c r="L246" s="22" t="s">
        <v>62</v>
      </c>
      <c r="M246" s="22" t="s">
        <v>1111</v>
      </c>
      <c r="N246" s="22" t="s">
        <v>2298</v>
      </c>
      <c r="O246" s="22" t="s">
        <v>213</v>
      </c>
      <c r="P246" s="22" t="s">
        <v>2299</v>
      </c>
      <c r="Q246" s="22"/>
      <c r="R246" s="22" t="s">
        <v>2300</v>
      </c>
      <c r="S246" s="22" t="s">
        <v>61</v>
      </c>
      <c r="T246" s="22"/>
      <c r="U246" s="22" t="s">
        <v>1923</v>
      </c>
      <c r="V246" s="22" t="s">
        <v>70</v>
      </c>
      <c r="W246" s="22" t="s">
        <v>71</v>
      </c>
      <c r="X246" s="25" t="n">
        <v>44228</v>
      </c>
      <c r="Y246" s="25" t="n">
        <v>45992</v>
      </c>
      <c r="Z246" s="22" t="s">
        <v>72</v>
      </c>
      <c r="AA246" s="22" t="s">
        <v>149</v>
      </c>
      <c r="AB246" s="22" t="s">
        <v>74</v>
      </c>
      <c r="AC246" s="22"/>
      <c r="AD246" s="22" t="n">
        <v>0</v>
      </c>
      <c r="AE246" s="22"/>
      <c r="AF246" s="22"/>
      <c r="AG246" s="22" t="s">
        <v>75</v>
      </c>
      <c r="AH246" s="22"/>
      <c r="AI246" s="22" t="n">
        <v>10</v>
      </c>
      <c r="AJ246" s="22" t="n">
        <v>30</v>
      </c>
      <c r="AK246" s="22" t="s">
        <v>76</v>
      </c>
      <c r="AL246" s="26" t="n">
        <v>37327</v>
      </c>
      <c r="AM246" s="26" t="n">
        <v>45001.4738881366</v>
      </c>
      <c r="AN246" s="25" t="n">
        <v>45007.6567592593</v>
      </c>
      <c r="AO246" s="22" t="n">
        <v>5</v>
      </c>
      <c r="AP246" s="22" t="n">
        <v>40</v>
      </c>
      <c r="AQ246" s="22" t="s">
        <v>0</v>
      </c>
      <c r="AR246" s="27" t="s">
        <v>2258</v>
      </c>
      <c r="AS246" s="27" t="s">
        <v>78</v>
      </c>
      <c r="AT246" s="27"/>
      <c r="AU246" s="27"/>
      <c r="AV246" s="27"/>
      <c r="AW246" s="27"/>
      <c r="AX246" s="27"/>
      <c r="AY246" s="27"/>
    </row>
    <row r="247" customFormat="false" ht="15.75" hidden="false" customHeight="true" outlineLevel="0" collapsed="false">
      <c r="A247" s="22" t="n">
        <v>243</v>
      </c>
      <c r="B247" s="23" t="s">
        <v>2301</v>
      </c>
      <c r="C247" s="22" t="s">
        <v>2302</v>
      </c>
      <c r="D247" s="22" t="s">
        <v>2303</v>
      </c>
      <c r="E247" s="22" t="s">
        <v>81</v>
      </c>
      <c r="F247" s="22" t="s">
        <v>107</v>
      </c>
      <c r="G247" s="22" t="s">
        <v>59</v>
      </c>
      <c r="H247" s="22" t="s">
        <v>60</v>
      </c>
      <c r="I247" s="22"/>
      <c r="J247" s="22" t="s">
        <v>61</v>
      </c>
      <c r="K247" s="22" t="s">
        <v>2304</v>
      </c>
      <c r="L247" s="22" t="s">
        <v>62</v>
      </c>
      <c r="M247" s="22" t="s">
        <v>63</v>
      </c>
      <c r="N247" s="22" t="s">
        <v>2305</v>
      </c>
      <c r="O247" s="22" t="s">
        <v>2306</v>
      </c>
      <c r="P247" s="22" t="s">
        <v>2307</v>
      </c>
      <c r="Q247" s="22"/>
      <c r="R247" s="22" t="s">
        <v>2308</v>
      </c>
      <c r="S247" s="22" t="s">
        <v>61</v>
      </c>
      <c r="T247" s="22"/>
      <c r="U247" s="22" t="s">
        <v>888</v>
      </c>
      <c r="V247" s="22" t="s">
        <v>70</v>
      </c>
      <c r="W247" s="22" t="s">
        <v>71</v>
      </c>
      <c r="X247" s="25" t="n">
        <v>43862</v>
      </c>
      <c r="Y247" s="25" t="n">
        <v>45717</v>
      </c>
      <c r="Z247" s="22" t="s">
        <v>72</v>
      </c>
      <c r="AA247" s="22" t="s">
        <v>149</v>
      </c>
      <c r="AB247" s="22" t="s">
        <v>74</v>
      </c>
      <c r="AC247" s="22"/>
      <c r="AD247" s="22" t="n">
        <v>0</v>
      </c>
      <c r="AE247" s="22"/>
      <c r="AF247" s="22"/>
      <c r="AG247" s="22" t="s">
        <v>75</v>
      </c>
      <c r="AH247" s="22"/>
      <c r="AI247" s="22" t="n">
        <v>10</v>
      </c>
      <c r="AJ247" s="22" t="n">
        <v>30</v>
      </c>
      <c r="AK247" s="22" t="s">
        <v>61</v>
      </c>
      <c r="AL247" s="26" t="n">
        <v>37327</v>
      </c>
      <c r="AM247" s="26" t="n">
        <v>45008.6889710417</v>
      </c>
      <c r="AN247" s="25" t="n">
        <v>45009.4534490741</v>
      </c>
      <c r="AO247" s="22" t="n">
        <v>7</v>
      </c>
      <c r="AP247" s="22" t="n">
        <v>40</v>
      </c>
      <c r="AQ247" s="22" t="s">
        <v>0</v>
      </c>
      <c r="AR247" s="27" t="s">
        <v>2258</v>
      </c>
      <c r="AS247" s="46" t="s">
        <v>78</v>
      </c>
      <c r="AT247" s="27"/>
      <c r="AU247" s="27"/>
      <c r="AV247" s="27"/>
      <c r="AW247" s="27"/>
      <c r="AX247" s="27"/>
      <c r="AY247" s="27"/>
    </row>
    <row r="248" customFormat="false" ht="15.75" hidden="false" customHeight="true" outlineLevel="0" collapsed="false">
      <c r="A248" s="22" t="n">
        <v>244</v>
      </c>
      <c r="B248" s="23" t="s">
        <v>2309</v>
      </c>
      <c r="C248" s="22"/>
      <c r="D248" s="22" t="s">
        <v>2310</v>
      </c>
      <c r="E248" s="22" t="s">
        <v>81</v>
      </c>
      <c r="F248" s="22" t="s">
        <v>107</v>
      </c>
      <c r="G248" s="22" t="s">
        <v>59</v>
      </c>
      <c r="H248" s="22" t="s">
        <v>60</v>
      </c>
      <c r="I248" s="22"/>
      <c r="J248" s="22" t="s">
        <v>61</v>
      </c>
      <c r="K248" s="22" t="s">
        <v>1977</v>
      </c>
      <c r="L248" s="22" t="s">
        <v>62</v>
      </c>
      <c r="M248" s="22" t="s">
        <v>84</v>
      </c>
      <c r="N248" s="22" t="s">
        <v>2311</v>
      </c>
      <c r="O248" s="22" t="s">
        <v>1261</v>
      </c>
      <c r="P248" s="22" t="s">
        <v>2312</v>
      </c>
      <c r="Q248" s="22"/>
      <c r="R248" s="22" t="s">
        <v>2313</v>
      </c>
      <c r="S248" s="22" t="s">
        <v>61</v>
      </c>
      <c r="T248" s="22"/>
      <c r="U248" s="22" t="s">
        <v>1284</v>
      </c>
      <c r="V248" s="22" t="s">
        <v>70</v>
      </c>
      <c r="W248" s="22" t="s">
        <v>71</v>
      </c>
      <c r="X248" s="25" t="n">
        <v>43831</v>
      </c>
      <c r="Y248" s="25" t="n">
        <v>45292</v>
      </c>
      <c r="Z248" s="22" t="s">
        <v>72</v>
      </c>
      <c r="AA248" s="22" t="s">
        <v>91</v>
      </c>
      <c r="AB248" s="22" t="s">
        <v>74</v>
      </c>
      <c r="AC248" s="22"/>
      <c r="AD248" s="22" t="n">
        <v>0</v>
      </c>
      <c r="AE248" s="22"/>
      <c r="AF248" s="22"/>
      <c r="AG248" s="22" t="s">
        <v>75</v>
      </c>
      <c r="AH248" s="22"/>
      <c r="AI248" s="22" t="n">
        <v>10</v>
      </c>
      <c r="AJ248" s="22" t="n">
        <v>30</v>
      </c>
      <c r="AK248" s="22" t="s">
        <v>61</v>
      </c>
      <c r="AL248" s="26" t="n">
        <v>37330</v>
      </c>
      <c r="AM248" s="26" t="n">
        <v>45005.5264050463</v>
      </c>
      <c r="AN248" s="25" t="n">
        <v>45005.5305902778</v>
      </c>
      <c r="AO248" s="22" t="n">
        <v>7</v>
      </c>
      <c r="AP248" s="22" t="n">
        <v>40</v>
      </c>
      <c r="AQ248" s="22" t="s">
        <v>0</v>
      </c>
      <c r="AR248" s="27" t="s">
        <v>2258</v>
      </c>
      <c r="AS248" s="27" t="s">
        <v>220</v>
      </c>
      <c r="AT248" s="27"/>
      <c r="AU248" s="27"/>
      <c r="AV248" s="27"/>
      <c r="AW248" s="27"/>
      <c r="AX248" s="27"/>
      <c r="AY248" s="27"/>
    </row>
    <row r="249" customFormat="false" ht="15.75" hidden="false" customHeight="true" outlineLevel="0" collapsed="false">
      <c r="A249" s="22" t="n">
        <v>245</v>
      </c>
      <c r="B249" s="23" t="s">
        <v>2314</v>
      </c>
      <c r="C249" s="22"/>
      <c r="D249" s="22" t="s">
        <v>2315</v>
      </c>
      <c r="E249" s="22" t="s">
        <v>57</v>
      </c>
      <c r="F249" s="22" t="s">
        <v>107</v>
      </c>
      <c r="G249" s="22" t="s">
        <v>59</v>
      </c>
      <c r="H249" s="22" t="s">
        <v>60</v>
      </c>
      <c r="I249" s="22"/>
      <c r="J249" s="22" t="s">
        <v>61</v>
      </c>
      <c r="K249" s="22" t="s">
        <v>2316</v>
      </c>
      <c r="L249" s="22" t="s">
        <v>62</v>
      </c>
      <c r="M249" s="22" t="s">
        <v>84</v>
      </c>
      <c r="N249" s="22" t="s">
        <v>2317</v>
      </c>
      <c r="O249" s="22" t="s">
        <v>2318</v>
      </c>
      <c r="P249" s="22" t="s">
        <v>2319</v>
      </c>
      <c r="Q249" s="22"/>
      <c r="R249" s="22" t="s">
        <v>2320</v>
      </c>
      <c r="S249" s="22" t="s">
        <v>61</v>
      </c>
      <c r="T249" s="22"/>
      <c r="U249" s="22" t="s">
        <v>1923</v>
      </c>
      <c r="V249" s="22" t="s">
        <v>70</v>
      </c>
      <c r="W249" s="22" t="s">
        <v>71</v>
      </c>
      <c r="X249" s="25" t="n">
        <v>44197</v>
      </c>
      <c r="Y249" s="25" t="n">
        <v>46357</v>
      </c>
      <c r="Z249" s="22" t="s">
        <v>72</v>
      </c>
      <c r="AA249" s="22" t="s">
        <v>149</v>
      </c>
      <c r="AB249" s="22" t="s">
        <v>74</v>
      </c>
      <c r="AC249" s="22"/>
      <c r="AD249" s="22" t="n">
        <v>0</v>
      </c>
      <c r="AE249" s="22"/>
      <c r="AF249" s="22"/>
      <c r="AG249" s="22" t="s">
        <v>75</v>
      </c>
      <c r="AH249" s="22"/>
      <c r="AI249" s="22" t="n">
        <v>10</v>
      </c>
      <c r="AJ249" s="22" t="n">
        <v>30</v>
      </c>
      <c r="AK249" s="22" t="s">
        <v>76</v>
      </c>
      <c r="AL249" s="26" t="n">
        <v>37341</v>
      </c>
      <c r="AM249" s="26" t="n">
        <v>45009.4305771759</v>
      </c>
      <c r="AN249" s="25" t="n">
        <v>45009.4335069444</v>
      </c>
      <c r="AO249" s="22" t="n">
        <v>5</v>
      </c>
      <c r="AP249" s="22" t="n">
        <v>40</v>
      </c>
      <c r="AQ249" s="22" t="s">
        <v>1</v>
      </c>
      <c r="AR249" s="37" t="s">
        <v>2054</v>
      </c>
      <c r="AS249" s="27" t="s">
        <v>206</v>
      </c>
      <c r="AT249" s="27" t="s">
        <v>564</v>
      </c>
      <c r="AU249" s="27" t="s">
        <v>654</v>
      </c>
      <c r="AV249" s="27"/>
      <c r="AW249" s="27"/>
      <c r="AX249" s="27"/>
      <c r="AY249" s="27"/>
    </row>
    <row r="250" customFormat="false" ht="15.75" hidden="false" customHeight="true" outlineLevel="0" collapsed="false">
      <c r="A250" s="22" t="n">
        <v>246</v>
      </c>
      <c r="B250" s="23" t="s">
        <v>2321</v>
      </c>
      <c r="C250" s="22"/>
      <c r="D250" s="22" t="s">
        <v>2322</v>
      </c>
      <c r="E250" s="22" t="s">
        <v>81</v>
      </c>
      <c r="F250" s="22" t="s">
        <v>107</v>
      </c>
      <c r="G250" s="22" t="s">
        <v>59</v>
      </c>
      <c r="H250" s="22" t="s">
        <v>60</v>
      </c>
      <c r="I250" s="22"/>
      <c r="J250" s="22" t="s">
        <v>61</v>
      </c>
      <c r="K250" s="22" t="s">
        <v>2323</v>
      </c>
      <c r="L250" s="22" t="s">
        <v>62</v>
      </c>
      <c r="M250" s="22" t="s">
        <v>84</v>
      </c>
      <c r="N250" s="22" t="s">
        <v>2324</v>
      </c>
      <c r="O250" s="22" t="s">
        <v>2325</v>
      </c>
      <c r="P250" s="22" t="s">
        <v>2326</v>
      </c>
      <c r="Q250" s="22" t="s">
        <v>2327</v>
      </c>
      <c r="R250" s="22" t="s">
        <v>2328</v>
      </c>
      <c r="S250" s="22" t="s">
        <v>61</v>
      </c>
      <c r="T250" s="22"/>
      <c r="U250" s="22" t="s">
        <v>2329</v>
      </c>
      <c r="V250" s="22" t="s">
        <v>70</v>
      </c>
      <c r="W250" s="22" t="s">
        <v>71</v>
      </c>
      <c r="X250" s="25" t="n">
        <v>43891</v>
      </c>
      <c r="Y250" s="25" t="n">
        <v>45627</v>
      </c>
      <c r="Z250" s="22" t="s">
        <v>72</v>
      </c>
      <c r="AA250" s="22" t="s">
        <v>149</v>
      </c>
      <c r="AB250" s="22" t="s">
        <v>74</v>
      </c>
      <c r="AC250" s="22"/>
      <c r="AD250" s="22" t="n">
        <v>0</v>
      </c>
      <c r="AE250" s="22"/>
      <c r="AF250" s="22"/>
      <c r="AG250" s="22" t="s">
        <v>75</v>
      </c>
      <c r="AH250" s="22"/>
      <c r="AI250" s="22" t="n">
        <v>10</v>
      </c>
      <c r="AJ250" s="22" t="n">
        <v>30</v>
      </c>
      <c r="AK250" s="22" t="s">
        <v>61</v>
      </c>
      <c r="AL250" s="26" t="n">
        <v>37346</v>
      </c>
      <c r="AM250" s="26" t="n">
        <v>45005.4654654745</v>
      </c>
      <c r="AN250" s="25" t="n">
        <v>45005.4697685185</v>
      </c>
      <c r="AO250" s="22" t="n">
        <v>7</v>
      </c>
      <c r="AP250" s="22" t="n">
        <v>40</v>
      </c>
      <c r="AQ250" s="22" t="s">
        <v>1</v>
      </c>
      <c r="AR250" s="37" t="s">
        <v>2054</v>
      </c>
      <c r="AS250" s="27" t="s">
        <v>206</v>
      </c>
      <c r="AT250" s="27" t="s">
        <v>564</v>
      </c>
      <c r="AU250" s="27" t="s">
        <v>1031</v>
      </c>
      <c r="AV250" s="27"/>
      <c r="AW250" s="27"/>
      <c r="AX250" s="27"/>
      <c r="AY250" s="27"/>
    </row>
    <row r="251" customFormat="false" ht="15.75" hidden="false" customHeight="true" outlineLevel="0" collapsed="false">
      <c r="A251" s="22" t="n">
        <v>247</v>
      </c>
      <c r="B251" s="23" t="s">
        <v>2330</v>
      </c>
      <c r="C251" s="22"/>
      <c r="D251" s="22" t="s">
        <v>2331</v>
      </c>
      <c r="E251" s="22" t="s">
        <v>57</v>
      </c>
      <c r="F251" s="22" t="s">
        <v>107</v>
      </c>
      <c r="G251" s="22" t="s">
        <v>59</v>
      </c>
      <c r="H251" s="22" t="s">
        <v>60</v>
      </c>
      <c r="I251" s="22"/>
      <c r="J251" s="22" t="s">
        <v>61</v>
      </c>
      <c r="K251" s="22" t="s">
        <v>2332</v>
      </c>
      <c r="L251" s="22" t="s">
        <v>62</v>
      </c>
      <c r="M251" s="22" t="s">
        <v>63</v>
      </c>
      <c r="N251" s="22" t="s">
        <v>2333</v>
      </c>
      <c r="O251" s="22" t="s">
        <v>449</v>
      </c>
      <c r="P251" s="22" t="s">
        <v>2334</v>
      </c>
      <c r="Q251" s="22"/>
      <c r="R251" s="22" t="s">
        <v>2335</v>
      </c>
      <c r="S251" s="22" t="s">
        <v>61</v>
      </c>
      <c r="T251" s="22"/>
      <c r="U251" s="22" t="s">
        <v>2257</v>
      </c>
      <c r="V251" s="22" t="s">
        <v>70</v>
      </c>
      <c r="W251" s="22" t="s">
        <v>71</v>
      </c>
      <c r="X251" s="25" t="n">
        <v>44197</v>
      </c>
      <c r="Y251" s="25" t="n">
        <v>45992</v>
      </c>
      <c r="Z251" s="22" t="s">
        <v>72</v>
      </c>
      <c r="AA251" s="22" t="s">
        <v>149</v>
      </c>
      <c r="AB251" s="22" t="s">
        <v>74</v>
      </c>
      <c r="AC251" s="22"/>
      <c r="AD251" s="22" t="n">
        <v>0</v>
      </c>
      <c r="AE251" s="22"/>
      <c r="AF251" s="22"/>
      <c r="AG251" s="22" t="s">
        <v>75</v>
      </c>
      <c r="AH251" s="22"/>
      <c r="AI251" s="22" t="n">
        <v>10</v>
      </c>
      <c r="AJ251" s="22" t="n">
        <v>30</v>
      </c>
      <c r="AK251" s="22" t="s">
        <v>61</v>
      </c>
      <c r="AL251" s="26" t="n">
        <v>37347</v>
      </c>
      <c r="AM251" s="26" t="n">
        <v>45006.6189724421</v>
      </c>
      <c r="AN251" s="25" t="n">
        <v>45006.6865277778</v>
      </c>
      <c r="AO251" s="22" t="n">
        <v>5</v>
      </c>
      <c r="AP251" s="22" t="n">
        <v>40</v>
      </c>
      <c r="AQ251" s="22" t="s">
        <v>0</v>
      </c>
      <c r="AR251" s="27" t="s">
        <v>2258</v>
      </c>
      <c r="AS251" s="27" t="s">
        <v>78</v>
      </c>
      <c r="AT251" s="27"/>
      <c r="AU251" s="27"/>
      <c r="AV251" s="27"/>
      <c r="AW251" s="27"/>
      <c r="AX251" s="27"/>
      <c r="AY251" s="27"/>
    </row>
    <row r="252" customFormat="false" ht="15.75" hidden="false" customHeight="true" outlineLevel="0" collapsed="false">
      <c r="A252" s="22" t="n">
        <v>248</v>
      </c>
      <c r="B252" s="23" t="s">
        <v>2336</v>
      </c>
      <c r="C252" s="22"/>
      <c r="D252" s="22" t="s">
        <v>2337</v>
      </c>
      <c r="E252" s="22" t="s">
        <v>81</v>
      </c>
      <c r="F252" s="22" t="s">
        <v>107</v>
      </c>
      <c r="G252" s="22" t="s">
        <v>59</v>
      </c>
      <c r="H252" s="22" t="s">
        <v>60</v>
      </c>
      <c r="I252" s="22"/>
      <c r="J252" s="22" t="s">
        <v>61</v>
      </c>
      <c r="K252" s="22" t="s">
        <v>2338</v>
      </c>
      <c r="L252" s="22" t="s">
        <v>62</v>
      </c>
      <c r="M252" s="22" t="s">
        <v>365</v>
      </c>
      <c r="N252" s="22" t="s">
        <v>2339</v>
      </c>
      <c r="O252" s="22" t="s">
        <v>2340</v>
      </c>
      <c r="P252" s="22" t="s">
        <v>2341</v>
      </c>
      <c r="Q252" s="22"/>
      <c r="R252" s="22" t="s">
        <v>2342</v>
      </c>
      <c r="S252" s="22" t="s">
        <v>61</v>
      </c>
      <c r="T252" s="22"/>
      <c r="U252" s="22" t="s">
        <v>261</v>
      </c>
      <c r="V252" s="22" t="s">
        <v>70</v>
      </c>
      <c r="W252" s="22" t="s">
        <v>71</v>
      </c>
      <c r="X252" s="25" t="n">
        <v>44228</v>
      </c>
      <c r="Y252" s="25" t="n">
        <v>45992</v>
      </c>
      <c r="Z252" s="22" t="s">
        <v>72</v>
      </c>
      <c r="AA252" s="22" t="s">
        <v>149</v>
      </c>
      <c r="AB252" s="22" t="s">
        <v>74</v>
      </c>
      <c r="AC252" s="22"/>
      <c r="AD252" s="22" t="n">
        <v>0</v>
      </c>
      <c r="AE252" s="22"/>
      <c r="AF252" s="22"/>
      <c r="AG252" s="22" t="s">
        <v>75</v>
      </c>
      <c r="AH252" s="22"/>
      <c r="AI252" s="22" t="n">
        <v>10</v>
      </c>
      <c r="AJ252" s="22" t="n">
        <v>30</v>
      </c>
      <c r="AK252" s="22" t="s">
        <v>61</v>
      </c>
      <c r="AL252" s="26" t="n">
        <v>37347</v>
      </c>
      <c r="AM252" s="26" t="n">
        <v>45007.9998079282</v>
      </c>
      <c r="AN252" s="25" t="n">
        <v>45008.0022453704</v>
      </c>
      <c r="AO252" s="22" t="n">
        <v>5</v>
      </c>
      <c r="AP252" s="22" t="n">
        <v>40</v>
      </c>
      <c r="AQ252" s="22" t="s">
        <v>1</v>
      </c>
      <c r="AR252" s="37" t="s">
        <v>2054</v>
      </c>
      <c r="AS252" s="27" t="s">
        <v>206</v>
      </c>
      <c r="AT252" s="27" t="s">
        <v>564</v>
      </c>
      <c r="AU252" s="27" t="s">
        <v>805</v>
      </c>
      <c r="AV252" s="27"/>
      <c r="AW252" s="27"/>
      <c r="AX252" s="27"/>
      <c r="AY252" s="27"/>
    </row>
    <row r="253" customFormat="false" ht="15.75" hidden="false" customHeight="true" outlineLevel="0" collapsed="false">
      <c r="A253" s="22" t="n">
        <v>249</v>
      </c>
      <c r="B253" s="23" t="s">
        <v>2343</v>
      </c>
      <c r="C253" s="22"/>
      <c r="D253" s="22" t="s">
        <v>2344</v>
      </c>
      <c r="E253" s="22" t="s">
        <v>81</v>
      </c>
      <c r="F253" s="22" t="s">
        <v>107</v>
      </c>
      <c r="G253" s="22" t="s">
        <v>59</v>
      </c>
      <c r="H253" s="22" t="s">
        <v>60</v>
      </c>
      <c r="I253" s="22"/>
      <c r="J253" s="22" t="s">
        <v>61</v>
      </c>
      <c r="K253" s="22" t="s">
        <v>2345</v>
      </c>
      <c r="L253" s="22" t="s">
        <v>62</v>
      </c>
      <c r="M253" s="22" t="s">
        <v>2346</v>
      </c>
      <c r="N253" s="22" t="s">
        <v>2347</v>
      </c>
      <c r="O253" s="22" t="s">
        <v>2348</v>
      </c>
      <c r="P253" s="22" t="s">
        <v>2349</v>
      </c>
      <c r="Q253" s="22"/>
      <c r="R253" s="22" t="s">
        <v>2350</v>
      </c>
      <c r="S253" s="22" t="s">
        <v>61</v>
      </c>
      <c r="T253" s="22"/>
      <c r="U253" s="22" t="s">
        <v>2351</v>
      </c>
      <c r="V253" s="22" t="s">
        <v>70</v>
      </c>
      <c r="W253" s="22" t="s">
        <v>71</v>
      </c>
      <c r="X253" s="25" t="n">
        <v>43862</v>
      </c>
      <c r="Y253" s="25" t="n">
        <v>45627</v>
      </c>
      <c r="Z253" s="22" t="s">
        <v>72</v>
      </c>
      <c r="AA253" s="22" t="s">
        <v>91</v>
      </c>
      <c r="AB253" s="22" t="s">
        <v>74</v>
      </c>
      <c r="AC253" s="22"/>
      <c r="AD253" s="22" t="n">
        <v>0</v>
      </c>
      <c r="AE253" s="22"/>
      <c r="AF253" s="22"/>
      <c r="AG253" s="22" t="s">
        <v>75</v>
      </c>
      <c r="AH253" s="22"/>
      <c r="AI253" s="22" t="n">
        <v>10</v>
      </c>
      <c r="AJ253" s="22" t="n">
        <v>30</v>
      </c>
      <c r="AK253" s="22" t="s">
        <v>61</v>
      </c>
      <c r="AL253" s="26" t="n">
        <v>37349</v>
      </c>
      <c r="AM253" s="26" t="n">
        <v>45005.8208928241</v>
      </c>
      <c r="AN253" s="25" t="n">
        <v>45007.3613773148</v>
      </c>
      <c r="AO253" s="22" t="n">
        <v>7</v>
      </c>
      <c r="AP253" s="22" t="n">
        <v>40</v>
      </c>
      <c r="AQ253" s="22" t="s">
        <v>1</v>
      </c>
      <c r="AR253" s="37" t="s">
        <v>2054</v>
      </c>
      <c r="AS253" s="27" t="s">
        <v>206</v>
      </c>
      <c r="AT253" s="27" t="s">
        <v>564</v>
      </c>
      <c r="AU253" s="27" t="s">
        <v>1031</v>
      </c>
      <c r="AV253" s="27"/>
      <c r="AW253" s="27"/>
      <c r="AX253" s="27"/>
      <c r="AY253" s="27"/>
    </row>
    <row r="254" customFormat="false" ht="15.75" hidden="false" customHeight="true" outlineLevel="0" collapsed="false">
      <c r="A254" s="22" t="n">
        <v>250</v>
      </c>
      <c r="B254" s="23" t="s">
        <v>2352</v>
      </c>
      <c r="C254" s="22" t="s">
        <v>2353</v>
      </c>
      <c r="D254" s="22" t="s">
        <v>2354</v>
      </c>
      <c r="E254" s="22" t="s">
        <v>57</v>
      </c>
      <c r="F254" s="22" t="s">
        <v>107</v>
      </c>
      <c r="G254" s="22" t="s">
        <v>59</v>
      </c>
      <c r="H254" s="22" t="s">
        <v>60</v>
      </c>
      <c r="I254" s="22"/>
      <c r="J254" s="22" t="s">
        <v>61</v>
      </c>
      <c r="K254" s="22" t="s">
        <v>1414</v>
      </c>
      <c r="L254" s="22" t="s">
        <v>62</v>
      </c>
      <c r="M254" s="22" t="s">
        <v>63</v>
      </c>
      <c r="N254" s="22" t="s">
        <v>2355</v>
      </c>
      <c r="O254" s="22" t="s">
        <v>818</v>
      </c>
      <c r="P254" s="22" t="s">
        <v>2356</v>
      </c>
      <c r="Q254" s="22" t="s">
        <v>2357</v>
      </c>
      <c r="R254" s="22" t="s">
        <v>2358</v>
      </c>
      <c r="S254" s="22" t="s">
        <v>61</v>
      </c>
      <c r="T254" s="22"/>
      <c r="U254" s="22" t="s">
        <v>2359</v>
      </c>
      <c r="V254" s="22" t="s">
        <v>70</v>
      </c>
      <c r="W254" s="22" t="s">
        <v>71</v>
      </c>
      <c r="X254" s="25" t="n">
        <v>44197</v>
      </c>
      <c r="Y254" s="25" t="n">
        <v>45992</v>
      </c>
      <c r="Z254" s="22" t="s">
        <v>72</v>
      </c>
      <c r="AA254" s="22" t="s">
        <v>149</v>
      </c>
      <c r="AB254" s="22" t="s">
        <v>74</v>
      </c>
      <c r="AC254" s="22"/>
      <c r="AD254" s="22" t="n">
        <v>0</v>
      </c>
      <c r="AE254" s="22"/>
      <c r="AF254" s="22"/>
      <c r="AG254" s="22" t="s">
        <v>75</v>
      </c>
      <c r="AH254" s="22"/>
      <c r="AI254" s="22" t="n">
        <v>10</v>
      </c>
      <c r="AJ254" s="22" t="n">
        <v>30</v>
      </c>
      <c r="AK254" s="22" t="s">
        <v>61</v>
      </c>
      <c r="AL254" s="26" t="n">
        <v>37360</v>
      </c>
      <c r="AM254" s="26" t="n">
        <v>45002.7328673495</v>
      </c>
      <c r="AN254" s="25" t="n">
        <v>45002.7345833333</v>
      </c>
      <c r="AO254" s="22" t="n">
        <v>5</v>
      </c>
      <c r="AP254" s="22" t="n">
        <v>40</v>
      </c>
      <c r="AQ254" s="22" t="s">
        <v>0</v>
      </c>
      <c r="AR254" s="27" t="s">
        <v>2258</v>
      </c>
      <c r="AS254" s="27" t="s">
        <v>78</v>
      </c>
      <c r="AT254" s="27"/>
      <c r="AU254" s="27"/>
      <c r="AV254" s="27"/>
      <c r="AW254" s="27"/>
      <c r="AX254" s="27"/>
      <c r="AY254" s="27"/>
    </row>
    <row r="255" customFormat="false" ht="15.75" hidden="false" customHeight="true" outlineLevel="0" collapsed="false">
      <c r="A255" s="22" t="n">
        <v>251</v>
      </c>
      <c r="B255" s="23" t="s">
        <v>2360</v>
      </c>
      <c r="C255" s="22" t="s">
        <v>2361</v>
      </c>
      <c r="D255" s="22" t="s">
        <v>2362</v>
      </c>
      <c r="E255" s="22" t="s">
        <v>81</v>
      </c>
      <c r="F255" s="22" t="s">
        <v>107</v>
      </c>
      <c r="G255" s="22" t="s">
        <v>59</v>
      </c>
      <c r="H255" s="22" t="s">
        <v>60</v>
      </c>
      <c r="I255" s="22"/>
      <c r="J255" s="22" t="s">
        <v>61</v>
      </c>
      <c r="K255" s="22" t="s">
        <v>2363</v>
      </c>
      <c r="L255" s="22" t="s">
        <v>62</v>
      </c>
      <c r="M255" s="22" t="s">
        <v>63</v>
      </c>
      <c r="N255" s="22" t="s">
        <v>2364</v>
      </c>
      <c r="O255" s="22" t="s">
        <v>179</v>
      </c>
      <c r="P255" s="22" t="s">
        <v>2365</v>
      </c>
      <c r="Q255" s="22" t="s">
        <v>2366</v>
      </c>
      <c r="R255" s="22" t="s">
        <v>2367</v>
      </c>
      <c r="S255" s="22" t="s">
        <v>61</v>
      </c>
      <c r="T255" s="22"/>
      <c r="U255" s="22" t="s">
        <v>261</v>
      </c>
      <c r="V255" s="22" t="s">
        <v>70</v>
      </c>
      <c r="W255" s="22" t="s">
        <v>71</v>
      </c>
      <c r="X255" s="25" t="n">
        <v>43862</v>
      </c>
      <c r="Y255" s="25" t="n">
        <v>45627</v>
      </c>
      <c r="Z255" s="22" t="s">
        <v>72</v>
      </c>
      <c r="AA255" s="22" t="s">
        <v>149</v>
      </c>
      <c r="AB255" s="22" t="s">
        <v>74</v>
      </c>
      <c r="AC255" s="22"/>
      <c r="AD255" s="22" t="n">
        <v>0</v>
      </c>
      <c r="AE255" s="22"/>
      <c r="AF255" s="22"/>
      <c r="AG255" s="22" t="s">
        <v>75</v>
      </c>
      <c r="AH255" s="22"/>
      <c r="AI255" s="22" t="n">
        <v>10</v>
      </c>
      <c r="AJ255" s="22" t="n">
        <v>30</v>
      </c>
      <c r="AK255" s="22" t="s">
        <v>61</v>
      </c>
      <c r="AL255" s="26" t="n">
        <v>37364</v>
      </c>
      <c r="AM255" s="26" t="n">
        <v>45009.4744207755</v>
      </c>
      <c r="AN255" s="25" t="n">
        <v>45009.4755092593</v>
      </c>
      <c r="AO255" s="22" t="n">
        <v>7</v>
      </c>
      <c r="AP255" s="22" t="n">
        <v>40</v>
      </c>
      <c r="AQ255" s="22" t="s">
        <v>1</v>
      </c>
      <c r="AR255" s="37" t="s">
        <v>2054</v>
      </c>
      <c r="AS255" s="27" t="s">
        <v>2368</v>
      </c>
      <c r="AT255" s="27" t="s">
        <v>564</v>
      </c>
      <c r="AU255" s="27" t="s">
        <v>1031</v>
      </c>
      <c r="AV255" s="27"/>
      <c r="AW255" s="27"/>
      <c r="AX255" s="27"/>
      <c r="AY255" s="27"/>
    </row>
    <row r="256" customFormat="false" ht="15.75" hidden="false" customHeight="true" outlineLevel="0" collapsed="false">
      <c r="A256" s="22" t="n">
        <v>252</v>
      </c>
      <c r="B256" s="23" t="s">
        <v>2369</v>
      </c>
      <c r="C256" s="22" t="s">
        <v>2370</v>
      </c>
      <c r="D256" s="22" t="s">
        <v>2371</v>
      </c>
      <c r="E256" s="22" t="s">
        <v>81</v>
      </c>
      <c r="F256" s="22" t="s">
        <v>107</v>
      </c>
      <c r="G256" s="22" t="s">
        <v>59</v>
      </c>
      <c r="H256" s="22" t="s">
        <v>96</v>
      </c>
      <c r="I256" s="22"/>
      <c r="J256" s="22" t="s">
        <v>61</v>
      </c>
      <c r="K256" s="22" t="s">
        <v>2372</v>
      </c>
      <c r="L256" s="22" t="s">
        <v>62</v>
      </c>
      <c r="M256" s="22" t="s">
        <v>63</v>
      </c>
      <c r="N256" s="22" t="s">
        <v>2373</v>
      </c>
      <c r="O256" s="22" t="s">
        <v>2374</v>
      </c>
      <c r="P256" s="22" t="s">
        <v>2375</v>
      </c>
      <c r="Q256" s="22" t="s">
        <v>2376</v>
      </c>
      <c r="R256" s="22" t="s">
        <v>2377</v>
      </c>
      <c r="S256" s="22" t="s">
        <v>61</v>
      </c>
      <c r="T256" s="22"/>
      <c r="U256" s="22" t="s">
        <v>204</v>
      </c>
      <c r="V256" s="22" t="s">
        <v>70</v>
      </c>
      <c r="W256" s="22" t="s">
        <v>71</v>
      </c>
      <c r="X256" s="25" t="n">
        <v>44197</v>
      </c>
      <c r="Y256" s="25" t="n">
        <v>45992</v>
      </c>
      <c r="Z256" s="22" t="s">
        <v>72</v>
      </c>
      <c r="AA256" s="22" t="s">
        <v>91</v>
      </c>
      <c r="AB256" s="22" t="s">
        <v>74</v>
      </c>
      <c r="AC256" s="22"/>
      <c r="AD256" s="22" t="n">
        <v>0</v>
      </c>
      <c r="AE256" s="22"/>
      <c r="AF256" s="22"/>
      <c r="AG256" s="22" t="s">
        <v>75</v>
      </c>
      <c r="AH256" s="22"/>
      <c r="AI256" s="22" t="n">
        <v>10</v>
      </c>
      <c r="AJ256" s="22" t="n">
        <v>30</v>
      </c>
      <c r="AK256" s="22" t="s">
        <v>76</v>
      </c>
      <c r="AL256" s="26" t="n">
        <v>37370</v>
      </c>
      <c r="AM256" s="26" t="n">
        <v>45001.8793806366</v>
      </c>
      <c r="AN256" s="25" t="n">
        <v>45008.6709953704</v>
      </c>
      <c r="AO256" s="22" t="n">
        <v>5</v>
      </c>
      <c r="AP256" s="22" t="n">
        <v>40</v>
      </c>
      <c r="AQ256" s="22" t="s">
        <v>1</v>
      </c>
      <c r="AR256" s="37" t="s">
        <v>2054</v>
      </c>
      <c r="AS256" s="27" t="s">
        <v>206</v>
      </c>
      <c r="AT256" s="47" t="n">
        <v>45056.4791666667</v>
      </c>
      <c r="AU256" s="27" t="s">
        <v>206</v>
      </c>
      <c r="AV256" s="27"/>
      <c r="AW256" s="27"/>
      <c r="AX256" s="27"/>
      <c r="AY256" s="27"/>
    </row>
    <row r="257" customFormat="false" ht="15.75" hidden="false" customHeight="true" outlineLevel="0" collapsed="false">
      <c r="A257" s="22" t="n">
        <v>253</v>
      </c>
      <c r="B257" s="23" t="s">
        <v>2378</v>
      </c>
      <c r="C257" s="22"/>
      <c r="D257" s="22" t="s">
        <v>2379</v>
      </c>
      <c r="E257" s="22" t="s">
        <v>57</v>
      </c>
      <c r="F257" s="22" t="s">
        <v>107</v>
      </c>
      <c r="G257" s="22" t="s">
        <v>59</v>
      </c>
      <c r="H257" s="22" t="s">
        <v>327</v>
      </c>
      <c r="I257" s="22"/>
      <c r="J257" s="22" t="s">
        <v>61</v>
      </c>
      <c r="K257" s="22" t="s">
        <v>2380</v>
      </c>
      <c r="L257" s="22" t="s">
        <v>62</v>
      </c>
      <c r="M257" s="22" t="s">
        <v>63</v>
      </c>
      <c r="N257" s="22" t="s">
        <v>2381</v>
      </c>
      <c r="O257" s="22" t="s">
        <v>2382</v>
      </c>
      <c r="P257" s="22" t="s">
        <v>2383</v>
      </c>
      <c r="Q257" s="22" t="s">
        <v>2384</v>
      </c>
      <c r="R257" s="22" t="s">
        <v>2385</v>
      </c>
      <c r="S257" s="22" t="s">
        <v>61</v>
      </c>
      <c r="T257" s="22"/>
      <c r="U257" s="22" t="s">
        <v>1284</v>
      </c>
      <c r="V257" s="22" t="s">
        <v>70</v>
      </c>
      <c r="W257" s="22" t="s">
        <v>71</v>
      </c>
      <c r="X257" s="25" t="n">
        <v>44044</v>
      </c>
      <c r="Y257" s="25" t="n">
        <v>45870</v>
      </c>
      <c r="Z257" s="22" t="s">
        <v>72</v>
      </c>
      <c r="AA257" s="22" t="s">
        <v>149</v>
      </c>
      <c r="AB257" s="22" t="s">
        <v>74</v>
      </c>
      <c r="AC257" s="22"/>
      <c r="AD257" s="22" t="n">
        <v>0</v>
      </c>
      <c r="AE257" s="22"/>
      <c r="AF257" s="22"/>
      <c r="AG257" s="22" t="s">
        <v>75</v>
      </c>
      <c r="AH257" s="22"/>
      <c r="AI257" s="22" t="n">
        <v>10</v>
      </c>
      <c r="AJ257" s="22" t="n">
        <v>30</v>
      </c>
      <c r="AK257" s="22" t="s">
        <v>61</v>
      </c>
      <c r="AL257" s="26" t="n">
        <v>37378</v>
      </c>
      <c r="AM257" s="26" t="n">
        <v>45000.8211408912</v>
      </c>
      <c r="AN257" s="25" t="n">
        <v>45000.8246412037</v>
      </c>
      <c r="AO257" s="22" t="n">
        <v>7</v>
      </c>
      <c r="AP257" s="22" t="n">
        <v>40</v>
      </c>
      <c r="AQ257" s="22" t="s">
        <v>1</v>
      </c>
      <c r="AR257" s="37" t="s">
        <v>2054</v>
      </c>
      <c r="AS257" s="27" t="s">
        <v>206</v>
      </c>
      <c r="AT257" s="47" t="n">
        <v>45056.4791666667</v>
      </c>
      <c r="AU257" s="27" t="s">
        <v>206</v>
      </c>
      <c r="AV257" s="27"/>
      <c r="AW257" s="27"/>
      <c r="AX257" s="27"/>
      <c r="AY257" s="27"/>
    </row>
    <row r="258" customFormat="false" ht="15.75" hidden="false" customHeight="true" outlineLevel="0" collapsed="false">
      <c r="A258" s="22" t="n">
        <v>254</v>
      </c>
      <c r="B258" s="23" t="s">
        <v>2386</v>
      </c>
      <c r="C258" s="22"/>
      <c r="D258" s="22" t="s">
        <v>2387</v>
      </c>
      <c r="E258" s="22" t="s">
        <v>81</v>
      </c>
      <c r="F258" s="22" t="s">
        <v>107</v>
      </c>
      <c r="G258" s="22" t="s">
        <v>59</v>
      </c>
      <c r="H258" s="22" t="s">
        <v>60</v>
      </c>
      <c r="I258" s="22"/>
      <c r="J258" s="22" t="s">
        <v>61</v>
      </c>
      <c r="K258" s="22" t="s">
        <v>2388</v>
      </c>
      <c r="L258" s="22" t="s">
        <v>62</v>
      </c>
      <c r="M258" s="22" t="s">
        <v>63</v>
      </c>
      <c r="N258" s="22" t="s">
        <v>2389</v>
      </c>
      <c r="O258" s="22" t="s">
        <v>2390</v>
      </c>
      <c r="P258" s="22" t="s">
        <v>2391</v>
      </c>
      <c r="Q258" s="22" t="s">
        <v>2392</v>
      </c>
      <c r="R258" s="22" t="s">
        <v>2393</v>
      </c>
      <c r="S258" s="22" t="s">
        <v>61</v>
      </c>
      <c r="T258" s="22"/>
      <c r="U258" s="22" t="s">
        <v>2394</v>
      </c>
      <c r="V258" s="22" t="s">
        <v>70</v>
      </c>
      <c r="W258" s="22" t="s">
        <v>71</v>
      </c>
      <c r="X258" s="25" t="n">
        <v>43862</v>
      </c>
      <c r="Y258" s="25" t="n">
        <v>45627</v>
      </c>
      <c r="Z258" s="22" t="s">
        <v>72</v>
      </c>
      <c r="AA258" s="22" t="s">
        <v>149</v>
      </c>
      <c r="AB258" s="22" t="s">
        <v>74</v>
      </c>
      <c r="AC258" s="22"/>
      <c r="AD258" s="22" t="n">
        <v>0</v>
      </c>
      <c r="AE258" s="22"/>
      <c r="AF258" s="22"/>
      <c r="AG258" s="22" t="s">
        <v>75</v>
      </c>
      <c r="AH258" s="22"/>
      <c r="AI258" s="22" t="n">
        <v>10</v>
      </c>
      <c r="AJ258" s="22" t="n">
        <v>30</v>
      </c>
      <c r="AK258" s="22" t="s">
        <v>61</v>
      </c>
      <c r="AL258" s="26" t="n">
        <v>37380</v>
      </c>
      <c r="AM258" s="26" t="n">
        <v>45003.7790081366</v>
      </c>
      <c r="AN258" s="25" t="n">
        <v>45003.787025463</v>
      </c>
      <c r="AO258" s="22" t="n">
        <v>7</v>
      </c>
      <c r="AP258" s="22" t="n">
        <v>40</v>
      </c>
      <c r="AQ258" s="22" t="s">
        <v>1</v>
      </c>
      <c r="AR258" s="27" t="s">
        <v>2258</v>
      </c>
      <c r="AS258" s="27" t="s">
        <v>402</v>
      </c>
      <c r="AT258" s="40" t="n">
        <v>45062.7083333333</v>
      </c>
      <c r="AU258" s="27" t="s">
        <v>220</v>
      </c>
      <c r="AV258" s="27"/>
      <c r="AW258" s="27"/>
      <c r="AX258" s="27"/>
      <c r="AY258" s="27"/>
    </row>
    <row r="259" customFormat="false" ht="15.75" hidden="false" customHeight="true" outlineLevel="0" collapsed="false">
      <c r="A259" s="22" t="n">
        <v>255</v>
      </c>
      <c r="B259" s="23" t="s">
        <v>2395</v>
      </c>
      <c r="C259" s="22"/>
      <c r="D259" s="22" t="s">
        <v>2396</v>
      </c>
      <c r="E259" s="22" t="s">
        <v>81</v>
      </c>
      <c r="F259" s="22" t="s">
        <v>107</v>
      </c>
      <c r="G259" s="22" t="s">
        <v>59</v>
      </c>
      <c r="H259" s="22" t="s">
        <v>96</v>
      </c>
      <c r="I259" s="22"/>
      <c r="J259" s="22" t="s">
        <v>61</v>
      </c>
      <c r="K259" s="22" t="s">
        <v>2397</v>
      </c>
      <c r="L259" s="22" t="s">
        <v>62</v>
      </c>
      <c r="M259" s="22" t="s">
        <v>84</v>
      </c>
      <c r="N259" s="22" t="s">
        <v>2398</v>
      </c>
      <c r="O259" s="22" t="s">
        <v>2399</v>
      </c>
      <c r="P259" s="22" t="s">
        <v>2400</v>
      </c>
      <c r="Q259" s="22" t="s">
        <v>2401</v>
      </c>
      <c r="R259" s="22" t="s">
        <v>2402</v>
      </c>
      <c r="S259" s="22" t="s">
        <v>61</v>
      </c>
      <c r="T259" s="22"/>
      <c r="U259" s="22" t="s">
        <v>479</v>
      </c>
      <c r="V259" s="22" t="s">
        <v>70</v>
      </c>
      <c r="W259" s="22" t="s">
        <v>71</v>
      </c>
      <c r="X259" s="25" t="n">
        <v>44378</v>
      </c>
      <c r="Y259" s="25" t="n">
        <v>46023</v>
      </c>
      <c r="Z259" s="22" t="s">
        <v>72</v>
      </c>
      <c r="AA259" s="22" t="s">
        <v>91</v>
      </c>
      <c r="AB259" s="22" t="s">
        <v>74</v>
      </c>
      <c r="AC259" s="22"/>
      <c r="AD259" s="22" t="n">
        <v>0</v>
      </c>
      <c r="AE259" s="22"/>
      <c r="AF259" s="22"/>
      <c r="AG259" s="22" t="s">
        <v>75</v>
      </c>
      <c r="AH259" s="22"/>
      <c r="AI259" s="22" t="n">
        <v>10</v>
      </c>
      <c r="AJ259" s="22" t="n">
        <v>30</v>
      </c>
      <c r="AK259" s="22" t="s">
        <v>76</v>
      </c>
      <c r="AL259" s="26" t="n">
        <v>37380</v>
      </c>
      <c r="AM259" s="26" t="n">
        <v>45005.6189114699</v>
      </c>
      <c r="AN259" s="25" t="n">
        <v>45009.3589351852</v>
      </c>
      <c r="AO259" s="22" t="n">
        <v>5</v>
      </c>
      <c r="AP259" s="22" t="n">
        <v>40</v>
      </c>
      <c r="AQ259" s="22" t="s">
        <v>1</v>
      </c>
      <c r="AR259" s="27" t="s">
        <v>2258</v>
      </c>
      <c r="AS259" s="27" t="s">
        <v>2403</v>
      </c>
      <c r="AT259" s="48" t="n">
        <v>45056.4791666667</v>
      </c>
      <c r="AU259" s="27" t="s">
        <v>1246</v>
      </c>
      <c r="AV259" s="27"/>
      <c r="AW259" s="27"/>
      <c r="AX259" s="27"/>
      <c r="AY259" s="27"/>
    </row>
    <row r="260" customFormat="false" ht="15.75" hidden="false" customHeight="true" outlineLevel="0" collapsed="false">
      <c r="A260" s="22" t="n">
        <v>256</v>
      </c>
      <c r="B260" s="23" t="s">
        <v>2404</v>
      </c>
      <c r="C260" s="22" t="s">
        <v>2405</v>
      </c>
      <c r="D260" s="22" t="s">
        <v>2406</v>
      </c>
      <c r="E260" s="22" t="s">
        <v>81</v>
      </c>
      <c r="F260" s="22" t="s">
        <v>107</v>
      </c>
      <c r="G260" s="22" t="s">
        <v>59</v>
      </c>
      <c r="H260" s="22" t="s">
        <v>327</v>
      </c>
      <c r="I260" s="22"/>
      <c r="J260" s="22" t="s">
        <v>61</v>
      </c>
      <c r="K260" s="22" t="s">
        <v>703</v>
      </c>
      <c r="L260" s="22" t="s">
        <v>62</v>
      </c>
      <c r="M260" s="22" t="s">
        <v>84</v>
      </c>
      <c r="N260" s="22" t="s">
        <v>2407</v>
      </c>
      <c r="O260" s="22" t="s">
        <v>705</v>
      </c>
      <c r="P260" s="22" t="s">
        <v>2408</v>
      </c>
      <c r="Q260" s="22"/>
      <c r="R260" s="22" t="s">
        <v>2409</v>
      </c>
      <c r="S260" s="22" t="s">
        <v>61</v>
      </c>
      <c r="T260" s="22"/>
      <c r="U260" s="22" t="s">
        <v>261</v>
      </c>
      <c r="V260" s="22" t="s">
        <v>70</v>
      </c>
      <c r="W260" s="22" t="s">
        <v>71</v>
      </c>
      <c r="X260" s="25" t="n">
        <v>43831</v>
      </c>
      <c r="Y260" s="25" t="n">
        <v>45627</v>
      </c>
      <c r="Z260" s="22" t="s">
        <v>72</v>
      </c>
      <c r="AA260" s="22" t="s">
        <v>149</v>
      </c>
      <c r="AB260" s="22" t="s">
        <v>74</v>
      </c>
      <c r="AC260" s="22"/>
      <c r="AD260" s="22" t="n">
        <v>0</v>
      </c>
      <c r="AE260" s="22"/>
      <c r="AF260" s="22"/>
      <c r="AG260" s="22" t="s">
        <v>75</v>
      </c>
      <c r="AH260" s="22"/>
      <c r="AI260" s="22" t="n">
        <v>10</v>
      </c>
      <c r="AJ260" s="22" t="n">
        <v>30</v>
      </c>
      <c r="AK260" s="22" t="s">
        <v>61</v>
      </c>
      <c r="AL260" s="26" t="n">
        <v>37386</v>
      </c>
      <c r="AM260" s="26" t="n">
        <v>45001.3475862269</v>
      </c>
      <c r="AN260" s="25" t="n">
        <v>45005.758900463</v>
      </c>
      <c r="AO260" s="22" t="n">
        <v>7</v>
      </c>
      <c r="AP260" s="22" t="n">
        <v>40</v>
      </c>
      <c r="AQ260" s="22" t="s">
        <v>1</v>
      </c>
      <c r="AR260" s="37" t="s">
        <v>2054</v>
      </c>
      <c r="AS260" s="27" t="s">
        <v>206</v>
      </c>
      <c r="AT260" s="47" t="n">
        <v>45056.4791666667</v>
      </c>
      <c r="AU260" s="27" t="s">
        <v>206</v>
      </c>
      <c r="AV260" s="27"/>
      <c r="AW260" s="27"/>
      <c r="AX260" s="27"/>
      <c r="AY260" s="27"/>
    </row>
    <row r="261" customFormat="false" ht="15.75" hidden="false" customHeight="true" outlineLevel="0" collapsed="false">
      <c r="A261" s="22" t="n">
        <v>257</v>
      </c>
      <c r="B261" s="23" t="s">
        <v>2410</v>
      </c>
      <c r="C261" s="22" t="s">
        <v>2411</v>
      </c>
      <c r="D261" s="22" t="s">
        <v>2412</v>
      </c>
      <c r="E261" s="22" t="s">
        <v>81</v>
      </c>
      <c r="F261" s="22" t="s">
        <v>107</v>
      </c>
      <c r="G261" s="22" t="s">
        <v>59</v>
      </c>
      <c r="H261" s="22" t="s">
        <v>156</v>
      </c>
      <c r="I261" s="22"/>
      <c r="J261" s="22" t="s">
        <v>61</v>
      </c>
      <c r="K261" s="22" t="s">
        <v>2413</v>
      </c>
      <c r="L261" s="22" t="s">
        <v>62</v>
      </c>
      <c r="M261" s="22" t="s">
        <v>84</v>
      </c>
      <c r="N261" s="22" t="s">
        <v>2414</v>
      </c>
      <c r="O261" s="22" t="s">
        <v>539</v>
      </c>
      <c r="P261" s="22" t="s">
        <v>2415</v>
      </c>
      <c r="Q261" s="22" t="s">
        <v>2416</v>
      </c>
      <c r="R261" s="22" t="s">
        <v>2417</v>
      </c>
      <c r="S261" s="22" t="s">
        <v>61</v>
      </c>
      <c r="T261" s="22"/>
      <c r="U261" s="22" t="s">
        <v>780</v>
      </c>
      <c r="V261" s="22" t="s">
        <v>70</v>
      </c>
      <c r="W261" s="22" t="s">
        <v>71</v>
      </c>
      <c r="X261" s="25" t="n">
        <v>43862</v>
      </c>
      <c r="Y261" s="25" t="n">
        <v>45627</v>
      </c>
      <c r="Z261" s="22" t="s">
        <v>72</v>
      </c>
      <c r="AA261" s="22" t="s">
        <v>149</v>
      </c>
      <c r="AB261" s="22" t="s">
        <v>74</v>
      </c>
      <c r="AC261" s="22"/>
      <c r="AD261" s="22" t="n">
        <v>0</v>
      </c>
      <c r="AE261" s="22"/>
      <c r="AF261" s="22"/>
      <c r="AG261" s="22" t="s">
        <v>75</v>
      </c>
      <c r="AH261" s="22"/>
      <c r="AI261" s="22" t="n">
        <v>10</v>
      </c>
      <c r="AJ261" s="22" t="n">
        <v>30</v>
      </c>
      <c r="AK261" s="22" t="s">
        <v>61</v>
      </c>
      <c r="AL261" s="26" t="n">
        <v>37389</v>
      </c>
      <c r="AM261" s="26" t="n">
        <v>45001.8953063773</v>
      </c>
      <c r="AN261" s="25" t="n">
        <v>45001.8974537037</v>
      </c>
      <c r="AO261" s="22" t="n">
        <v>7</v>
      </c>
      <c r="AP261" s="22" t="n">
        <v>40</v>
      </c>
      <c r="AQ261" s="22" t="s">
        <v>0</v>
      </c>
      <c r="AR261" s="37" t="s">
        <v>2054</v>
      </c>
      <c r="AS261" s="27" t="s">
        <v>206</v>
      </c>
      <c r="AT261" s="47" t="n">
        <v>45056.4791666667</v>
      </c>
      <c r="AU261" s="27" t="s">
        <v>78</v>
      </c>
      <c r="AV261" s="27"/>
      <c r="AW261" s="27"/>
      <c r="AX261" s="27"/>
      <c r="AY261" s="27"/>
    </row>
    <row r="262" customFormat="false" ht="15.75" hidden="false" customHeight="true" outlineLevel="0" collapsed="false">
      <c r="A262" s="22" t="n">
        <v>258</v>
      </c>
      <c r="B262" s="23" t="s">
        <v>2418</v>
      </c>
      <c r="C262" s="22" t="s">
        <v>2419</v>
      </c>
      <c r="D262" s="22" t="s">
        <v>2420</v>
      </c>
      <c r="E262" s="22" t="s">
        <v>81</v>
      </c>
      <c r="F262" s="22" t="s">
        <v>107</v>
      </c>
      <c r="G262" s="22" t="s">
        <v>59</v>
      </c>
      <c r="H262" s="22" t="s">
        <v>96</v>
      </c>
      <c r="I262" s="22"/>
      <c r="J262" s="22" t="s">
        <v>61</v>
      </c>
      <c r="K262" s="22" t="s">
        <v>2421</v>
      </c>
      <c r="L262" s="22" t="s">
        <v>62</v>
      </c>
      <c r="M262" s="22" t="s">
        <v>84</v>
      </c>
      <c r="N262" s="22" t="s">
        <v>2422</v>
      </c>
      <c r="O262" s="22" t="s">
        <v>2423</v>
      </c>
      <c r="P262" s="22" t="s">
        <v>2424</v>
      </c>
      <c r="Q262" s="22"/>
      <c r="R262" s="22" t="s">
        <v>2425</v>
      </c>
      <c r="S262" s="22" t="s">
        <v>61</v>
      </c>
      <c r="T262" s="22"/>
      <c r="U262" s="22" t="s">
        <v>1752</v>
      </c>
      <c r="V262" s="22" t="s">
        <v>70</v>
      </c>
      <c r="W262" s="22" t="s">
        <v>71</v>
      </c>
      <c r="X262" s="25" t="n">
        <v>44228</v>
      </c>
      <c r="Y262" s="25" t="n">
        <v>45809</v>
      </c>
      <c r="Z262" s="22" t="s">
        <v>72</v>
      </c>
      <c r="AA262" s="22" t="s">
        <v>91</v>
      </c>
      <c r="AB262" s="22" t="s">
        <v>74</v>
      </c>
      <c r="AC262" s="22"/>
      <c r="AD262" s="22" t="n">
        <v>0</v>
      </c>
      <c r="AE262" s="22"/>
      <c r="AF262" s="22"/>
      <c r="AG262" s="22" t="s">
        <v>75</v>
      </c>
      <c r="AH262" s="22"/>
      <c r="AI262" s="22" t="n">
        <v>10</v>
      </c>
      <c r="AJ262" s="22" t="n">
        <v>30</v>
      </c>
      <c r="AK262" s="22" t="s">
        <v>76</v>
      </c>
      <c r="AL262" s="26" t="n">
        <v>37391</v>
      </c>
      <c r="AM262" s="26" t="n">
        <v>45006.4669197222</v>
      </c>
      <c r="AN262" s="25" t="n">
        <v>45006.4678009259</v>
      </c>
      <c r="AO262" s="22" t="n">
        <v>5</v>
      </c>
      <c r="AP262" s="22" t="n">
        <v>40</v>
      </c>
      <c r="AQ262" s="22" t="s">
        <v>1</v>
      </c>
      <c r="AR262" s="37" t="s">
        <v>2054</v>
      </c>
      <c r="AS262" s="27" t="s">
        <v>206</v>
      </c>
      <c r="AT262" s="47" t="n">
        <v>45056.4791666667</v>
      </c>
      <c r="AU262" s="27" t="s">
        <v>206</v>
      </c>
      <c r="AV262" s="27"/>
      <c r="AW262" s="27"/>
      <c r="AX262" s="27"/>
      <c r="AY262" s="27"/>
    </row>
    <row r="263" customFormat="false" ht="15.75" hidden="false" customHeight="true" outlineLevel="0" collapsed="false">
      <c r="A263" s="22" t="n">
        <v>259</v>
      </c>
      <c r="B263" s="23" t="s">
        <v>2426</v>
      </c>
      <c r="C263" s="22"/>
      <c r="D263" s="22" t="s">
        <v>2427</v>
      </c>
      <c r="E263" s="22" t="s">
        <v>81</v>
      </c>
      <c r="F263" s="22" t="s">
        <v>107</v>
      </c>
      <c r="G263" s="22" t="s">
        <v>59</v>
      </c>
      <c r="H263" s="22" t="s">
        <v>96</v>
      </c>
      <c r="I263" s="22"/>
      <c r="J263" s="22" t="s">
        <v>61</v>
      </c>
      <c r="K263" s="22" t="s">
        <v>2428</v>
      </c>
      <c r="L263" s="22" t="s">
        <v>62</v>
      </c>
      <c r="M263" s="22" t="s">
        <v>2429</v>
      </c>
      <c r="N263" s="22" t="s">
        <v>2430</v>
      </c>
      <c r="O263" s="22" t="s">
        <v>2431</v>
      </c>
      <c r="P263" s="22" t="s">
        <v>2432</v>
      </c>
      <c r="Q263" s="22" t="s">
        <v>2433</v>
      </c>
      <c r="R263" s="22" t="s">
        <v>2434</v>
      </c>
      <c r="S263" s="22" t="s">
        <v>61</v>
      </c>
      <c r="T263" s="22"/>
      <c r="U263" s="22" t="s">
        <v>2435</v>
      </c>
      <c r="V263" s="22" t="s">
        <v>70</v>
      </c>
      <c r="W263" s="22" t="s">
        <v>71</v>
      </c>
      <c r="X263" s="25" t="n">
        <v>43862</v>
      </c>
      <c r="Y263" s="25" t="n">
        <v>45809</v>
      </c>
      <c r="Z263" s="22" t="s">
        <v>72</v>
      </c>
      <c r="AA263" s="22" t="s">
        <v>91</v>
      </c>
      <c r="AB263" s="22" t="s">
        <v>74</v>
      </c>
      <c r="AC263" s="22"/>
      <c r="AD263" s="22" t="n">
        <v>0</v>
      </c>
      <c r="AE263" s="22"/>
      <c r="AF263" s="22"/>
      <c r="AG263" s="22" t="s">
        <v>75</v>
      </c>
      <c r="AH263" s="22"/>
      <c r="AI263" s="22" t="n">
        <v>10</v>
      </c>
      <c r="AJ263" s="22" t="n">
        <v>30</v>
      </c>
      <c r="AK263" s="22" t="s">
        <v>76</v>
      </c>
      <c r="AL263" s="26" t="n">
        <v>37398</v>
      </c>
      <c r="AM263" s="26" t="n">
        <v>45004.8697578009</v>
      </c>
      <c r="AN263" s="25" t="n">
        <v>45008.8404050926</v>
      </c>
      <c r="AO263" s="22" t="n">
        <v>7</v>
      </c>
      <c r="AP263" s="22" t="n">
        <v>40</v>
      </c>
      <c r="AQ263" s="22" t="s">
        <v>1</v>
      </c>
      <c r="AR263" s="27" t="s">
        <v>2258</v>
      </c>
      <c r="AS263" s="27" t="s">
        <v>2436</v>
      </c>
      <c r="AT263" s="27"/>
      <c r="AU263" s="27"/>
      <c r="AV263" s="27"/>
      <c r="AW263" s="27"/>
      <c r="AX263" s="27"/>
      <c r="AY263" s="27"/>
    </row>
    <row r="264" customFormat="false" ht="15.75" hidden="false" customHeight="true" outlineLevel="0" collapsed="false">
      <c r="A264" s="22" t="n">
        <v>260</v>
      </c>
      <c r="B264" s="23" t="s">
        <v>2437</v>
      </c>
      <c r="C264" s="22" t="s">
        <v>2438</v>
      </c>
      <c r="D264" s="22" t="s">
        <v>2439</v>
      </c>
      <c r="E264" s="22" t="s">
        <v>57</v>
      </c>
      <c r="F264" s="22" t="s">
        <v>107</v>
      </c>
      <c r="G264" s="22" t="s">
        <v>59</v>
      </c>
      <c r="H264" s="22" t="s">
        <v>60</v>
      </c>
      <c r="I264" s="22"/>
      <c r="J264" s="22" t="s">
        <v>61</v>
      </c>
      <c r="K264" s="22" t="s">
        <v>2440</v>
      </c>
      <c r="L264" s="22" t="s">
        <v>62</v>
      </c>
      <c r="M264" s="22" t="s">
        <v>63</v>
      </c>
      <c r="N264" s="22" t="s">
        <v>2441</v>
      </c>
      <c r="O264" s="22" t="s">
        <v>1518</v>
      </c>
      <c r="P264" s="22" t="s">
        <v>2442</v>
      </c>
      <c r="Q264" s="22"/>
      <c r="R264" s="22" t="s">
        <v>2443</v>
      </c>
      <c r="S264" s="22" t="s">
        <v>61</v>
      </c>
      <c r="T264" s="22"/>
      <c r="U264" s="22" t="s">
        <v>261</v>
      </c>
      <c r="V264" s="22" t="s">
        <v>70</v>
      </c>
      <c r="W264" s="22" t="s">
        <v>71</v>
      </c>
      <c r="X264" s="25" t="n">
        <v>43862</v>
      </c>
      <c r="Y264" s="25" t="n">
        <v>45627</v>
      </c>
      <c r="Z264" s="22" t="s">
        <v>72</v>
      </c>
      <c r="AA264" s="22" t="s">
        <v>149</v>
      </c>
      <c r="AB264" s="22" t="s">
        <v>74</v>
      </c>
      <c r="AC264" s="22"/>
      <c r="AD264" s="22" t="n">
        <v>0</v>
      </c>
      <c r="AE264" s="22"/>
      <c r="AF264" s="22"/>
      <c r="AG264" s="22" t="s">
        <v>75</v>
      </c>
      <c r="AH264" s="22"/>
      <c r="AI264" s="22" t="n">
        <v>10</v>
      </c>
      <c r="AJ264" s="22" t="n">
        <v>30</v>
      </c>
      <c r="AK264" s="22" t="s">
        <v>76</v>
      </c>
      <c r="AL264" s="26" t="n">
        <v>37399</v>
      </c>
      <c r="AM264" s="26" t="n">
        <v>45009.4227638542</v>
      </c>
      <c r="AN264" s="25" t="n">
        <v>45009.4255555556</v>
      </c>
      <c r="AO264" s="22" t="n">
        <v>7</v>
      </c>
      <c r="AP264" s="22" t="n">
        <v>40</v>
      </c>
      <c r="AQ264" s="22" t="s">
        <v>1</v>
      </c>
      <c r="AR264" s="27" t="s">
        <v>2258</v>
      </c>
      <c r="AS264" s="27" t="s">
        <v>402</v>
      </c>
      <c r="AT264" s="27" t="s">
        <v>2444</v>
      </c>
      <c r="AU264" s="27" t="s">
        <v>1031</v>
      </c>
      <c r="AV264" s="27"/>
      <c r="AW264" s="27"/>
      <c r="AX264" s="27"/>
      <c r="AY264" s="27"/>
    </row>
    <row r="265" customFormat="false" ht="15.75" hidden="false" customHeight="true" outlineLevel="0" collapsed="false">
      <c r="A265" s="22" t="n">
        <v>261</v>
      </c>
      <c r="B265" s="23" t="s">
        <v>2445</v>
      </c>
      <c r="C265" s="22"/>
      <c r="D265" s="22" t="s">
        <v>2446</v>
      </c>
      <c r="E265" s="22" t="s">
        <v>81</v>
      </c>
      <c r="F265" s="22" t="s">
        <v>107</v>
      </c>
      <c r="G265" s="22" t="s">
        <v>59</v>
      </c>
      <c r="H265" s="22" t="s">
        <v>96</v>
      </c>
      <c r="I265" s="22"/>
      <c r="J265" s="22" t="s">
        <v>61</v>
      </c>
      <c r="K265" s="22" t="s">
        <v>2447</v>
      </c>
      <c r="L265" s="22" t="s">
        <v>62</v>
      </c>
      <c r="M265" s="22" t="s">
        <v>63</v>
      </c>
      <c r="N265" s="22" t="s">
        <v>2448</v>
      </c>
      <c r="O265" s="22" t="s">
        <v>288</v>
      </c>
      <c r="P265" s="22" t="s">
        <v>2449</v>
      </c>
      <c r="Q265" s="22"/>
      <c r="R265" s="22" t="s">
        <v>2450</v>
      </c>
      <c r="S265" s="22" t="s">
        <v>61</v>
      </c>
      <c r="T265" s="22"/>
      <c r="U265" s="22" t="s">
        <v>2451</v>
      </c>
      <c r="V265" s="22" t="s">
        <v>70</v>
      </c>
      <c r="W265" s="22" t="s">
        <v>71</v>
      </c>
      <c r="X265" s="25" t="n">
        <v>44228</v>
      </c>
      <c r="Y265" s="25" t="n">
        <v>45992</v>
      </c>
      <c r="Z265" s="22" t="s">
        <v>72</v>
      </c>
      <c r="AA265" s="22" t="s">
        <v>91</v>
      </c>
      <c r="AB265" s="22" t="s">
        <v>74</v>
      </c>
      <c r="AC265" s="22"/>
      <c r="AD265" s="22" t="n">
        <v>0</v>
      </c>
      <c r="AE265" s="22"/>
      <c r="AF265" s="22"/>
      <c r="AG265" s="22" t="s">
        <v>75</v>
      </c>
      <c r="AH265" s="22"/>
      <c r="AI265" s="22" t="n">
        <v>10</v>
      </c>
      <c r="AJ265" s="22" t="n">
        <v>30</v>
      </c>
      <c r="AK265" s="22" t="s">
        <v>76</v>
      </c>
      <c r="AL265" s="26" t="n">
        <v>37403</v>
      </c>
      <c r="AM265" s="26" t="n">
        <v>45002.8964778819</v>
      </c>
      <c r="AN265" s="25" t="n">
        <v>45002.898900463</v>
      </c>
      <c r="AO265" s="22" t="n">
        <v>5</v>
      </c>
      <c r="AP265" s="22" t="n">
        <v>40</v>
      </c>
      <c r="AQ265" s="22" t="s">
        <v>0</v>
      </c>
      <c r="AR265" s="37" t="s">
        <v>2054</v>
      </c>
      <c r="AS265" s="27" t="s">
        <v>206</v>
      </c>
      <c r="AT265" s="47" t="n">
        <v>45056.4791666667</v>
      </c>
      <c r="AU265" s="27" t="s">
        <v>78</v>
      </c>
      <c r="AV265" s="27"/>
      <c r="AW265" s="27"/>
      <c r="AX265" s="27"/>
      <c r="AY265" s="27"/>
    </row>
    <row r="266" customFormat="false" ht="15.75" hidden="false" customHeight="true" outlineLevel="0" collapsed="false">
      <c r="A266" s="22" t="n">
        <v>262</v>
      </c>
      <c r="B266" s="23" t="s">
        <v>2452</v>
      </c>
      <c r="C266" s="22"/>
      <c r="D266" s="22" t="s">
        <v>2453</v>
      </c>
      <c r="E266" s="22" t="s">
        <v>81</v>
      </c>
      <c r="F266" s="22" t="s">
        <v>107</v>
      </c>
      <c r="G266" s="22" t="s">
        <v>59</v>
      </c>
      <c r="H266" s="22" t="s">
        <v>156</v>
      </c>
      <c r="I266" s="22"/>
      <c r="J266" s="22" t="s">
        <v>61</v>
      </c>
      <c r="K266" s="22" t="s">
        <v>2454</v>
      </c>
      <c r="L266" s="22" t="s">
        <v>62</v>
      </c>
      <c r="M266" s="22" t="s">
        <v>84</v>
      </c>
      <c r="N266" s="22" t="s">
        <v>2455</v>
      </c>
      <c r="O266" s="22" t="s">
        <v>2146</v>
      </c>
      <c r="P266" s="22" t="s">
        <v>2456</v>
      </c>
      <c r="Q266" s="22"/>
      <c r="R266" s="22" t="s">
        <v>2457</v>
      </c>
      <c r="S266" s="22" t="s">
        <v>61</v>
      </c>
      <c r="T266" s="22"/>
      <c r="U266" s="22" t="s">
        <v>1284</v>
      </c>
      <c r="V266" s="22" t="s">
        <v>70</v>
      </c>
      <c r="W266" s="22" t="s">
        <v>71</v>
      </c>
      <c r="X266" s="25" t="n">
        <v>44197</v>
      </c>
      <c r="Y266" s="25" t="n">
        <v>45962</v>
      </c>
      <c r="Z266" s="22" t="s">
        <v>72</v>
      </c>
      <c r="AA266" s="22" t="s">
        <v>149</v>
      </c>
      <c r="AB266" s="22" t="s">
        <v>74</v>
      </c>
      <c r="AC266" s="22"/>
      <c r="AD266" s="22" t="n">
        <v>0</v>
      </c>
      <c r="AE266" s="22"/>
      <c r="AF266" s="22"/>
      <c r="AG266" s="22" t="s">
        <v>75</v>
      </c>
      <c r="AH266" s="22"/>
      <c r="AI266" s="22" t="n">
        <v>10</v>
      </c>
      <c r="AJ266" s="22" t="n">
        <v>30</v>
      </c>
      <c r="AK266" s="22" t="s">
        <v>61</v>
      </c>
      <c r="AL266" s="26" t="n">
        <v>37408</v>
      </c>
      <c r="AM266" s="26" t="n">
        <v>45007.9132917824</v>
      </c>
      <c r="AN266" s="25" t="n">
        <v>45007.9227199074</v>
      </c>
      <c r="AO266" s="22" t="n">
        <v>5</v>
      </c>
      <c r="AP266" s="22" t="n">
        <v>40</v>
      </c>
      <c r="AQ266" s="22" t="s">
        <v>1</v>
      </c>
      <c r="AR266" s="37" t="s">
        <v>2054</v>
      </c>
      <c r="AS266" s="27" t="s">
        <v>206</v>
      </c>
      <c r="AT266" s="47" t="n">
        <v>45056.4791666667</v>
      </c>
      <c r="AU266" s="27" t="s">
        <v>206</v>
      </c>
      <c r="AV266" s="27"/>
      <c r="AW266" s="27"/>
      <c r="AX266" s="27"/>
      <c r="AY266" s="27"/>
    </row>
    <row r="267" customFormat="false" ht="15.75" hidden="false" customHeight="true" outlineLevel="0" collapsed="false">
      <c r="A267" s="22" t="n">
        <v>263</v>
      </c>
      <c r="B267" s="23" t="s">
        <v>2458</v>
      </c>
      <c r="C267" s="22"/>
      <c r="D267" s="22" t="s">
        <v>2459</v>
      </c>
      <c r="E267" s="22" t="s">
        <v>81</v>
      </c>
      <c r="F267" s="22" t="s">
        <v>107</v>
      </c>
      <c r="G267" s="22" t="s">
        <v>59</v>
      </c>
      <c r="H267" s="22" t="s">
        <v>60</v>
      </c>
      <c r="I267" s="22"/>
      <c r="J267" s="22" t="s">
        <v>61</v>
      </c>
      <c r="K267" s="22" t="s">
        <v>2460</v>
      </c>
      <c r="L267" s="22" t="s">
        <v>62</v>
      </c>
      <c r="M267" s="22" t="s">
        <v>63</v>
      </c>
      <c r="N267" s="22" t="s">
        <v>2461</v>
      </c>
      <c r="O267" s="22" t="s">
        <v>2462</v>
      </c>
      <c r="P267" s="22" t="s">
        <v>2463</v>
      </c>
      <c r="Q267" s="22" t="s">
        <v>2464</v>
      </c>
      <c r="R267" s="22" t="s">
        <v>2465</v>
      </c>
      <c r="S267" s="22" t="s">
        <v>61</v>
      </c>
      <c r="T267" s="22"/>
      <c r="U267" s="22" t="s">
        <v>217</v>
      </c>
      <c r="V267" s="22" t="s">
        <v>70</v>
      </c>
      <c r="W267" s="22" t="s">
        <v>71</v>
      </c>
      <c r="X267" s="25" t="n">
        <v>43831</v>
      </c>
      <c r="Y267" s="25" t="n">
        <v>45658</v>
      </c>
      <c r="Z267" s="22" t="s">
        <v>72</v>
      </c>
      <c r="AA267" s="22" t="s">
        <v>149</v>
      </c>
      <c r="AB267" s="22" t="s">
        <v>74</v>
      </c>
      <c r="AC267" s="22"/>
      <c r="AD267" s="22" t="n">
        <v>0</v>
      </c>
      <c r="AE267" s="22"/>
      <c r="AF267" s="22"/>
      <c r="AG267" s="22" t="s">
        <v>75</v>
      </c>
      <c r="AH267" s="22"/>
      <c r="AI267" s="22" t="n">
        <v>10</v>
      </c>
      <c r="AJ267" s="22" t="n">
        <v>30</v>
      </c>
      <c r="AK267" s="22" t="s">
        <v>61</v>
      </c>
      <c r="AL267" s="26" t="n">
        <v>37412</v>
      </c>
      <c r="AM267" s="26" t="n">
        <v>45002.3782736343</v>
      </c>
      <c r="AN267" s="25" t="n">
        <v>45005.8662037037</v>
      </c>
      <c r="AO267" s="22" t="n">
        <v>7</v>
      </c>
      <c r="AP267" s="22" t="n">
        <v>40</v>
      </c>
      <c r="AQ267" s="22" t="s">
        <v>0</v>
      </c>
      <c r="AR267" s="27" t="s">
        <v>2258</v>
      </c>
      <c r="AS267" s="27" t="s">
        <v>220</v>
      </c>
      <c r="AT267" s="27"/>
      <c r="AU267" s="27"/>
      <c r="AV267" s="27"/>
      <c r="AW267" s="27"/>
      <c r="AX267" s="27"/>
      <c r="AY267" s="27"/>
    </row>
    <row r="268" customFormat="false" ht="15.75" hidden="false" customHeight="true" outlineLevel="0" collapsed="false">
      <c r="A268" s="22" t="n">
        <v>264</v>
      </c>
      <c r="B268" s="23" t="s">
        <v>2466</v>
      </c>
      <c r="C268" s="22" t="s">
        <v>2467</v>
      </c>
      <c r="D268" s="22" t="s">
        <v>2468</v>
      </c>
      <c r="E268" s="22" t="s">
        <v>81</v>
      </c>
      <c r="F268" s="22" t="s">
        <v>107</v>
      </c>
      <c r="G268" s="22" t="s">
        <v>59</v>
      </c>
      <c r="H268" s="22" t="s">
        <v>60</v>
      </c>
      <c r="I268" s="22"/>
      <c r="J268" s="22" t="s">
        <v>61</v>
      </c>
      <c r="K268" s="22" t="s">
        <v>2469</v>
      </c>
      <c r="L268" s="22" t="s">
        <v>62</v>
      </c>
      <c r="M268" s="22" t="s">
        <v>2470</v>
      </c>
      <c r="N268" s="22" t="s">
        <v>2471</v>
      </c>
      <c r="O268" s="22" t="s">
        <v>2472</v>
      </c>
      <c r="P268" s="22" t="s">
        <v>2473</v>
      </c>
      <c r="Q268" s="22" t="s">
        <v>2474</v>
      </c>
      <c r="R268" s="22" t="s">
        <v>2475</v>
      </c>
      <c r="S268" s="22" t="s">
        <v>61</v>
      </c>
      <c r="T268" s="22"/>
      <c r="U268" s="22" t="s">
        <v>2476</v>
      </c>
      <c r="V268" s="22" t="s">
        <v>70</v>
      </c>
      <c r="W268" s="22" t="s">
        <v>71</v>
      </c>
      <c r="X268" s="25" t="n">
        <v>44228</v>
      </c>
      <c r="Y268" s="25" t="n">
        <v>45992</v>
      </c>
      <c r="Z268" s="22" t="s">
        <v>72</v>
      </c>
      <c r="AA268" s="22" t="s">
        <v>91</v>
      </c>
      <c r="AB268" s="22" t="s">
        <v>74</v>
      </c>
      <c r="AC268" s="22"/>
      <c r="AD268" s="22" t="n">
        <v>0</v>
      </c>
      <c r="AE268" s="22"/>
      <c r="AF268" s="22"/>
      <c r="AG268" s="22" t="s">
        <v>75</v>
      </c>
      <c r="AH268" s="22"/>
      <c r="AI268" s="22" t="n">
        <v>10</v>
      </c>
      <c r="AJ268" s="22" t="n">
        <v>30</v>
      </c>
      <c r="AK268" s="22" t="s">
        <v>61</v>
      </c>
      <c r="AL268" s="26" t="n">
        <v>37412</v>
      </c>
      <c r="AM268" s="26" t="n">
        <v>45002.5743365162</v>
      </c>
      <c r="AN268" s="25" t="n">
        <v>45002.5756018519</v>
      </c>
      <c r="AO268" s="22" t="n">
        <v>5</v>
      </c>
      <c r="AP268" s="22" t="n">
        <v>40</v>
      </c>
      <c r="AQ268" s="22" t="s">
        <v>1</v>
      </c>
      <c r="AR268" s="37" t="s">
        <v>2054</v>
      </c>
      <c r="AS268" s="27" t="s">
        <v>206</v>
      </c>
      <c r="AT268" s="47" t="n">
        <v>45056.4791666667</v>
      </c>
      <c r="AU268" s="27" t="s">
        <v>206</v>
      </c>
      <c r="AV268" s="27"/>
      <c r="AW268" s="27"/>
      <c r="AX268" s="27"/>
      <c r="AY268" s="27"/>
    </row>
    <row r="269" customFormat="false" ht="15.75" hidden="false" customHeight="true" outlineLevel="0" collapsed="false">
      <c r="A269" s="22" t="n">
        <v>265</v>
      </c>
      <c r="B269" s="23" t="s">
        <v>2477</v>
      </c>
      <c r="C269" s="22"/>
      <c r="D269" s="22" t="s">
        <v>2478</v>
      </c>
      <c r="E269" s="22" t="s">
        <v>81</v>
      </c>
      <c r="F269" s="22" t="s">
        <v>107</v>
      </c>
      <c r="G269" s="22" t="s">
        <v>59</v>
      </c>
      <c r="H269" s="22" t="s">
        <v>96</v>
      </c>
      <c r="I269" s="22"/>
      <c r="J269" s="22" t="s">
        <v>61</v>
      </c>
      <c r="K269" s="22" t="s">
        <v>2479</v>
      </c>
      <c r="L269" s="22" t="s">
        <v>62</v>
      </c>
      <c r="M269" s="22" t="s">
        <v>63</v>
      </c>
      <c r="N269" s="22" t="s">
        <v>2480</v>
      </c>
      <c r="O269" s="22" t="s">
        <v>2481</v>
      </c>
      <c r="P269" s="22" t="s">
        <v>2482</v>
      </c>
      <c r="Q269" s="22" t="s">
        <v>2483</v>
      </c>
      <c r="R269" s="22" t="s">
        <v>2484</v>
      </c>
      <c r="S269" s="22" t="s">
        <v>61</v>
      </c>
      <c r="T269" s="22"/>
      <c r="U269" s="22" t="s">
        <v>241</v>
      </c>
      <c r="V269" s="22" t="s">
        <v>70</v>
      </c>
      <c r="W269" s="22" t="s">
        <v>71</v>
      </c>
      <c r="X269" s="25" t="n">
        <v>44197</v>
      </c>
      <c r="Y269" s="25" t="n">
        <v>45992</v>
      </c>
      <c r="Z269" s="22" t="s">
        <v>72</v>
      </c>
      <c r="AA269" s="22" t="s">
        <v>91</v>
      </c>
      <c r="AB269" s="22" t="s">
        <v>74</v>
      </c>
      <c r="AC269" s="22"/>
      <c r="AD269" s="22" t="n">
        <v>0</v>
      </c>
      <c r="AE269" s="22"/>
      <c r="AF269" s="22"/>
      <c r="AG269" s="22" t="s">
        <v>75</v>
      </c>
      <c r="AH269" s="22"/>
      <c r="AI269" s="22" t="n">
        <v>10</v>
      </c>
      <c r="AJ269" s="22" t="n">
        <v>30</v>
      </c>
      <c r="AK269" s="22" t="s">
        <v>61</v>
      </c>
      <c r="AL269" s="26" t="n">
        <v>37414</v>
      </c>
      <c r="AM269" s="26" t="n">
        <v>45008.3832081134</v>
      </c>
      <c r="AN269" s="25" t="n">
        <v>45009.0255787037</v>
      </c>
      <c r="AO269" s="22" t="n">
        <v>5</v>
      </c>
      <c r="AP269" s="22" t="n">
        <v>40</v>
      </c>
      <c r="AQ269" s="22" t="s">
        <v>0</v>
      </c>
      <c r="AR269" s="27" t="s">
        <v>2258</v>
      </c>
      <c r="AS269" s="27" t="s">
        <v>220</v>
      </c>
      <c r="AT269" s="27"/>
      <c r="AU269" s="27"/>
      <c r="AV269" s="27"/>
      <c r="AW269" s="27"/>
      <c r="AX269" s="27"/>
      <c r="AY269" s="27"/>
    </row>
    <row r="270" customFormat="false" ht="15.75" hidden="false" customHeight="true" outlineLevel="0" collapsed="false">
      <c r="A270" s="22" t="n">
        <v>266</v>
      </c>
      <c r="B270" s="23" t="s">
        <v>2485</v>
      </c>
      <c r="C270" s="22" t="s">
        <v>2486</v>
      </c>
      <c r="D270" s="22" t="s">
        <v>2487</v>
      </c>
      <c r="E270" s="22" t="s">
        <v>57</v>
      </c>
      <c r="F270" s="22" t="s">
        <v>107</v>
      </c>
      <c r="G270" s="22" t="s">
        <v>59</v>
      </c>
      <c r="H270" s="22" t="s">
        <v>60</v>
      </c>
      <c r="I270" s="22"/>
      <c r="J270" s="22" t="s">
        <v>61</v>
      </c>
      <c r="K270" s="22" t="s">
        <v>2488</v>
      </c>
      <c r="L270" s="22" t="s">
        <v>62</v>
      </c>
      <c r="M270" s="22" t="s">
        <v>84</v>
      </c>
      <c r="N270" s="22" t="s">
        <v>2489</v>
      </c>
      <c r="O270" s="22" t="s">
        <v>2490</v>
      </c>
      <c r="P270" s="22" t="s">
        <v>2491</v>
      </c>
      <c r="Q270" s="22" t="s">
        <v>2492</v>
      </c>
      <c r="R270" s="22" t="s">
        <v>2493</v>
      </c>
      <c r="S270" s="22" t="s">
        <v>61</v>
      </c>
      <c r="T270" s="22"/>
      <c r="U270" s="22" t="s">
        <v>2494</v>
      </c>
      <c r="V270" s="22" t="s">
        <v>70</v>
      </c>
      <c r="W270" s="22" t="s">
        <v>71</v>
      </c>
      <c r="X270" s="25" t="n">
        <v>44378</v>
      </c>
      <c r="Y270" s="25" t="n">
        <v>46174</v>
      </c>
      <c r="Z270" s="22" t="s">
        <v>72</v>
      </c>
      <c r="AA270" s="22" t="s">
        <v>149</v>
      </c>
      <c r="AB270" s="22" t="s">
        <v>74</v>
      </c>
      <c r="AC270" s="22"/>
      <c r="AD270" s="22" t="n">
        <v>0</v>
      </c>
      <c r="AE270" s="22"/>
      <c r="AF270" s="22"/>
      <c r="AG270" s="22" t="s">
        <v>75</v>
      </c>
      <c r="AH270" s="22"/>
      <c r="AI270" s="22" t="n">
        <v>10</v>
      </c>
      <c r="AJ270" s="22" t="n">
        <v>30</v>
      </c>
      <c r="AK270" s="22" t="s">
        <v>76</v>
      </c>
      <c r="AL270" s="26" t="n">
        <v>37419</v>
      </c>
      <c r="AM270" s="26" t="n">
        <v>45008.5439326042</v>
      </c>
      <c r="AN270" s="25" t="n">
        <v>45008.5619097222</v>
      </c>
      <c r="AO270" s="22" t="n">
        <v>5</v>
      </c>
      <c r="AP270" s="22" t="n">
        <v>40</v>
      </c>
      <c r="AQ270" s="22" t="s">
        <v>1</v>
      </c>
      <c r="AR270" s="37" t="s">
        <v>2054</v>
      </c>
      <c r="AS270" s="27" t="s">
        <v>206</v>
      </c>
      <c r="AT270" s="47" t="n">
        <v>45056.4791666667</v>
      </c>
      <c r="AU270" s="27" t="s">
        <v>206</v>
      </c>
      <c r="AV270" s="27"/>
      <c r="AW270" s="27"/>
      <c r="AX270" s="27"/>
      <c r="AY270" s="27"/>
    </row>
    <row r="271" customFormat="false" ht="15.75" hidden="false" customHeight="true" outlineLevel="0" collapsed="false">
      <c r="A271" s="22" t="n">
        <v>267</v>
      </c>
      <c r="B271" s="23" t="s">
        <v>2495</v>
      </c>
      <c r="C271" s="22"/>
      <c r="D271" s="22" t="s">
        <v>2496</v>
      </c>
      <c r="E271" s="22" t="s">
        <v>81</v>
      </c>
      <c r="F271" s="22" t="s">
        <v>107</v>
      </c>
      <c r="G271" s="22" t="s">
        <v>59</v>
      </c>
      <c r="H271" s="22" t="s">
        <v>156</v>
      </c>
      <c r="I271" s="22"/>
      <c r="J271" s="22" t="s">
        <v>61</v>
      </c>
      <c r="K271" s="22" t="s">
        <v>2497</v>
      </c>
      <c r="L271" s="22" t="s">
        <v>62</v>
      </c>
      <c r="M271" s="22" t="s">
        <v>63</v>
      </c>
      <c r="N271" s="22" t="s">
        <v>2498</v>
      </c>
      <c r="O271" s="22" t="s">
        <v>2499</v>
      </c>
      <c r="P271" s="22" t="s">
        <v>2500</v>
      </c>
      <c r="Q271" s="22" t="s">
        <v>2501</v>
      </c>
      <c r="R271" s="22" t="s">
        <v>2502</v>
      </c>
      <c r="S271" s="22" t="s">
        <v>61</v>
      </c>
      <c r="T271" s="22"/>
      <c r="U271" s="22" t="s">
        <v>1777</v>
      </c>
      <c r="V271" s="22" t="s">
        <v>70</v>
      </c>
      <c r="W271" s="22" t="s">
        <v>71</v>
      </c>
      <c r="X271" s="25" t="n">
        <v>43862</v>
      </c>
      <c r="Y271" s="25" t="n">
        <v>45627</v>
      </c>
      <c r="Z271" s="22" t="s">
        <v>72</v>
      </c>
      <c r="AA271" s="22" t="s">
        <v>149</v>
      </c>
      <c r="AB271" s="22" t="s">
        <v>74</v>
      </c>
      <c r="AC271" s="22"/>
      <c r="AD271" s="22" t="n">
        <v>0</v>
      </c>
      <c r="AE271" s="22"/>
      <c r="AF271" s="22"/>
      <c r="AG271" s="22" t="s">
        <v>75</v>
      </c>
      <c r="AH271" s="22"/>
      <c r="AI271" s="22" t="n">
        <v>10</v>
      </c>
      <c r="AJ271" s="22" t="n">
        <v>30</v>
      </c>
      <c r="AK271" s="22" t="s">
        <v>61</v>
      </c>
      <c r="AL271" s="26" t="n">
        <v>37420</v>
      </c>
      <c r="AM271" s="26" t="n">
        <v>45007.9018935185</v>
      </c>
      <c r="AN271" s="25" t="n">
        <v>45008.4287384259</v>
      </c>
      <c r="AO271" s="22" t="n">
        <v>7</v>
      </c>
      <c r="AP271" s="22" t="n">
        <v>40</v>
      </c>
      <c r="AQ271" s="22" t="s">
        <v>0</v>
      </c>
      <c r="AR271" s="27" t="s">
        <v>2258</v>
      </c>
      <c r="AS271" s="27" t="s">
        <v>78</v>
      </c>
      <c r="AT271" s="27"/>
      <c r="AU271" s="27"/>
      <c r="AV271" s="27"/>
      <c r="AW271" s="27"/>
      <c r="AX271" s="27"/>
      <c r="AY271" s="27"/>
    </row>
    <row r="272" customFormat="false" ht="15.75" hidden="false" customHeight="true" outlineLevel="0" collapsed="false">
      <c r="A272" s="22" t="n">
        <v>268</v>
      </c>
      <c r="B272" s="23" t="s">
        <v>2503</v>
      </c>
      <c r="C272" s="22"/>
      <c r="D272" s="22" t="s">
        <v>2504</v>
      </c>
      <c r="E272" s="22" t="s">
        <v>81</v>
      </c>
      <c r="F272" s="22" t="s">
        <v>107</v>
      </c>
      <c r="G272" s="22" t="s">
        <v>59</v>
      </c>
      <c r="H272" s="22" t="s">
        <v>60</v>
      </c>
      <c r="I272" s="22"/>
      <c r="J272" s="22" t="s">
        <v>61</v>
      </c>
      <c r="K272" s="22" t="s">
        <v>2505</v>
      </c>
      <c r="L272" s="22" t="s">
        <v>62</v>
      </c>
      <c r="M272" s="22" t="s">
        <v>63</v>
      </c>
      <c r="N272" s="22" t="s">
        <v>2506</v>
      </c>
      <c r="O272" s="22" t="s">
        <v>159</v>
      </c>
      <c r="P272" s="22" t="s">
        <v>2507</v>
      </c>
      <c r="Q272" s="22"/>
      <c r="R272" s="22" t="s">
        <v>2508</v>
      </c>
      <c r="S272" s="22" t="s">
        <v>61</v>
      </c>
      <c r="T272" s="22"/>
      <c r="U272" s="22" t="s">
        <v>1157</v>
      </c>
      <c r="V272" s="22" t="s">
        <v>70</v>
      </c>
      <c r="W272" s="22" t="s">
        <v>71</v>
      </c>
      <c r="X272" s="25" t="n">
        <v>43862</v>
      </c>
      <c r="Y272" s="25" t="n">
        <v>45627</v>
      </c>
      <c r="Z272" s="22" t="s">
        <v>72</v>
      </c>
      <c r="AA272" s="22" t="s">
        <v>149</v>
      </c>
      <c r="AB272" s="22" t="s">
        <v>74</v>
      </c>
      <c r="AC272" s="22"/>
      <c r="AD272" s="22" t="n">
        <v>0</v>
      </c>
      <c r="AE272" s="22"/>
      <c r="AF272" s="22"/>
      <c r="AG272" s="22" t="s">
        <v>75</v>
      </c>
      <c r="AH272" s="22"/>
      <c r="AI272" s="22" t="n">
        <v>10</v>
      </c>
      <c r="AJ272" s="22" t="n">
        <v>30</v>
      </c>
      <c r="AK272" s="22" t="s">
        <v>61</v>
      </c>
      <c r="AL272" s="26" t="n">
        <v>37421</v>
      </c>
      <c r="AM272" s="26" t="n">
        <v>45008.3652110995</v>
      </c>
      <c r="AN272" s="25" t="n">
        <v>45008.4275</v>
      </c>
      <c r="AO272" s="22" t="n">
        <v>7</v>
      </c>
      <c r="AP272" s="22" t="n">
        <v>40</v>
      </c>
      <c r="AQ272" s="22" t="s">
        <v>0</v>
      </c>
      <c r="AR272" s="27" t="s">
        <v>2509</v>
      </c>
      <c r="AS272" s="27" t="s">
        <v>78</v>
      </c>
      <c r="AT272" s="27"/>
      <c r="AU272" s="27"/>
      <c r="AV272" s="27"/>
      <c r="AW272" s="27"/>
      <c r="AX272" s="27"/>
      <c r="AY272" s="27"/>
    </row>
    <row r="273" customFormat="false" ht="15.75" hidden="false" customHeight="true" outlineLevel="0" collapsed="false">
      <c r="A273" s="22" t="n">
        <v>269</v>
      </c>
      <c r="B273" s="23" t="s">
        <v>2510</v>
      </c>
      <c r="C273" s="22" t="s">
        <v>2511</v>
      </c>
      <c r="D273" s="22" t="s">
        <v>2512</v>
      </c>
      <c r="E273" s="22" t="s">
        <v>81</v>
      </c>
      <c r="F273" s="22" t="s">
        <v>107</v>
      </c>
      <c r="G273" s="22" t="s">
        <v>59</v>
      </c>
      <c r="H273" s="22" t="s">
        <v>60</v>
      </c>
      <c r="I273" s="22"/>
      <c r="J273" s="22" t="s">
        <v>61</v>
      </c>
      <c r="K273" s="22" t="s">
        <v>2513</v>
      </c>
      <c r="L273" s="22" t="s">
        <v>62</v>
      </c>
      <c r="M273" s="22" t="s">
        <v>63</v>
      </c>
      <c r="N273" s="22" t="s">
        <v>2514</v>
      </c>
      <c r="O273" s="22" t="s">
        <v>685</v>
      </c>
      <c r="P273" s="22" t="s">
        <v>2515</v>
      </c>
      <c r="Q273" s="22" t="s">
        <v>2516</v>
      </c>
      <c r="R273" s="22" t="s">
        <v>2517</v>
      </c>
      <c r="S273" s="22" t="s">
        <v>61</v>
      </c>
      <c r="T273" s="22"/>
      <c r="U273" s="22" t="s">
        <v>2518</v>
      </c>
      <c r="V273" s="22" t="s">
        <v>70</v>
      </c>
      <c r="W273" s="22" t="s">
        <v>71</v>
      </c>
      <c r="X273" s="25" t="n">
        <v>44409</v>
      </c>
      <c r="Y273" s="25" t="n">
        <v>46204</v>
      </c>
      <c r="Z273" s="22" t="s">
        <v>72</v>
      </c>
      <c r="AA273" s="22" t="s">
        <v>149</v>
      </c>
      <c r="AB273" s="22" t="s">
        <v>74</v>
      </c>
      <c r="AC273" s="22"/>
      <c r="AD273" s="22" t="n">
        <v>0</v>
      </c>
      <c r="AE273" s="22"/>
      <c r="AF273" s="22"/>
      <c r="AG273" s="22" t="s">
        <v>75</v>
      </c>
      <c r="AH273" s="22"/>
      <c r="AI273" s="22" t="n">
        <v>10</v>
      </c>
      <c r="AJ273" s="22" t="n">
        <v>30</v>
      </c>
      <c r="AK273" s="22" t="s">
        <v>61</v>
      </c>
      <c r="AL273" s="26" t="n">
        <v>37430</v>
      </c>
      <c r="AM273" s="26" t="n">
        <v>45002.5902155556</v>
      </c>
      <c r="AN273" s="25" t="n">
        <v>45002.5917361111</v>
      </c>
      <c r="AO273" s="22" t="n">
        <v>5</v>
      </c>
      <c r="AP273" s="22" t="n">
        <v>40</v>
      </c>
      <c r="AQ273" s="22" t="s">
        <v>1</v>
      </c>
      <c r="AR273" s="27" t="s">
        <v>2509</v>
      </c>
      <c r="AS273" s="27" t="s">
        <v>220</v>
      </c>
      <c r="AT273" s="48" t="n">
        <v>45056.4791666667</v>
      </c>
      <c r="AU273" s="27" t="s">
        <v>1246</v>
      </c>
      <c r="AV273" s="27"/>
      <c r="AW273" s="27"/>
      <c r="AX273" s="27"/>
      <c r="AY273" s="27"/>
    </row>
    <row r="274" customFormat="false" ht="15" hidden="false" customHeight="false" outlineLevel="0" collapsed="false">
      <c r="A274" s="22" t="n">
        <v>270</v>
      </c>
      <c r="B274" s="23" t="s">
        <v>2519</v>
      </c>
      <c r="C274" s="22" t="s">
        <v>2520</v>
      </c>
      <c r="D274" s="22" t="s">
        <v>2521</v>
      </c>
      <c r="E274" s="22" t="s">
        <v>81</v>
      </c>
      <c r="F274" s="22" t="s">
        <v>107</v>
      </c>
      <c r="G274" s="22" t="s">
        <v>59</v>
      </c>
      <c r="H274" s="22" t="s">
        <v>96</v>
      </c>
      <c r="I274" s="22"/>
      <c r="J274" s="22" t="s">
        <v>61</v>
      </c>
      <c r="K274" s="22" t="s">
        <v>2522</v>
      </c>
      <c r="L274" s="22" t="s">
        <v>62</v>
      </c>
      <c r="M274" s="22" t="s">
        <v>63</v>
      </c>
      <c r="N274" s="22" t="s">
        <v>2523</v>
      </c>
      <c r="O274" s="22" t="s">
        <v>768</v>
      </c>
      <c r="P274" s="22" t="s">
        <v>2524</v>
      </c>
      <c r="Q274" s="22" t="s">
        <v>2525</v>
      </c>
      <c r="R274" s="22" t="s">
        <v>2526</v>
      </c>
      <c r="S274" s="22" t="s">
        <v>61</v>
      </c>
      <c r="T274" s="22"/>
      <c r="U274" s="22" t="s">
        <v>1284</v>
      </c>
      <c r="V274" s="22" t="s">
        <v>70</v>
      </c>
      <c r="W274" s="22" t="s">
        <v>71</v>
      </c>
      <c r="X274" s="25" t="n">
        <v>44197</v>
      </c>
      <c r="Y274" s="25" t="n">
        <v>45717</v>
      </c>
      <c r="Z274" s="22" t="s">
        <v>72</v>
      </c>
      <c r="AA274" s="22" t="s">
        <v>149</v>
      </c>
      <c r="AB274" s="22" t="s">
        <v>74</v>
      </c>
      <c r="AC274" s="22"/>
      <c r="AD274" s="22" t="n">
        <v>0</v>
      </c>
      <c r="AE274" s="22"/>
      <c r="AF274" s="22"/>
      <c r="AG274" s="22" t="s">
        <v>75</v>
      </c>
      <c r="AH274" s="22" t="s">
        <v>242</v>
      </c>
      <c r="AI274" s="22" t="n">
        <v>10</v>
      </c>
      <c r="AJ274" s="22" t="n">
        <v>30</v>
      </c>
      <c r="AK274" s="22" t="s">
        <v>76</v>
      </c>
      <c r="AL274" s="26" t="n">
        <v>37432</v>
      </c>
      <c r="AM274" s="26" t="n">
        <v>45002.8101908102</v>
      </c>
      <c r="AN274" s="25" t="n">
        <v>45002.8110763889</v>
      </c>
      <c r="AO274" s="22" t="n">
        <v>5</v>
      </c>
      <c r="AP274" s="22" t="n">
        <v>40</v>
      </c>
      <c r="AQ274" s="22" t="s">
        <v>0</v>
      </c>
      <c r="AR274" s="27" t="s">
        <v>2527</v>
      </c>
      <c r="AS274" s="27" t="s">
        <v>206</v>
      </c>
      <c r="AT274" s="40" t="n">
        <v>45050.5625</v>
      </c>
      <c r="AU274" s="27" t="s">
        <v>78</v>
      </c>
      <c r="AV274" s="27"/>
      <c r="AW274" s="27"/>
      <c r="AX274" s="27"/>
      <c r="AY274" s="27"/>
    </row>
    <row r="275" customFormat="false" ht="15.75" hidden="false" customHeight="true" outlineLevel="0" collapsed="false">
      <c r="A275" s="22" t="n">
        <v>271</v>
      </c>
      <c r="B275" s="23" t="s">
        <v>2528</v>
      </c>
      <c r="C275" s="22"/>
      <c r="D275" s="22" t="s">
        <v>2529</v>
      </c>
      <c r="E275" s="22" t="s">
        <v>81</v>
      </c>
      <c r="F275" s="22" t="s">
        <v>107</v>
      </c>
      <c r="G275" s="22" t="s">
        <v>59</v>
      </c>
      <c r="H275" s="22" t="s">
        <v>96</v>
      </c>
      <c r="I275" s="22"/>
      <c r="J275" s="22" t="s">
        <v>61</v>
      </c>
      <c r="K275" s="22" t="s">
        <v>2530</v>
      </c>
      <c r="L275" s="22" t="s">
        <v>62</v>
      </c>
      <c r="M275" s="22" t="s">
        <v>84</v>
      </c>
      <c r="N275" s="22" t="s">
        <v>2531</v>
      </c>
      <c r="O275" s="22" t="s">
        <v>465</v>
      </c>
      <c r="P275" s="22" t="s">
        <v>2532</v>
      </c>
      <c r="Q275" s="22"/>
      <c r="R275" s="22" t="s">
        <v>2533</v>
      </c>
      <c r="S275" s="22" t="s">
        <v>61</v>
      </c>
      <c r="T275" s="22"/>
      <c r="U275" s="22" t="s">
        <v>281</v>
      </c>
      <c r="V275" s="22" t="s">
        <v>70</v>
      </c>
      <c r="W275" s="22" t="s">
        <v>71</v>
      </c>
      <c r="X275" s="25" t="n">
        <v>44197</v>
      </c>
      <c r="Y275" s="25" t="n">
        <v>45992</v>
      </c>
      <c r="Z275" s="22" t="s">
        <v>72</v>
      </c>
      <c r="AA275" s="22" t="s">
        <v>149</v>
      </c>
      <c r="AB275" s="22" t="s">
        <v>74</v>
      </c>
      <c r="AC275" s="22"/>
      <c r="AD275" s="22" t="n">
        <v>0</v>
      </c>
      <c r="AE275" s="22"/>
      <c r="AF275" s="22"/>
      <c r="AG275" s="22" t="s">
        <v>75</v>
      </c>
      <c r="AH275" s="22"/>
      <c r="AI275" s="22" t="n">
        <v>10</v>
      </c>
      <c r="AJ275" s="22" t="n">
        <v>30</v>
      </c>
      <c r="AK275" s="22" t="s">
        <v>61</v>
      </c>
      <c r="AL275" s="26" t="n">
        <v>37438</v>
      </c>
      <c r="AM275" s="26" t="n">
        <v>45000.4385663195</v>
      </c>
      <c r="AN275" s="25" t="n">
        <v>45001.7630787037</v>
      </c>
      <c r="AO275" s="22" t="n">
        <v>5</v>
      </c>
      <c r="AP275" s="22" t="n">
        <v>40</v>
      </c>
      <c r="AQ275" s="22" t="s">
        <v>0</v>
      </c>
      <c r="AR275" s="27" t="s">
        <v>2509</v>
      </c>
      <c r="AS275" s="27" t="s">
        <v>78</v>
      </c>
      <c r="AT275" s="27"/>
      <c r="AU275" s="27"/>
      <c r="AV275" s="27"/>
      <c r="AW275" s="27"/>
      <c r="AX275" s="27"/>
      <c r="AY275" s="27"/>
    </row>
    <row r="276" customFormat="false" ht="15.75" hidden="false" customHeight="true" outlineLevel="0" collapsed="false">
      <c r="A276" s="22" t="n">
        <v>272</v>
      </c>
      <c r="B276" s="23" t="s">
        <v>2534</v>
      </c>
      <c r="C276" s="22" t="s">
        <v>2535</v>
      </c>
      <c r="D276" s="22" t="s">
        <v>2536</v>
      </c>
      <c r="E276" s="22" t="s">
        <v>81</v>
      </c>
      <c r="F276" s="22" t="s">
        <v>107</v>
      </c>
      <c r="G276" s="22" t="s">
        <v>59</v>
      </c>
      <c r="H276" s="22" t="s">
        <v>96</v>
      </c>
      <c r="I276" s="22"/>
      <c r="J276" s="22" t="s">
        <v>61</v>
      </c>
      <c r="K276" s="22" t="s">
        <v>2537</v>
      </c>
      <c r="L276" s="22" t="s">
        <v>62</v>
      </c>
      <c r="M276" s="22" t="s">
        <v>1111</v>
      </c>
      <c r="N276" s="22" t="s">
        <v>2538</v>
      </c>
      <c r="O276" s="22" t="s">
        <v>2539</v>
      </c>
      <c r="P276" s="22" t="s">
        <v>2540</v>
      </c>
      <c r="Q276" s="22" t="s">
        <v>2541</v>
      </c>
      <c r="R276" s="22" t="s">
        <v>2542</v>
      </c>
      <c r="S276" s="22" t="s">
        <v>61</v>
      </c>
      <c r="T276" s="22"/>
      <c r="U276" s="22" t="s">
        <v>2543</v>
      </c>
      <c r="V276" s="22" t="s">
        <v>70</v>
      </c>
      <c r="W276" s="22" t="s">
        <v>71</v>
      </c>
      <c r="X276" s="25" t="n">
        <v>44197</v>
      </c>
      <c r="Y276" s="25" t="n">
        <v>46357</v>
      </c>
      <c r="Z276" s="22" t="s">
        <v>72</v>
      </c>
      <c r="AA276" s="22" t="s">
        <v>149</v>
      </c>
      <c r="AB276" s="22" t="s">
        <v>74</v>
      </c>
      <c r="AC276" s="22"/>
      <c r="AD276" s="22" t="n">
        <v>0</v>
      </c>
      <c r="AE276" s="22"/>
      <c r="AF276" s="22"/>
      <c r="AG276" s="22" t="s">
        <v>75</v>
      </c>
      <c r="AH276" s="22"/>
      <c r="AI276" s="22" t="n">
        <v>10</v>
      </c>
      <c r="AJ276" s="22" t="n">
        <v>30</v>
      </c>
      <c r="AK276" s="22" t="s">
        <v>61</v>
      </c>
      <c r="AL276" s="26" t="n">
        <v>37440</v>
      </c>
      <c r="AM276" s="26" t="n">
        <v>45006.6921350116</v>
      </c>
      <c r="AN276" s="25" t="n">
        <v>45008.6218865741</v>
      </c>
      <c r="AO276" s="22" t="n">
        <v>5</v>
      </c>
      <c r="AP276" s="22" t="n">
        <v>40</v>
      </c>
      <c r="AQ276" s="22" t="s">
        <v>1</v>
      </c>
      <c r="AR276" s="37" t="s">
        <v>2509</v>
      </c>
      <c r="AS276" s="27" t="s">
        <v>206</v>
      </c>
      <c r="AT276" s="47" t="n">
        <v>45056.4791666667</v>
      </c>
      <c r="AU276" s="27" t="s">
        <v>220</v>
      </c>
      <c r="AV276" s="27"/>
      <c r="AW276" s="27"/>
      <c r="AX276" s="27"/>
      <c r="AY276" s="27"/>
    </row>
    <row r="277" customFormat="false" ht="15.75" hidden="false" customHeight="true" outlineLevel="0" collapsed="false">
      <c r="A277" s="22" t="n">
        <v>273</v>
      </c>
      <c r="B277" s="23" t="s">
        <v>2544</v>
      </c>
      <c r="C277" s="22" t="s">
        <v>2545</v>
      </c>
      <c r="D277" s="22" t="s">
        <v>2546</v>
      </c>
      <c r="E277" s="22" t="s">
        <v>81</v>
      </c>
      <c r="F277" s="22" t="s">
        <v>107</v>
      </c>
      <c r="G277" s="22" t="s">
        <v>59</v>
      </c>
      <c r="H277" s="22" t="s">
        <v>96</v>
      </c>
      <c r="I277" s="22"/>
      <c r="J277" s="22" t="s">
        <v>61</v>
      </c>
      <c r="K277" s="22" t="s">
        <v>2547</v>
      </c>
      <c r="L277" s="22" t="s">
        <v>62</v>
      </c>
      <c r="M277" s="22" t="s">
        <v>84</v>
      </c>
      <c r="N277" s="22" t="s">
        <v>2548</v>
      </c>
      <c r="O277" s="22" t="s">
        <v>963</v>
      </c>
      <c r="P277" s="22" t="s">
        <v>2549</v>
      </c>
      <c r="Q277" s="22"/>
      <c r="R277" s="22" t="s">
        <v>2550</v>
      </c>
      <c r="S277" s="22" t="s">
        <v>61</v>
      </c>
      <c r="T277" s="22"/>
      <c r="U277" s="22" t="s">
        <v>1157</v>
      </c>
      <c r="V277" s="22" t="s">
        <v>70</v>
      </c>
      <c r="W277" s="22" t="s">
        <v>71</v>
      </c>
      <c r="X277" s="25" t="n">
        <v>44228</v>
      </c>
      <c r="Y277" s="25" t="n">
        <v>45992</v>
      </c>
      <c r="Z277" s="22" t="s">
        <v>72</v>
      </c>
      <c r="AA277" s="22" t="s">
        <v>91</v>
      </c>
      <c r="AB277" s="22" t="s">
        <v>74</v>
      </c>
      <c r="AC277" s="22"/>
      <c r="AD277" s="22" t="n">
        <v>0</v>
      </c>
      <c r="AE277" s="22"/>
      <c r="AF277" s="22"/>
      <c r="AG277" s="22" t="s">
        <v>75</v>
      </c>
      <c r="AH277" s="22"/>
      <c r="AI277" s="22" t="n">
        <v>10</v>
      </c>
      <c r="AJ277" s="22" t="n">
        <v>30</v>
      </c>
      <c r="AK277" s="22" t="s">
        <v>61</v>
      </c>
      <c r="AL277" s="26" t="n">
        <v>37441</v>
      </c>
      <c r="AM277" s="26" t="n">
        <v>45000.8501454167</v>
      </c>
      <c r="AN277" s="25" t="n">
        <v>45003.8556134259</v>
      </c>
      <c r="AO277" s="22" t="n">
        <v>5</v>
      </c>
      <c r="AP277" s="22" t="n">
        <v>40</v>
      </c>
      <c r="AQ277" s="22" t="s">
        <v>0</v>
      </c>
      <c r="AR277" s="37" t="s">
        <v>2509</v>
      </c>
      <c r="AS277" s="27" t="s">
        <v>206</v>
      </c>
      <c r="AT277" s="47" t="n">
        <v>45056.4791666667</v>
      </c>
      <c r="AU277" s="27" t="s">
        <v>78</v>
      </c>
      <c r="AV277" s="27"/>
      <c r="AW277" s="27"/>
      <c r="AX277" s="27"/>
      <c r="AY277" s="27"/>
    </row>
    <row r="278" customFormat="false" ht="15.75" hidden="false" customHeight="true" outlineLevel="0" collapsed="false">
      <c r="A278" s="22" t="n">
        <v>274</v>
      </c>
      <c r="B278" s="23" t="s">
        <v>2551</v>
      </c>
      <c r="C278" s="22" t="s">
        <v>2552</v>
      </c>
      <c r="D278" s="22" t="s">
        <v>2553</v>
      </c>
      <c r="E278" s="22" t="s">
        <v>57</v>
      </c>
      <c r="F278" s="22" t="s">
        <v>107</v>
      </c>
      <c r="G278" s="22" t="s">
        <v>59</v>
      </c>
      <c r="H278" s="22" t="s">
        <v>156</v>
      </c>
      <c r="I278" s="22"/>
      <c r="J278" s="22" t="s">
        <v>61</v>
      </c>
      <c r="K278" s="22" t="s">
        <v>2554</v>
      </c>
      <c r="L278" s="22" t="s">
        <v>62</v>
      </c>
      <c r="M278" s="22" t="s">
        <v>84</v>
      </c>
      <c r="N278" s="22" t="s">
        <v>2555</v>
      </c>
      <c r="O278" s="22" t="s">
        <v>2556</v>
      </c>
      <c r="P278" s="22" t="s">
        <v>2557</v>
      </c>
      <c r="Q278" s="22"/>
      <c r="R278" s="22" t="s">
        <v>2558</v>
      </c>
      <c r="S278" s="22" t="s">
        <v>61</v>
      </c>
      <c r="T278" s="22"/>
      <c r="U278" s="22" t="s">
        <v>261</v>
      </c>
      <c r="V278" s="22" t="s">
        <v>70</v>
      </c>
      <c r="W278" s="22" t="s">
        <v>71</v>
      </c>
      <c r="X278" s="25" t="n">
        <v>43831</v>
      </c>
      <c r="Y278" s="25" t="n">
        <v>45658</v>
      </c>
      <c r="Z278" s="22" t="s">
        <v>72</v>
      </c>
      <c r="AA278" s="22" t="s">
        <v>149</v>
      </c>
      <c r="AB278" s="22" t="s">
        <v>74</v>
      </c>
      <c r="AC278" s="22"/>
      <c r="AD278" s="22" t="n">
        <v>0</v>
      </c>
      <c r="AE278" s="22"/>
      <c r="AF278" s="22"/>
      <c r="AG278" s="22" t="s">
        <v>75</v>
      </c>
      <c r="AH278" s="22" t="s">
        <v>242</v>
      </c>
      <c r="AI278" s="22" t="n">
        <v>10</v>
      </c>
      <c r="AJ278" s="22" t="n">
        <v>30</v>
      </c>
      <c r="AK278" s="22" t="s">
        <v>76</v>
      </c>
      <c r="AL278" s="26" t="n">
        <v>37452</v>
      </c>
      <c r="AM278" s="26" t="n">
        <v>45000.7326441088</v>
      </c>
      <c r="AN278" s="25" t="n">
        <v>45000.7349884259</v>
      </c>
      <c r="AO278" s="22" t="n">
        <v>5</v>
      </c>
      <c r="AP278" s="22" t="n">
        <v>40</v>
      </c>
      <c r="AQ278" s="22" t="s">
        <v>1</v>
      </c>
      <c r="AR278" s="49" t="s">
        <v>2559</v>
      </c>
      <c r="AS278" s="27" t="s">
        <v>206</v>
      </c>
      <c r="AT278" s="40" t="n">
        <v>45050.5625</v>
      </c>
      <c r="AU278" s="27" t="s">
        <v>2560</v>
      </c>
      <c r="AV278" s="27"/>
      <c r="AW278" s="27"/>
      <c r="AX278" s="27"/>
      <c r="AY278" s="27"/>
    </row>
    <row r="279" customFormat="false" ht="15.75" hidden="false" customHeight="true" outlineLevel="0" collapsed="false">
      <c r="A279" s="22" t="n">
        <v>275</v>
      </c>
      <c r="B279" s="23" t="s">
        <v>2561</v>
      </c>
      <c r="C279" s="22" t="s">
        <v>2562</v>
      </c>
      <c r="D279" s="22" t="s">
        <v>2563</v>
      </c>
      <c r="E279" s="22" t="s">
        <v>81</v>
      </c>
      <c r="F279" s="22" t="s">
        <v>82</v>
      </c>
      <c r="G279" s="22" t="s">
        <v>59</v>
      </c>
      <c r="H279" s="22" t="s">
        <v>96</v>
      </c>
      <c r="I279" s="22"/>
      <c r="J279" s="22" t="s">
        <v>61</v>
      </c>
      <c r="K279" s="22" t="s">
        <v>2091</v>
      </c>
      <c r="L279" s="22" t="s">
        <v>62</v>
      </c>
      <c r="M279" s="22" t="s">
        <v>2092</v>
      </c>
      <c r="N279" s="22" t="s">
        <v>2564</v>
      </c>
      <c r="O279" s="22" t="s">
        <v>2565</v>
      </c>
      <c r="P279" s="22" t="s">
        <v>2566</v>
      </c>
      <c r="Q279" s="22"/>
      <c r="R279" s="22" t="s">
        <v>2567</v>
      </c>
      <c r="S279" s="22" t="s">
        <v>61</v>
      </c>
      <c r="T279" s="22"/>
      <c r="U279" s="22" t="s">
        <v>2568</v>
      </c>
      <c r="V279" s="22" t="s">
        <v>70</v>
      </c>
      <c r="W279" s="22" t="s">
        <v>71</v>
      </c>
      <c r="X279" s="25" t="n">
        <v>44228</v>
      </c>
      <c r="Y279" s="25" t="n">
        <v>45323</v>
      </c>
      <c r="Z279" s="22" t="s">
        <v>72</v>
      </c>
      <c r="AA279" s="22" t="s">
        <v>91</v>
      </c>
      <c r="AB279" s="22" t="s">
        <v>74</v>
      </c>
      <c r="AC279" s="22"/>
      <c r="AD279" s="22" t="n">
        <v>0</v>
      </c>
      <c r="AE279" s="22"/>
      <c r="AF279" s="22"/>
      <c r="AG279" s="22" t="s">
        <v>75</v>
      </c>
      <c r="AH279" s="22"/>
      <c r="AI279" s="22" t="n">
        <v>10</v>
      </c>
      <c r="AJ279" s="22" t="n">
        <v>30</v>
      </c>
      <c r="AK279" s="22" t="s">
        <v>76</v>
      </c>
      <c r="AL279" s="26" t="n">
        <v>37456</v>
      </c>
      <c r="AM279" s="26" t="n">
        <v>45002.5739567014</v>
      </c>
      <c r="AN279" s="25" t="n">
        <v>45002.5765162037</v>
      </c>
      <c r="AO279" s="22" t="n">
        <v>5</v>
      </c>
      <c r="AP279" s="22" t="n">
        <v>40</v>
      </c>
      <c r="AQ279" s="22" t="s">
        <v>0</v>
      </c>
      <c r="AR279" s="37" t="s">
        <v>2569</v>
      </c>
      <c r="AS279" s="27" t="s">
        <v>206</v>
      </c>
      <c r="AT279" s="47" t="n">
        <v>45056.4791666667</v>
      </c>
      <c r="AU279" s="27" t="s">
        <v>78</v>
      </c>
      <c r="AV279" s="27"/>
      <c r="AW279" s="27"/>
      <c r="AX279" s="27"/>
      <c r="AY279" s="27"/>
    </row>
    <row r="280" customFormat="false" ht="15.75" hidden="false" customHeight="true" outlineLevel="0" collapsed="false">
      <c r="A280" s="22" t="n">
        <v>276</v>
      </c>
      <c r="B280" s="23" t="s">
        <v>2570</v>
      </c>
      <c r="C280" s="22"/>
      <c r="D280" s="22" t="s">
        <v>2571</v>
      </c>
      <c r="E280" s="22" t="s">
        <v>81</v>
      </c>
      <c r="F280" s="22" t="s">
        <v>107</v>
      </c>
      <c r="G280" s="22" t="s">
        <v>59</v>
      </c>
      <c r="H280" s="22" t="s">
        <v>60</v>
      </c>
      <c r="I280" s="22"/>
      <c r="J280" s="22" t="s">
        <v>61</v>
      </c>
      <c r="K280" s="22" t="s">
        <v>2572</v>
      </c>
      <c r="L280" s="22" t="s">
        <v>62</v>
      </c>
      <c r="M280" s="22" t="s">
        <v>63</v>
      </c>
      <c r="N280" s="22" t="s">
        <v>2573</v>
      </c>
      <c r="O280" s="22" t="s">
        <v>2574</v>
      </c>
      <c r="P280" s="22" t="s">
        <v>2575</v>
      </c>
      <c r="Q280" s="22" t="s">
        <v>2576</v>
      </c>
      <c r="R280" s="22" t="s">
        <v>2577</v>
      </c>
      <c r="S280" s="22" t="s">
        <v>61</v>
      </c>
      <c r="T280" s="22"/>
      <c r="U280" s="22" t="s">
        <v>261</v>
      </c>
      <c r="V280" s="22" t="s">
        <v>70</v>
      </c>
      <c r="W280" s="22" t="s">
        <v>71</v>
      </c>
      <c r="X280" s="25" t="n">
        <v>44197</v>
      </c>
      <c r="Y280" s="25" t="n">
        <v>45809</v>
      </c>
      <c r="Z280" s="22" t="s">
        <v>72</v>
      </c>
      <c r="AA280" s="22" t="s">
        <v>149</v>
      </c>
      <c r="AB280" s="22" t="s">
        <v>74</v>
      </c>
      <c r="AC280" s="22"/>
      <c r="AD280" s="22" t="n">
        <v>0</v>
      </c>
      <c r="AE280" s="22"/>
      <c r="AF280" s="22"/>
      <c r="AG280" s="22" t="s">
        <v>75</v>
      </c>
      <c r="AH280" s="22"/>
      <c r="AI280" s="22" t="n">
        <v>10</v>
      </c>
      <c r="AJ280" s="22" t="n">
        <v>30</v>
      </c>
      <c r="AK280" s="22" t="s">
        <v>76</v>
      </c>
      <c r="AL280" s="26" t="n">
        <v>37459</v>
      </c>
      <c r="AM280" s="26" t="n">
        <v>45004.8271051389</v>
      </c>
      <c r="AN280" s="25" t="n">
        <v>45004.8387037037</v>
      </c>
      <c r="AO280" s="22" t="n">
        <v>5</v>
      </c>
      <c r="AP280" s="22" t="n">
        <v>40</v>
      </c>
      <c r="AQ280" s="22" t="s">
        <v>0</v>
      </c>
      <c r="AR280" s="27" t="s">
        <v>2509</v>
      </c>
      <c r="AS280" s="27" t="s">
        <v>78</v>
      </c>
      <c r="AT280" s="27"/>
      <c r="AU280" s="27"/>
      <c r="AV280" s="27"/>
      <c r="AW280" s="27"/>
      <c r="AX280" s="27"/>
      <c r="AY280" s="27"/>
    </row>
    <row r="281" customFormat="false" ht="15.75" hidden="false" customHeight="true" outlineLevel="0" collapsed="false">
      <c r="A281" s="22" t="n">
        <v>277</v>
      </c>
      <c r="B281" s="23" t="s">
        <v>2578</v>
      </c>
      <c r="C281" s="22"/>
      <c r="D281" s="22" t="s">
        <v>2579</v>
      </c>
      <c r="E281" s="22" t="s">
        <v>57</v>
      </c>
      <c r="F281" s="22" t="s">
        <v>107</v>
      </c>
      <c r="G281" s="22" t="s">
        <v>59</v>
      </c>
      <c r="H281" s="22" t="s">
        <v>60</v>
      </c>
      <c r="I281" s="22"/>
      <c r="J281" s="22" t="s">
        <v>61</v>
      </c>
      <c r="K281" s="22" t="s">
        <v>2580</v>
      </c>
      <c r="L281" s="22" t="s">
        <v>62</v>
      </c>
      <c r="M281" s="22" t="s">
        <v>84</v>
      </c>
      <c r="N281" s="22" t="s">
        <v>2581</v>
      </c>
      <c r="O281" s="22" t="s">
        <v>227</v>
      </c>
      <c r="P281" s="22" t="s">
        <v>2582</v>
      </c>
      <c r="Q281" s="22"/>
      <c r="R281" s="22" t="s">
        <v>2583</v>
      </c>
      <c r="S281" s="22" t="s">
        <v>61</v>
      </c>
      <c r="T281" s="22"/>
      <c r="U281" s="22" t="s">
        <v>2584</v>
      </c>
      <c r="V281" s="22" t="s">
        <v>70</v>
      </c>
      <c r="W281" s="22" t="s">
        <v>71</v>
      </c>
      <c r="X281" s="25" t="n">
        <v>44197</v>
      </c>
      <c r="Y281" s="25" t="n">
        <v>45992</v>
      </c>
      <c r="Z281" s="22" t="s">
        <v>72</v>
      </c>
      <c r="AA281" s="22" t="s">
        <v>149</v>
      </c>
      <c r="AB281" s="22" t="s">
        <v>74</v>
      </c>
      <c r="AC281" s="22"/>
      <c r="AD281" s="22" t="n">
        <v>0</v>
      </c>
      <c r="AE281" s="22"/>
      <c r="AF281" s="22"/>
      <c r="AG281" s="22" t="s">
        <v>75</v>
      </c>
      <c r="AH281" s="22"/>
      <c r="AI281" s="22" t="n">
        <v>10</v>
      </c>
      <c r="AJ281" s="22" t="n">
        <v>30</v>
      </c>
      <c r="AK281" s="22" t="s">
        <v>61</v>
      </c>
      <c r="AL281" s="26" t="n">
        <v>37461</v>
      </c>
      <c r="AM281" s="26" t="n">
        <v>45008.4648788195</v>
      </c>
      <c r="AN281" s="25" t="n">
        <v>45009.4602314815</v>
      </c>
      <c r="AO281" s="22" t="n">
        <v>5</v>
      </c>
      <c r="AP281" s="22" t="n">
        <v>40</v>
      </c>
      <c r="AQ281" s="22" t="s">
        <v>1</v>
      </c>
      <c r="AR281" s="37" t="s">
        <v>2509</v>
      </c>
      <c r="AS281" s="27" t="s">
        <v>206</v>
      </c>
      <c r="AT281" s="47" t="n">
        <v>45056.4791666667</v>
      </c>
      <c r="AU281" s="27" t="s">
        <v>220</v>
      </c>
      <c r="AV281" s="27"/>
      <c r="AW281" s="27"/>
      <c r="AX281" s="27"/>
      <c r="AY281" s="27"/>
    </row>
    <row r="282" customFormat="false" ht="15.75" hidden="false" customHeight="true" outlineLevel="0" collapsed="false">
      <c r="A282" s="22" t="n">
        <v>278</v>
      </c>
      <c r="B282" s="23" t="s">
        <v>2585</v>
      </c>
      <c r="C282" s="22" t="s">
        <v>2586</v>
      </c>
      <c r="D282" s="22" t="s">
        <v>2587</v>
      </c>
      <c r="E282" s="22" t="s">
        <v>81</v>
      </c>
      <c r="F282" s="22" t="s">
        <v>107</v>
      </c>
      <c r="G282" s="22" t="s">
        <v>59</v>
      </c>
      <c r="H282" s="22" t="s">
        <v>96</v>
      </c>
      <c r="I282" s="22"/>
      <c r="J282" s="22" t="s">
        <v>61</v>
      </c>
      <c r="K282" s="22" t="s">
        <v>2588</v>
      </c>
      <c r="L282" s="22" t="s">
        <v>62</v>
      </c>
      <c r="M282" s="22" t="s">
        <v>63</v>
      </c>
      <c r="N282" s="22" t="s">
        <v>2589</v>
      </c>
      <c r="O282" s="22" t="s">
        <v>2590</v>
      </c>
      <c r="P282" s="22" t="s">
        <v>2591</v>
      </c>
      <c r="Q282" s="22" t="s">
        <v>2592</v>
      </c>
      <c r="R282" s="22" t="s">
        <v>2593</v>
      </c>
      <c r="S282" s="22" t="s">
        <v>61</v>
      </c>
      <c r="T282" s="22"/>
      <c r="U282" s="22" t="s">
        <v>2594</v>
      </c>
      <c r="V282" s="22" t="s">
        <v>70</v>
      </c>
      <c r="W282" s="22" t="s">
        <v>71</v>
      </c>
      <c r="X282" s="25" t="n">
        <v>44197</v>
      </c>
      <c r="Y282" s="25" t="n">
        <v>45992</v>
      </c>
      <c r="Z282" s="22" t="s">
        <v>72</v>
      </c>
      <c r="AA282" s="22" t="s">
        <v>91</v>
      </c>
      <c r="AB282" s="22" t="s">
        <v>74</v>
      </c>
      <c r="AC282" s="22"/>
      <c r="AD282" s="22" t="n">
        <v>0</v>
      </c>
      <c r="AE282" s="22"/>
      <c r="AF282" s="22"/>
      <c r="AG282" s="22" t="s">
        <v>75</v>
      </c>
      <c r="AH282" s="22"/>
      <c r="AI282" s="22" t="n">
        <v>10</v>
      </c>
      <c r="AJ282" s="22" t="n">
        <v>30</v>
      </c>
      <c r="AK282" s="22" t="s">
        <v>61</v>
      </c>
      <c r="AL282" s="26" t="n">
        <v>37477</v>
      </c>
      <c r="AM282" s="26" t="n">
        <v>45000.4599324537</v>
      </c>
      <c r="AN282" s="25" t="n">
        <v>45000.9617013889</v>
      </c>
      <c r="AO282" s="22" t="n">
        <v>5</v>
      </c>
      <c r="AP282" s="22" t="n">
        <v>40</v>
      </c>
      <c r="AQ282" s="22" t="s">
        <v>0</v>
      </c>
      <c r="AR282" s="37" t="s">
        <v>2569</v>
      </c>
      <c r="AS282" s="27" t="s">
        <v>206</v>
      </c>
      <c r="AT282" s="47" t="n">
        <v>45056.4791666667</v>
      </c>
      <c r="AU282" s="27" t="s">
        <v>78</v>
      </c>
      <c r="AV282" s="27"/>
      <c r="AW282" s="27"/>
      <c r="AX282" s="27"/>
      <c r="AY282" s="27"/>
    </row>
    <row r="283" customFormat="false" ht="15.75" hidden="false" customHeight="true" outlineLevel="0" collapsed="false">
      <c r="A283" s="22" t="n">
        <v>279</v>
      </c>
      <c r="B283" s="23" t="s">
        <v>2595</v>
      </c>
      <c r="C283" s="22"/>
      <c r="D283" s="22" t="s">
        <v>2596</v>
      </c>
      <c r="E283" s="22" t="s">
        <v>57</v>
      </c>
      <c r="F283" s="22" t="s">
        <v>107</v>
      </c>
      <c r="G283" s="22" t="s">
        <v>59</v>
      </c>
      <c r="H283" s="22" t="s">
        <v>156</v>
      </c>
      <c r="I283" s="22"/>
      <c r="J283" s="22" t="s">
        <v>61</v>
      </c>
      <c r="K283" s="22" t="s">
        <v>1764</v>
      </c>
      <c r="L283" s="22" t="s">
        <v>62</v>
      </c>
      <c r="M283" s="22" t="s">
        <v>84</v>
      </c>
      <c r="N283" s="22" t="s">
        <v>2597</v>
      </c>
      <c r="O283" s="22" t="s">
        <v>1766</v>
      </c>
      <c r="P283" s="22" t="s">
        <v>2598</v>
      </c>
      <c r="Q283" s="22" t="s">
        <v>2599</v>
      </c>
      <c r="R283" s="22" t="s">
        <v>2600</v>
      </c>
      <c r="S283" s="22" t="s">
        <v>61</v>
      </c>
      <c r="T283" s="22"/>
      <c r="U283" s="22" t="s">
        <v>412</v>
      </c>
      <c r="V283" s="22" t="s">
        <v>70</v>
      </c>
      <c r="W283" s="22" t="s">
        <v>71</v>
      </c>
      <c r="X283" s="25" t="n">
        <v>43831</v>
      </c>
      <c r="Y283" s="25" t="n">
        <v>45627</v>
      </c>
      <c r="Z283" s="22" t="s">
        <v>72</v>
      </c>
      <c r="AA283" s="22" t="s">
        <v>149</v>
      </c>
      <c r="AB283" s="22" t="s">
        <v>74</v>
      </c>
      <c r="AC283" s="22"/>
      <c r="AD283" s="22" t="n">
        <v>0</v>
      </c>
      <c r="AE283" s="22"/>
      <c r="AF283" s="22"/>
      <c r="AG283" s="22" t="s">
        <v>75</v>
      </c>
      <c r="AH283" s="22"/>
      <c r="AI283" s="22" t="n">
        <v>10</v>
      </c>
      <c r="AJ283" s="22" t="n">
        <v>30</v>
      </c>
      <c r="AK283" s="22" t="s">
        <v>61</v>
      </c>
      <c r="AL283" s="26" t="n">
        <v>37484</v>
      </c>
      <c r="AM283" s="26" t="n">
        <v>45008.8405017593</v>
      </c>
      <c r="AN283" s="25" t="n">
        <v>45008.8477314815</v>
      </c>
      <c r="AO283" s="22" t="n">
        <v>7</v>
      </c>
      <c r="AP283" s="22" t="n">
        <v>40</v>
      </c>
      <c r="AQ283" s="22" t="s">
        <v>0</v>
      </c>
      <c r="AR283" s="27" t="s">
        <v>2509</v>
      </c>
      <c r="AS283" s="27" t="s">
        <v>78</v>
      </c>
      <c r="AT283" s="27"/>
      <c r="AU283" s="27"/>
      <c r="AV283" s="27"/>
      <c r="AW283" s="27"/>
      <c r="AX283" s="27"/>
      <c r="AY283" s="27"/>
    </row>
    <row r="284" customFormat="false" ht="15.75" hidden="false" customHeight="true" outlineLevel="0" collapsed="false">
      <c r="A284" s="22" t="n">
        <v>280</v>
      </c>
      <c r="B284" s="23" t="s">
        <v>2601</v>
      </c>
      <c r="C284" s="22"/>
      <c r="D284" s="22" t="s">
        <v>2602</v>
      </c>
      <c r="E284" s="22" t="s">
        <v>81</v>
      </c>
      <c r="F284" s="22" t="s">
        <v>107</v>
      </c>
      <c r="G284" s="22" t="s">
        <v>59</v>
      </c>
      <c r="H284" s="22" t="s">
        <v>60</v>
      </c>
      <c r="I284" s="22"/>
      <c r="J284" s="22" t="s">
        <v>61</v>
      </c>
      <c r="K284" s="22" t="s">
        <v>2603</v>
      </c>
      <c r="L284" s="22" t="s">
        <v>62</v>
      </c>
      <c r="M284" s="22" t="s">
        <v>63</v>
      </c>
      <c r="N284" s="22" t="s">
        <v>2604</v>
      </c>
      <c r="O284" s="22" t="s">
        <v>955</v>
      </c>
      <c r="P284" s="22" t="s">
        <v>2605</v>
      </c>
      <c r="Q284" s="22"/>
      <c r="R284" s="22" t="s">
        <v>2606</v>
      </c>
      <c r="S284" s="22" t="s">
        <v>61</v>
      </c>
      <c r="T284" s="22"/>
      <c r="U284" s="22" t="s">
        <v>2607</v>
      </c>
      <c r="V284" s="22" t="s">
        <v>70</v>
      </c>
      <c r="W284" s="22" t="s">
        <v>71</v>
      </c>
      <c r="X284" s="25" t="n">
        <v>44228</v>
      </c>
      <c r="Y284" s="25" t="n">
        <v>45809</v>
      </c>
      <c r="Z284" s="22" t="s">
        <v>72</v>
      </c>
      <c r="AA284" s="22" t="s">
        <v>91</v>
      </c>
      <c r="AB284" s="22" t="s">
        <v>74</v>
      </c>
      <c r="AC284" s="22"/>
      <c r="AD284" s="22" t="n">
        <v>0</v>
      </c>
      <c r="AE284" s="22"/>
      <c r="AF284" s="22"/>
      <c r="AG284" s="22" t="s">
        <v>75</v>
      </c>
      <c r="AH284" s="22"/>
      <c r="AI284" s="22" t="n">
        <v>10</v>
      </c>
      <c r="AJ284" s="22" t="n">
        <v>30</v>
      </c>
      <c r="AK284" s="22" t="s">
        <v>61</v>
      </c>
      <c r="AL284" s="26" t="n">
        <v>37488</v>
      </c>
      <c r="AM284" s="26" t="n">
        <v>45009.2714601273</v>
      </c>
      <c r="AN284" s="25" t="n">
        <v>45009.2726967593</v>
      </c>
      <c r="AO284" s="22" t="n">
        <v>5</v>
      </c>
      <c r="AP284" s="22" t="n">
        <v>40</v>
      </c>
      <c r="AQ284" s="22" t="s">
        <v>0</v>
      </c>
      <c r="AR284" s="27" t="s">
        <v>2054</v>
      </c>
      <c r="AS284" s="42" t="s">
        <v>78</v>
      </c>
      <c r="AT284" s="27"/>
      <c r="AU284" s="27"/>
      <c r="AV284" s="27"/>
      <c r="AW284" s="27"/>
      <c r="AX284" s="27"/>
      <c r="AY284" s="27"/>
    </row>
    <row r="285" customFormat="false" ht="15.75" hidden="false" customHeight="true" outlineLevel="0" collapsed="false">
      <c r="A285" s="22" t="n">
        <v>281</v>
      </c>
      <c r="B285" s="23" t="s">
        <v>2608</v>
      </c>
      <c r="C285" s="22" t="s">
        <v>2609</v>
      </c>
      <c r="D285" s="22" t="s">
        <v>2610</v>
      </c>
      <c r="E285" s="22" t="s">
        <v>81</v>
      </c>
      <c r="F285" s="22" t="s">
        <v>107</v>
      </c>
      <c r="G285" s="22" t="s">
        <v>59</v>
      </c>
      <c r="H285" s="22" t="s">
        <v>60</v>
      </c>
      <c r="I285" s="22"/>
      <c r="J285" s="22" t="s">
        <v>61</v>
      </c>
      <c r="K285" s="22" t="s">
        <v>2611</v>
      </c>
      <c r="L285" s="22" t="s">
        <v>62</v>
      </c>
      <c r="M285" s="22" t="s">
        <v>2176</v>
      </c>
      <c r="N285" s="22" t="s">
        <v>2612</v>
      </c>
      <c r="O285" s="22" t="s">
        <v>2613</v>
      </c>
      <c r="P285" s="22" t="s">
        <v>2614</v>
      </c>
      <c r="Q285" s="22"/>
      <c r="R285" s="22" t="s">
        <v>2615</v>
      </c>
      <c r="S285" s="22" t="s">
        <v>61</v>
      </c>
      <c r="T285" s="22"/>
      <c r="U285" s="22" t="s">
        <v>2181</v>
      </c>
      <c r="V285" s="22" t="s">
        <v>70</v>
      </c>
      <c r="W285" s="22" t="s">
        <v>71</v>
      </c>
      <c r="X285" s="25" t="n">
        <v>43831</v>
      </c>
      <c r="Y285" s="25" t="n">
        <v>45627</v>
      </c>
      <c r="Z285" s="22" t="s">
        <v>72</v>
      </c>
      <c r="AA285" s="22" t="s">
        <v>91</v>
      </c>
      <c r="AB285" s="22" t="s">
        <v>74</v>
      </c>
      <c r="AC285" s="22"/>
      <c r="AD285" s="22" t="n">
        <v>0</v>
      </c>
      <c r="AE285" s="22"/>
      <c r="AF285" s="22"/>
      <c r="AG285" s="22" t="s">
        <v>75</v>
      </c>
      <c r="AH285" s="22"/>
      <c r="AI285" s="22" t="n">
        <v>10</v>
      </c>
      <c r="AJ285" s="22" t="n">
        <v>30</v>
      </c>
      <c r="AK285" s="22" t="s">
        <v>61</v>
      </c>
      <c r="AL285" s="26" t="n">
        <v>37495</v>
      </c>
      <c r="AM285" s="26" t="n">
        <v>45000.598973831</v>
      </c>
      <c r="AN285" s="25" t="n">
        <v>45000.6003819444</v>
      </c>
      <c r="AO285" s="22" t="n">
        <v>7</v>
      </c>
      <c r="AP285" s="22" t="n">
        <v>40</v>
      </c>
      <c r="AQ285" s="22" t="s">
        <v>1</v>
      </c>
      <c r="AR285" s="37" t="s">
        <v>2569</v>
      </c>
      <c r="AS285" s="27" t="s">
        <v>206</v>
      </c>
      <c r="AT285" s="47" t="n">
        <v>45056.4791666667</v>
      </c>
      <c r="AU285" s="27" t="s">
        <v>220</v>
      </c>
      <c r="AV285" s="27"/>
      <c r="AW285" s="27"/>
      <c r="AX285" s="27"/>
      <c r="AY285" s="27"/>
    </row>
    <row r="286" customFormat="false" ht="15.75" hidden="false" customHeight="true" outlineLevel="0" collapsed="false">
      <c r="A286" s="22" t="n">
        <v>282</v>
      </c>
      <c r="B286" s="23" t="s">
        <v>2616</v>
      </c>
      <c r="C286" s="22"/>
      <c r="D286" s="22" t="s">
        <v>2617</v>
      </c>
      <c r="E286" s="22" t="s">
        <v>81</v>
      </c>
      <c r="F286" s="22" t="s">
        <v>107</v>
      </c>
      <c r="G286" s="22" t="s">
        <v>59</v>
      </c>
      <c r="H286" s="22" t="s">
        <v>327</v>
      </c>
      <c r="I286" s="22"/>
      <c r="J286" s="22" t="s">
        <v>61</v>
      </c>
      <c r="K286" s="22" t="s">
        <v>2618</v>
      </c>
      <c r="L286" s="22" t="s">
        <v>62</v>
      </c>
      <c r="M286" s="22" t="s">
        <v>63</v>
      </c>
      <c r="N286" s="22" t="s">
        <v>2619</v>
      </c>
      <c r="O286" s="22" t="s">
        <v>2620</v>
      </c>
      <c r="P286" s="22" t="s">
        <v>2621</v>
      </c>
      <c r="Q286" s="22" t="s">
        <v>2622</v>
      </c>
      <c r="R286" s="22" t="s">
        <v>2623</v>
      </c>
      <c r="S286" s="22" t="s">
        <v>61</v>
      </c>
      <c r="T286" s="22"/>
      <c r="U286" s="22" t="s">
        <v>2624</v>
      </c>
      <c r="V286" s="22" t="s">
        <v>70</v>
      </c>
      <c r="W286" s="22" t="s">
        <v>71</v>
      </c>
      <c r="X286" s="25" t="n">
        <v>44256</v>
      </c>
      <c r="Y286" s="25" t="n">
        <v>45658</v>
      </c>
      <c r="Z286" s="22" t="s">
        <v>72</v>
      </c>
      <c r="AA286" s="22" t="s">
        <v>149</v>
      </c>
      <c r="AB286" s="22" t="s">
        <v>74</v>
      </c>
      <c r="AC286" s="22"/>
      <c r="AD286" s="22" t="n">
        <v>0</v>
      </c>
      <c r="AE286" s="22"/>
      <c r="AF286" s="22"/>
      <c r="AG286" s="22" t="s">
        <v>75</v>
      </c>
      <c r="AH286" s="22"/>
      <c r="AI286" s="22" t="n">
        <v>10</v>
      </c>
      <c r="AJ286" s="22" t="n">
        <v>30</v>
      </c>
      <c r="AK286" s="22" t="s">
        <v>76</v>
      </c>
      <c r="AL286" s="26" t="n">
        <v>37507</v>
      </c>
      <c r="AM286" s="26" t="n">
        <v>45003.7334218634</v>
      </c>
      <c r="AN286" s="25" t="n">
        <v>45007.9103472222</v>
      </c>
      <c r="AO286" s="22" t="n">
        <v>5</v>
      </c>
      <c r="AP286" s="22" t="n">
        <v>40</v>
      </c>
      <c r="AQ286" s="22" t="s">
        <v>0</v>
      </c>
      <c r="AR286" s="27" t="s">
        <v>523</v>
      </c>
      <c r="AS286" s="42" t="s">
        <v>78</v>
      </c>
      <c r="AT286" s="27"/>
      <c r="AU286" s="27"/>
      <c r="AV286" s="27"/>
      <c r="AW286" s="27"/>
      <c r="AX286" s="27"/>
      <c r="AY286" s="27"/>
    </row>
    <row r="287" customFormat="false" ht="15.75" hidden="false" customHeight="true" outlineLevel="0" collapsed="false">
      <c r="A287" s="22" t="n">
        <v>283</v>
      </c>
      <c r="B287" s="23" t="s">
        <v>2625</v>
      </c>
      <c r="C287" s="22" t="s">
        <v>2626</v>
      </c>
      <c r="D287" s="22" t="s">
        <v>2627</v>
      </c>
      <c r="E287" s="22" t="s">
        <v>57</v>
      </c>
      <c r="F287" s="22" t="s">
        <v>107</v>
      </c>
      <c r="G287" s="22" t="s">
        <v>59</v>
      </c>
      <c r="H287" s="22" t="s">
        <v>96</v>
      </c>
      <c r="I287" s="22"/>
      <c r="J287" s="22" t="s">
        <v>61</v>
      </c>
      <c r="K287" s="22" t="s">
        <v>2628</v>
      </c>
      <c r="L287" s="22" t="s">
        <v>62</v>
      </c>
      <c r="M287" s="22" t="s">
        <v>63</v>
      </c>
      <c r="N287" s="22" t="s">
        <v>2629</v>
      </c>
      <c r="O287" s="22" t="s">
        <v>963</v>
      </c>
      <c r="P287" s="22" t="s">
        <v>2630</v>
      </c>
      <c r="Q287" s="22"/>
      <c r="R287" s="22" t="s">
        <v>2631</v>
      </c>
      <c r="S287" s="22" t="s">
        <v>61</v>
      </c>
      <c r="T287" s="22"/>
      <c r="U287" s="22" t="s">
        <v>672</v>
      </c>
      <c r="V287" s="22" t="s">
        <v>70</v>
      </c>
      <c r="W287" s="22" t="s">
        <v>71</v>
      </c>
      <c r="X287" s="25" t="n">
        <v>43831</v>
      </c>
      <c r="Y287" s="25" t="n">
        <v>45627</v>
      </c>
      <c r="Z287" s="22" t="s">
        <v>72</v>
      </c>
      <c r="AA287" s="22" t="s">
        <v>149</v>
      </c>
      <c r="AB287" s="22" t="s">
        <v>74</v>
      </c>
      <c r="AC287" s="22"/>
      <c r="AD287" s="22" t="n">
        <v>0</v>
      </c>
      <c r="AE287" s="22"/>
      <c r="AF287" s="22"/>
      <c r="AG287" s="22" t="s">
        <v>75</v>
      </c>
      <c r="AH287" s="22"/>
      <c r="AI287" s="22" t="n">
        <v>10</v>
      </c>
      <c r="AJ287" s="22" t="n">
        <v>30</v>
      </c>
      <c r="AK287" s="22" t="s">
        <v>61</v>
      </c>
      <c r="AL287" s="26" t="n">
        <v>37508</v>
      </c>
      <c r="AM287" s="26" t="n">
        <v>45000.6816548727</v>
      </c>
      <c r="AN287" s="25" t="n">
        <v>45001.5098611111</v>
      </c>
      <c r="AO287" s="22" t="n">
        <v>7</v>
      </c>
      <c r="AP287" s="22" t="n">
        <v>40</v>
      </c>
      <c r="AQ287" s="22" t="s">
        <v>0</v>
      </c>
      <c r="AR287" s="27" t="s">
        <v>523</v>
      </c>
      <c r="AS287" s="42" t="s">
        <v>78</v>
      </c>
      <c r="AT287" s="27"/>
      <c r="AU287" s="50"/>
      <c r="AV287" s="27"/>
      <c r="AW287" s="27"/>
      <c r="AX287" s="27"/>
      <c r="AY287" s="27"/>
    </row>
    <row r="288" customFormat="false" ht="15.75" hidden="false" customHeight="true" outlineLevel="0" collapsed="false">
      <c r="A288" s="22" t="n">
        <v>284</v>
      </c>
      <c r="B288" s="23" t="s">
        <v>2632</v>
      </c>
      <c r="C288" s="22"/>
      <c r="D288" s="22" t="s">
        <v>2633</v>
      </c>
      <c r="E288" s="22" t="s">
        <v>57</v>
      </c>
      <c r="F288" s="22" t="s">
        <v>107</v>
      </c>
      <c r="G288" s="22" t="s">
        <v>59</v>
      </c>
      <c r="H288" s="22" t="s">
        <v>96</v>
      </c>
      <c r="I288" s="22"/>
      <c r="J288" s="22" t="s">
        <v>61</v>
      </c>
      <c r="K288" s="22" t="s">
        <v>2634</v>
      </c>
      <c r="L288" s="22" t="s">
        <v>62</v>
      </c>
      <c r="M288" s="22" t="s">
        <v>63</v>
      </c>
      <c r="N288" s="22" t="s">
        <v>2635</v>
      </c>
      <c r="O288" s="22" t="s">
        <v>737</v>
      </c>
      <c r="P288" s="22" t="s">
        <v>2636</v>
      </c>
      <c r="Q288" s="22"/>
      <c r="R288" s="22" t="s">
        <v>2637</v>
      </c>
      <c r="S288" s="22" t="s">
        <v>61</v>
      </c>
      <c r="T288" s="22"/>
      <c r="U288" s="22" t="s">
        <v>2518</v>
      </c>
      <c r="V288" s="22" t="s">
        <v>70</v>
      </c>
      <c r="W288" s="22" t="s">
        <v>71</v>
      </c>
      <c r="X288" s="25" t="n">
        <v>44409</v>
      </c>
      <c r="Y288" s="25" t="n">
        <v>46235</v>
      </c>
      <c r="Z288" s="22" t="s">
        <v>72</v>
      </c>
      <c r="AA288" s="22" t="s">
        <v>149</v>
      </c>
      <c r="AB288" s="22" t="s">
        <v>74</v>
      </c>
      <c r="AC288" s="22"/>
      <c r="AD288" s="22" t="n">
        <v>0</v>
      </c>
      <c r="AE288" s="22"/>
      <c r="AF288" s="22"/>
      <c r="AG288" s="22" t="s">
        <v>75</v>
      </c>
      <c r="AH288" s="22"/>
      <c r="AI288" s="22" t="n">
        <v>10</v>
      </c>
      <c r="AJ288" s="22" t="n">
        <v>30</v>
      </c>
      <c r="AK288" s="22" t="s">
        <v>76</v>
      </c>
      <c r="AL288" s="26" t="n">
        <v>37538</v>
      </c>
      <c r="AM288" s="26" t="n">
        <v>45001.6098303009</v>
      </c>
      <c r="AN288" s="25" t="n">
        <v>45002.6755324074</v>
      </c>
      <c r="AO288" s="22" t="n">
        <v>5</v>
      </c>
      <c r="AP288" s="22" t="n">
        <v>40</v>
      </c>
      <c r="AQ288" s="22" t="s">
        <v>1</v>
      </c>
      <c r="AR288" s="51" t="s">
        <v>523</v>
      </c>
      <c r="AS288" s="27" t="s">
        <v>1599</v>
      </c>
      <c r="AT288" s="48" t="n">
        <v>45056.4791666667</v>
      </c>
      <c r="AU288" s="27" t="s">
        <v>1246</v>
      </c>
      <c r="AV288" s="27"/>
      <c r="AW288" s="27"/>
      <c r="AX288" s="27"/>
      <c r="AY288" s="27"/>
    </row>
    <row r="289" customFormat="false" ht="15.75" hidden="false" customHeight="true" outlineLevel="0" collapsed="false">
      <c r="A289" s="22" t="n">
        <v>285</v>
      </c>
      <c r="B289" s="23" t="s">
        <v>2638</v>
      </c>
      <c r="C289" s="22"/>
      <c r="D289" s="22" t="s">
        <v>2639</v>
      </c>
      <c r="E289" s="22" t="s">
        <v>81</v>
      </c>
      <c r="F289" s="22" t="s">
        <v>107</v>
      </c>
      <c r="G289" s="22" t="s">
        <v>59</v>
      </c>
      <c r="H289" s="22" t="s">
        <v>96</v>
      </c>
      <c r="I289" s="22"/>
      <c r="J289" s="22" t="s">
        <v>61</v>
      </c>
      <c r="K289" s="22" t="s">
        <v>2640</v>
      </c>
      <c r="L289" s="22" t="s">
        <v>62</v>
      </c>
      <c r="M289" s="22" t="s">
        <v>63</v>
      </c>
      <c r="N289" s="22" t="s">
        <v>2641</v>
      </c>
      <c r="O289" s="22" t="s">
        <v>2642</v>
      </c>
      <c r="P289" s="22" t="s">
        <v>2643</v>
      </c>
      <c r="Q289" s="22" t="s">
        <v>2644</v>
      </c>
      <c r="R289" s="22" t="s">
        <v>2645</v>
      </c>
      <c r="S289" s="22" t="s">
        <v>61</v>
      </c>
      <c r="T289" s="22"/>
      <c r="U289" s="22" t="s">
        <v>1411</v>
      </c>
      <c r="V289" s="22" t="s">
        <v>70</v>
      </c>
      <c r="W289" s="22" t="s">
        <v>71</v>
      </c>
      <c r="X289" s="25" t="n">
        <v>44562</v>
      </c>
      <c r="Y289" s="25" t="n">
        <v>46388</v>
      </c>
      <c r="Z289" s="22" t="s">
        <v>72</v>
      </c>
      <c r="AA289" s="22" t="s">
        <v>91</v>
      </c>
      <c r="AB289" s="22" t="s">
        <v>74</v>
      </c>
      <c r="AC289" s="22"/>
      <c r="AD289" s="22" t="n">
        <v>0</v>
      </c>
      <c r="AE289" s="22"/>
      <c r="AF289" s="22"/>
      <c r="AG289" s="22" t="s">
        <v>75</v>
      </c>
      <c r="AH289" s="22"/>
      <c r="AI289" s="22" t="n">
        <v>10</v>
      </c>
      <c r="AJ289" s="22" t="n">
        <v>30</v>
      </c>
      <c r="AK289" s="22" t="s">
        <v>61</v>
      </c>
      <c r="AL289" s="26" t="n">
        <v>37546</v>
      </c>
      <c r="AM289" s="26" t="n">
        <v>45001.5945668634</v>
      </c>
      <c r="AN289" s="25" t="n">
        <v>45001.5983912037</v>
      </c>
      <c r="AO289" s="22" t="n">
        <v>5</v>
      </c>
      <c r="AP289" s="22" t="n">
        <v>40</v>
      </c>
      <c r="AQ289" s="22" t="s">
        <v>1</v>
      </c>
      <c r="AR289" s="27" t="s">
        <v>523</v>
      </c>
      <c r="AS289" s="27" t="s">
        <v>206</v>
      </c>
      <c r="AT289" s="47" t="n">
        <v>45056.4791666667</v>
      </c>
      <c r="AU289" s="27" t="s">
        <v>220</v>
      </c>
      <c r="AV289" s="27"/>
      <c r="AW289" s="27"/>
      <c r="AX289" s="27"/>
      <c r="AY289" s="27"/>
    </row>
    <row r="290" customFormat="false" ht="15.75" hidden="false" customHeight="true" outlineLevel="0" collapsed="false">
      <c r="A290" s="22" t="n">
        <v>286</v>
      </c>
      <c r="B290" s="23" t="s">
        <v>2646</v>
      </c>
      <c r="C290" s="22"/>
      <c r="D290" s="22" t="s">
        <v>2647</v>
      </c>
      <c r="E290" s="22" t="s">
        <v>81</v>
      </c>
      <c r="F290" s="22" t="s">
        <v>107</v>
      </c>
      <c r="G290" s="22" t="s">
        <v>59</v>
      </c>
      <c r="H290" s="22" t="s">
        <v>60</v>
      </c>
      <c r="I290" s="22"/>
      <c r="J290" s="22" t="s">
        <v>61</v>
      </c>
      <c r="K290" s="22" t="s">
        <v>2648</v>
      </c>
      <c r="L290" s="22" t="s">
        <v>62</v>
      </c>
      <c r="M290" s="22" t="s">
        <v>63</v>
      </c>
      <c r="N290" s="22" t="s">
        <v>2649</v>
      </c>
      <c r="O290" s="22" t="s">
        <v>2650</v>
      </c>
      <c r="P290" s="22" t="s">
        <v>2651</v>
      </c>
      <c r="Q290" s="22"/>
      <c r="R290" s="22" t="s">
        <v>2652</v>
      </c>
      <c r="S290" s="22" t="s">
        <v>61</v>
      </c>
      <c r="T290" s="22"/>
      <c r="U290" s="22" t="s">
        <v>183</v>
      </c>
      <c r="V290" s="22" t="s">
        <v>70</v>
      </c>
      <c r="W290" s="22" t="s">
        <v>71</v>
      </c>
      <c r="X290" s="25" t="n">
        <v>44228</v>
      </c>
      <c r="Y290" s="25" t="n">
        <v>45992</v>
      </c>
      <c r="Z290" s="22" t="s">
        <v>72</v>
      </c>
      <c r="AA290" s="22" t="s">
        <v>149</v>
      </c>
      <c r="AB290" s="22" t="s">
        <v>74</v>
      </c>
      <c r="AC290" s="22"/>
      <c r="AD290" s="22" t="n">
        <v>0</v>
      </c>
      <c r="AE290" s="22"/>
      <c r="AF290" s="22"/>
      <c r="AG290" s="22" t="s">
        <v>75</v>
      </c>
      <c r="AH290" s="22"/>
      <c r="AI290" s="22" t="n">
        <v>10</v>
      </c>
      <c r="AJ290" s="22" t="n">
        <v>30</v>
      </c>
      <c r="AK290" s="22" t="s">
        <v>61</v>
      </c>
      <c r="AL290" s="26" t="n">
        <v>37556</v>
      </c>
      <c r="AM290" s="26" t="n">
        <v>45000.9397414815</v>
      </c>
      <c r="AN290" s="25" t="n">
        <v>45001.8335763889</v>
      </c>
      <c r="AO290" s="22" t="n">
        <v>5</v>
      </c>
      <c r="AP290" s="22" t="n">
        <v>40</v>
      </c>
      <c r="AQ290" s="22" t="s">
        <v>0</v>
      </c>
      <c r="AR290" s="27" t="s">
        <v>523</v>
      </c>
      <c r="AS290" s="42" t="s">
        <v>78</v>
      </c>
      <c r="AT290" s="27"/>
      <c r="AU290" s="27"/>
      <c r="AV290" s="27"/>
      <c r="AW290" s="27"/>
      <c r="AX290" s="27"/>
      <c r="AY290" s="27"/>
    </row>
    <row r="291" customFormat="false" ht="15.75" hidden="false" customHeight="true" outlineLevel="0" collapsed="false">
      <c r="A291" s="22" t="n">
        <v>287</v>
      </c>
      <c r="B291" s="23" t="s">
        <v>2653</v>
      </c>
      <c r="C291" s="22" t="s">
        <v>2654</v>
      </c>
      <c r="D291" s="22" t="s">
        <v>2655</v>
      </c>
      <c r="E291" s="22" t="s">
        <v>57</v>
      </c>
      <c r="F291" s="22" t="s">
        <v>107</v>
      </c>
      <c r="G291" s="22" t="s">
        <v>59</v>
      </c>
      <c r="H291" s="22" t="s">
        <v>96</v>
      </c>
      <c r="I291" s="22"/>
      <c r="J291" s="22" t="s">
        <v>61</v>
      </c>
      <c r="K291" s="22" t="s">
        <v>2656</v>
      </c>
      <c r="L291" s="22" t="s">
        <v>62</v>
      </c>
      <c r="M291" s="22" t="s">
        <v>63</v>
      </c>
      <c r="N291" s="22" t="s">
        <v>2657</v>
      </c>
      <c r="O291" s="22" t="s">
        <v>2005</v>
      </c>
      <c r="P291" s="22" t="s">
        <v>2658</v>
      </c>
      <c r="Q291" s="22"/>
      <c r="R291" s="22" t="s">
        <v>2659</v>
      </c>
      <c r="S291" s="22" t="s">
        <v>61</v>
      </c>
      <c r="T291" s="22"/>
      <c r="U291" s="22" t="s">
        <v>906</v>
      </c>
      <c r="V291" s="22" t="s">
        <v>70</v>
      </c>
      <c r="W291" s="22" t="s">
        <v>71</v>
      </c>
      <c r="X291" s="25" t="n">
        <v>43831</v>
      </c>
      <c r="Y291" s="25" t="n">
        <v>45627</v>
      </c>
      <c r="Z291" s="22" t="s">
        <v>72</v>
      </c>
      <c r="AA291" s="22" t="s">
        <v>91</v>
      </c>
      <c r="AB291" s="22" t="s">
        <v>74</v>
      </c>
      <c r="AC291" s="22"/>
      <c r="AD291" s="22" t="n">
        <v>0</v>
      </c>
      <c r="AE291" s="22"/>
      <c r="AF291" s="22"/>
      <c r="AG291" s="22" t="s">
        <v>75</v>
      </c>
      <c r="AH291" s="22"/>
      <c r="AI291" s="22" t="n">
        <v>10</v>
      </c>
      <c r="AJ291" s="22" t="n">
        <v>30</v>
      </c>
      <c r="AK291" s="22" t="s">
        <v>61</v>
      </c>
      <c r="AL291" s="26" t="n">
        <v>37558</v>
      </c>
      <c r="AM291" s="26" t="n">
        <v>45002.5938094097</v>
      </c>
      <c r="AN291" s="25" t="n">
        <v>45002.5971296296</v>
      </c>
      <c r="AO291" s="22" t="n">
        <v>7</v>
      </c>
      <c r="AP291" s="22" t="n">
        <v>40</v>
      </c>
      <c r="AQ291" s="22" t="s">
        <v>1</v>
      </c>
      <c r="AR291" s="36" t="s">
        <v>595</v>
      </c>
      <c r="AS291" s="27" t="s">
        <v>563</v>
      </c>
      <c r="AT291" s="47" t="n">
        <v>45056.4791666667</v>
      </c>
      <c r="AU291" s="27" t="s">
        <v>220</v>
      </c>
      <c r="AV291" s="27"/>
      <c r="AW291" s="27"/>
      <c r="AX291" s="27"/>
      <c r="AY291" s="27"/>
    </row>
    <row r="292" customFormat="false" ht="15.75" hidden="false" customHeight="true" outlineLevel="0" collapsed="false">
      <c r="A292" s="22" t="n">
        <v>288</v>
      </c>
      <c r="B292" s="23" t="s">
        <v>2660</v>
      </c>
      <c r="C292" s="22" t="s">
        <v>2661</v>
      </c>
      <c r="D292" s="22" t="s">
        <v>2662</v>
      </c>
      <c r="E292" s="22" t="s">
        <v>81</v>
      </c>
      <c r="F292" s="22" t="s">
        <v>107</v>
      </c>
      <c r="G292" s="22" t="s">
        <v>59</v>
      </c>
      <c r="H292" s="22" t="s">
        <v>96</v>
      </c>
      <c r="I292" s="22"/>
      <c r="J292" s="22" t="s">
        <v>61</v>
      </c>
      <c r="K292" s="22" t="s">
        <v>2663</v>
      </c>
      <c r="L292" s="22" t="s">
        <v>62</v>
      </c>
      <c r="M292" s="22" t="s">
        <v>63</v>
      </c>
      <c r="N292" s="22" t="s">
        <v>2664</v>
      </c>
      <c r="O292" s="22" t="s">
        <v>2049</v>
      </c>
      <c r="P292" s="22" t="s">
        <v>2665</v>
      </c>
      <c r="Q292" s="22"/>
      <c r="R292" s="22" t="s">
        <v>2666</v>
      </c>
      <c r="S292" s="22" t="s">
        <v>61</v>
      </c>
      <c r="T292" s="22"/>
      <c r="U292" s="22" t="s">
        <v>241</v>
      </c>
      <c r="V292" s="22" t="s">
        <v>70</v>
      </c>
      <c r="W292" s="22" t="s">
        <v>71</v>
      </c>
      <c r="X292" s="25" t="n">
        <v>44228</v>
      </c>
      <c r="Y292" s="25" t="n">
        <v>45992</v>
      </c>
      <c r="Z292" s="22" t="s">
        <v>72</v>
      </c>
      <c r="AA292" s="22" t="s">
        <v>91</v>
      </c>
      <c r="AB292" s="22" t="s">
        <v>74</v>
      </c>
      <c r="AC292" s="22"/>
      <c r="AD292" s="22" t="n">
        <v>0</v>
      </c>
      <c r="AE292" s="22"/>
      <c r="AF292" s="22"/>
      <c r="AG292" s="22" t="s">
        <v>75</v>
      </c>
      <c r="AH292" s="22"/>
      <c r="AI292" s="22" t="n">
        <v>10</v>
      </c>
      <c r="AJ292" s="22" t="n">
        <v>30</v>
      </c>
      <c r="AK292" s="22" t="s">
        <v>76</v>
      </c>
      <c r="AL292" s="26" t="n">
        <v>37560</v>
      </c>
      <c r="AM292" s="26" t="n">
        <v>45000.6942404977</v>
      </c>
      <c r="AN292" s="25" t="n">
        <v>45000.6961921296</v>
      </c>
      <c r="AO292" s="22" t="n">
        <v>5</v>
      </c>
      <c r="AP292" s="22" t="n">
        <v>40</v>
      </c>
      <c r="AQ292" s="22" t="s">
        <v>0</v>
      </c>
      <c r="AR292" s="27" t="s">
        <v>523</v>
      </c>
      <c r="AS292" s="42" t="s">
        <v>78</v>
      </c>
      <c r="AT292" s="27"/>
      <c r="AU292" s="27"/>
      <c r="AV292" s="27"/>
      <c r="AW292" s="27"/>
      <c r="AX292" s="27"/>
      <c r="AY292" s="27"/>
    </row>
    <row r="293" customFormat="false" ht="15.75" hidden="false" customHeight="true" outlineLevel="0" collapsed="false">
      <c r="A293" s="22" t="n">
        <v>289</v>
      </c>
      <c r="B293" s="23" t="s">
        <v>2667</v>
      </c>
      <c r="C293" s="22" t="s">
        <v>2668</v>
      </c>
      <c r="D293" s="22" t="s">
        <v>2669</v>
      </c>
      <c r="E293" s="22" t="s">
        <v>81</v>
      </c>
      <c r="F293" s="22" t="s">
        <v>107</v>
      </c>
      <c r="G293" s="22" t="s">
        <v>2670</v>
      </c>
      <c r="H293" s="22" t="s">
        <v>156</v>
      </c>
      <c r="I293" s="22"/>
      <c r="J293" s="22" t="s">
        <v>61</v>
      </c>
      <c r="K293" s="22" t="s">
        <v>2671</v>
      </c>
      <c r="L293" s="22" t="s">
        <v>62</v>
      </c>
      <c r="M293" s="22" t="s">
        <v>84</v>
      </c>
      <c r="N293" s="22" t="s">
        <v>2672</v>
      </c>
      <c r="O293" s="22" t="s">
        <v>2673</v>
      </c>
      <c r="P293" s="22" t="s">
        <v>2674</v>
      </c>
      <c r="Q293" s="22"/>
      <c r="R293" s="22" t="s">
        <v>2675</v>
      </c>
      <c r="S293" s="22" t="s">
        <v>61</v>
      </c>
      <c r="T293" s="22"/>
      <c r="U293" s="22" t="s">
        <v>183</v>
      </c>
      <c r="V293" s="22" t="s">
        <v>70</v>
      </c>
      <c r="W293" s="22" t="s">
        <v>71</v>
      </c>
      <c r="X293" s="25" t="n">
        <v>44044</v>
      </c>
      <c r="Y293" s="25" t="n">
        <v>45809</v>
      </c>
      <c r="Z293" s="22" t="s">
        <v>72</v>
      </c>
      <c r="AA293" s="22" t="s">
        <v>91</v>
      </c>
      <c r="AB293" s="22" t="s">
        <v>74</v>
      </c>
      <c r="AC293" s="22"/>
      <c r="AD293" s="22" t="n">
        <v>0</v>
      </c>
      <c r="AE293" s="22"/>
      <c r="AF293" s="22"/>
      <c r="AG293" s="22" t="s">
        <v>75</v>
      </c>
      <c r="AH293" s="22"/>
      <c r="AI293" s="22" t="n">
        <v>10</v>
      </c>
      <c r="AJ293" s="22" t="n">
        <v>30</v>
      </c>
      <c r="AK293" s="22" t="s">
        <v>76</v>
      </c>
      <c r="AL293" s="26" t="n">
        <v>37566</v>
      </c>
      <c r="AM293" s="26" t="n">
        <v>45006.7945154282</v>
      </c>
      <c r="AN293" s="25" t="n">
        <v>45006.7974074074</v>
      </c>
      <c r="AO293" s="22" t="n">
        <v>6</v>
      </c>
      <c r="AP293" s="22" t="n">
        <v>40</v>
      </c>
      <c r="AQ293" s="22" t="s">
        <v>0</v>
      </c>
      <c r="AR293" s="52" t="s">
        <v>523</v>
      </c>
      <c r="AS293" s="42" t="s">
        <v>78</v>
      </c>
      <c r="AT293" s="27"/>
      <c r="AU293" s="27"/>
      <c r="AV293" s="27"/>
      <c r="AW293" s="27"/>
      <c r="AX293" s="27"/>
      <c r="AY293" s="27"/>
    </row>
    <row r="294" customFormat="false" ht="15.75" hidden="false" customHeight="true" outlineLevel="0" collapsed="false">
      <c r="A294" s="22" t="n">
        <v>290</v>
      </c>
      <c r="B294" s="23" t="s">
        <v>2676</v>
      </c>
      <c r="C294" s="22"/>
      <c r="D294" s="22" t="s">
        <v>2677</v>
      </c>
      <c r="E294" s="22" t="s">
        <v>81</v>
      </c>
      <c r="F294" s="22" t="s">
        <v>107</v>
      </c>
      <c r="G294" s="22" t="s">
        <v>59</v>
      </c>
      <c r="H294" s="22" t="s">
        <v>96</v>
      </c>
      <c r="I294" s="22"/>
      <c r="J294" s="22" t="s">
        <v>61</v>
      </c>
      <c r="K294" s="22" t="s">
        <v>1940</v>
      </c>
      <c r="L294" s="22" t="s">
        <v>62</v>
      </c>
      <c r="M294" s="22" t="s">
        <v>63</v>
      </c>
      <c r="N294" s="22" t="s">
        <v>2678</v>
      </c>
      <c r="O294" s="22" t="s">
        <v>449</v>
      </c>
      <c r="P294" s="22" t="s">
        <v>2679</v>
      </c>
      <c r="Q294" s="22"/>
      <c r="R294" s="22" t="s">
        <v>2680</v>
      </c>
      <c r="S294" s="22" t="s">
        <v>61</v>
      </c>
      <c r="T294" s="22"/>
      <c r="U294" s="22" t="s">
        <v>2681</v>
      </c>
      <c r="V294" s="22" t="s">
        <v>70</v>
      </c>
      <c r="W294" s="22" t="s">
        <v>71</v>
      </c>
      <c r="X294" s="25" t="n">
        <v>44348</v>
      </c>
      <c r="Y294" s="25" t="n">
        <v>45992</v>
      </c>
      <c r="Z294" s="22" t="s">
        <v>72</v>
      </c>
      <c r="AA294" s="22" t="s">
        <v>149</v>
      </c>
      <c r="AB294" s="22" t="s">
        <v>74</v>
      </c>
      <c r="AC294" s="22"/>
      <c r="AD294" s="22" t="n">
        <v>0</v>
      </c>
      <c r="AE294" s="22"/>
      <c r="AF294" s="22"/>
      <c r="AG294" s="22" t="s">
        <v>75</v>
      </c>
      <c r="AH294" s="22"/>
      <c r="AI294" s="22" t="n">
        <v>10</v>
      </c>
      <c r="AJ294" s="22" t="n">
        <v>30</v>
      </c>
      <c r="AK294" s="22" t="s">
        <v>76</v>
      </c>
      <c r="AL294" s="26" t="n">
        <v>37571</v>
      </c>
      <c r="AM294" s="26" t="n">
        <v>45004.4452078935</v>
      </c>
      <c r="AN294" s="25" t="n">
        <v>45007.5819444444</v>
      </c>
      <c r="AO294" s="22" t="n">
        <v>5</v>
      </c>
      <c r="AP294" s="22" t="n">
        <v>40</v>
      </c>
      <c r="AQ294" s="22" t="s">
        <v>0</v>
      </c>
      <c r="AR294" s="27" t="s">
        <v>523</v>
      </c>
      <c r="AS294" s="27" t="s">
        <v>78</v>
      </c>
      <c r="AT294" s="27"/>
      <c r="AU294" s="27"/>
      <c r="AV294" s="27"/>
      <c r="AW294" s="27"/>
      <c r="AX294" s="27"/>
      <c r="AY294" s="27"/>
    </row>
    <row r="295" customFormat="false" ht="15.75" hidden="false" customHeight="true" outlineLevel="0" collapsed="false">
      <c r="A295" s="22" t="n">
        <v>291</v>
      </c>
      <c r="B295" s="23" t="s">
        <v>2682</v>
      </c>
      <c r="C295" s="22"/>
      <c r="D295" s="22" t="s">
        <v>2683</v>
      </c>
      <c r="E295" s="22" t="s">
        <v>57</v>
      </c>
      <c r="F295" s="22" t="s">
        <v>107</v>
      </c>
      <c r="G295" s="22" t="s">
        <v>59</v>
      </c>
      <c r="H295" s="22" t="s">
        <v>60</v>
      </c>
      <c r="I295" s="22"/>
      <c r="J295" s="22" t="s">
        <v>61</v>
      </c>
      <c r="K295" s="22" t="s">
        <v>2684</v>
      </c>
      <c r="L295" s="22" t="s">
        <v>62</v>
      </c>
      <c r="M295" s="22" t="s">
        <v>2176</v>
      </c>
      <c r="N295" s="22" t="s">
        <v>2685</v>
      </c>
      <c r="O295" s="22" t="s">
        <v>2686</v>
      </c>
      <c r="P295" s="22" t="s">
        <v>2687</v>
      </c>
      <c r="Q295" s="22"/>
      <c r="R295" s="22" t="s">
        <v>2688</v>
      </c>
      <c r="S295" s="22" t="s">
        <v>61</v>
      </c>
      <c r="T295" s="22"/>
      <c r="U295" s="22" t="s">
        <v>2181</v>
      </c>
      <c r="V295" s="22" t="s">
        <v>70</v>
      </c>
      <c r="W295" s="22" t="s">
        <v>71</v>
      </c>
      <c r="X295" s="25" t="n">
        <v>43831</v>
      </c>
      <c r="Y295" s="25" t="n">
        <v>45627</v>
      </c>
      <c r="Z295" s="22" t="s">
        <v>72</v>
      </c>
      <c r="AA295" s="22" t="s">
        <v>91</v>
      </c>
      <c r="AB295" s="22" t="s">
        <v>74</v>
      </c>
      <c r="AC295" s="22"/>
      <c r="AD295" s="22" t="n">
        <v>0</v>
      </c>
      <c r="AE295" s="22"/>
      <c r="AF295" s="22"/>
      <c r="AG295" s="22" t="s">
        <v>75</v>
      </c>
      <c r="AH295" s="22"/>
      <c r="AI295" s="22" t="n">
        <v>10</v>
      </c>
      <c r="AJ295" s="22" t="n">
        <v>30</v>
      </c>
      <c r="AK295" s="22" t="s">
        <v>61</v>
      </c>
      <c r="AL295" s="26" t="n">
        <v>37593</v>
      </c>
      <c r="AM295" s="26" t="n">
        <v>45002.5672325232</v>
      </c>
      <c r="AN295" s="25" t="n">
        <v>45002.5694212963</v>
      </c>
      <c r="AO295" s="22" t="n">
        <v>7</v>
      </c>
      <c r="AP295" s="22" t="n">
        <v>40</v>
      </c>
      <c r="AQ295" s="22" t="s">
        <v>1</v>
      </c>
      <c r="AR295" s="27" t="s">
        <v>523</v>
      </c>
      <c r="AS295" s="27" t="s">
        <v>206</v>
      </c>
      <c r="AT295" s="47" t="n">
        <v>45056.4791666667</v>
      </c>
      <c r="AU295" s="27" t="s">
        <v>2689</v>
      </c>
      <c r="AV295" s="27"/>
      <c r="AW295" s="27"/>
      <c r="AX295" s="27"/>
      <c r="AY295" s="27"/>
    </row>
    <row r="296" customFormat="false" ht="15.75" hidden="false" customHeight="true" outlineLevel="0" collapsed="false">
      <c r="A296" s="22" t="n">
        <v>292</v>
      </c>
      <c r="B296" s="23" t="s">
        <v>2690</v>
      </c>
      <c r="C296" s="22"/>
      <c r="D296" s="22" t="s">
        <v>2691</v>
      </c>
      <c r="E296" s="22" t="s">
        <v>81</v>
      </c>
      <c r="F296" s="22" t="s">
        <v>107</v>
      </c>
      <c r="G296" s="22" t="s">
        <v>59</v>
      </c>
      <c r="H296" s="22" t="s">
        <v>60</v>
      </c>
      <c r="I296" s="22"/>
      <c r="J296" s="22" t="s">
        <v>61</v>
      </c>
      <c r="K296" s="22" t="s">
        <v>2692</v>
      </c>
      <c r="L296" s="22" t="s">
        <v>62</v>
      </c>
      <c r="M296" s="22" t="s">
        <v>63</v>
      </c>
      <c r="N296" s="22" t="s">
        <v>2693</v>
      </c>
      <c r="O296" s="22" t="s">
        <v>1261</v>
      </c>
      <c r="P296" s="22" t="s">
        <v>2694</v>
      </c>
      <c r="Q296" s="22"/>
      <c r="R296" s="22" t="s">
        <v>2695</v>
      </c>
      <c r="S296" s="22" t="s">
        <v>61</v>
      </c>
      <c r="T296" s="22"/>
      <c r="U296" s="22" t="s">
        <v>2696</v>
      </c>
      <c r="V296" s="22" t="s">
        <v>70</v>
      </c>
      <c r="W296" s="22" t="s">
        <v>71</v>
      </c>
      <c r="X296" s="25" t="n">
        <v>44197</v>
      </c>
      <c r="Y296" s="25" t="n">
        <v>45992</v>
      </c>
      <c r="Z296" s="22" t="s">
        <v>72</v>
      </c>
      <c r="AA296" s="22" t="s">
        <v>149</v>
      </c>
      <c r="AB296" s="22" t="s">
        <v>74</v>
      </c>
      <c r="AC296" s="22"/>
      <c r="AD296" s="22" t="n">
        <v>0</v>
      </c>
      <c r="AE296" s="22"/>
      <c r="AF296" s="22"/>
      <c r="AG296" s="22" t="s">
        <v>75</v>
      </c>
      <c r="AH296" s="22"/>
      <c r="AI296" s="22" t="n">
        <v>10</v>
      </c>
      <c r="AJ296" s="22" t="n">
        <v>30</v>
      </c>
      <c r="AK296" s="22" t="s">
        <v>61</v>
      </c>
      <c r="AL296" s="26" t="n">
        <v>37596</v>
      </c>
      <c r="AM296" s="26" t="n">
        <v>45006.4006146412</v>
      </c>
      <c r="AN296" s="25" t="n">
        <v>45007.7951851852</v>
      </c>
      <c r="AO296" s="22" t="n">
        <v>5</v>
      </c>
      <c r="AP296" s="22" t="n">
        <v>40</v>
      </c>
      <c r="AQ296" s="22" t="s">
        <v>0</v>
      </c>
      <c r="AR296" s="36" t="s">
        <v>1165</v>
      </c>
      <c r="AS296" s="27" t="s">
        <v>78</v>
      </c>
      <c r="AT296" s="27"/>
      <c r="AU296" s="27"/>
      <c r="AV296" s="27"/>
      <c r="AW296" s="27"/>
      <c r="AX296" s="27"/>
      <c r="AY296" s="27"/>
    </row>
    <row r="297" customFormat="false" ht="15.75" hidden="false" customHeight="true" outlineLevel="0" collapsed="false">
      <c r="A297" s="22" t="n">
        <v>293</v>
      </c>
      <c r="B297" s="23" t="s">
        <v>2697</v>
      </c>
      <c r="C297" s="22"/>
      <c r="D297" s="22" t="s">
        <v>2698</v>
      </c>
      <c r="E297" s="22" t="s">
        <v>57</v>
      </c>
      <c r="F297" s="22" t="s">
        <v>107</v>
      </c>
      <c r="G297" s="22" t="s">
        <v>59</v>
      </c>
      <c r="H297" s="22" t="s">
        <v>96</v>
      </c>
      <c r="I297" s="22"/>
      <c r="J297" s="22" t="s">
        <v>61</v>
      </c>
      <c r="K297" s="22" t="s">
        <v>2699</v>
      </c>
      <c r="L297" s="22" t="s">
        <v>62</v>
      </c>
      <c r="M297" s="22" t="s">
        <v>84</v>
      </c>
      <c r="N297" s="22" t="s">
        <v>2700</v>
      </c>
      <c r="O297" s="22" t="s">
        <v>1580</v>
      </c>
      <c r="P297" s="22" t="s">
        <v>2701</v>
      </c>
      <c r="Q297" s="22" t="s">
        <v>2702</v>
      </c>
      <c r="R297" s="22" t="s">
        <v>2703</v>
      </c>
      <c r="S297" s="22" t="s">
        <v>61</v>
      </c>
      <c r="T297" s="22"/>
      <c r="U297" s="22" t="s">
        <v>2704</v>
      </c>
      <c r="V297" s="22" t="s">
        <v>70</v>
      </c>
      <c r="W297" s="22" t="s">
        <v>71</v>
      </c>
      <c r="X297" s="25" t="n">
        <v>44409</v>
      </c>
      <c r="Y297" s="25" t="n">
        <v>46357</v>
      </c>
      <c r="Z297" s="22" t="s">
        <v>72</v>
      </c>
      <c r="AA297" s="22" t="s">
        <v>149</v>
      </c>
      <c r="AB297" s="22" t="s">
        <v>74</v>
      </c>
      <c r="AC297" s="22"/>
      <c r="AD297" s="22" t="n">
        <v>0</v>
      </c>
      <c r="AE297" s="22"/>
      <c r="AF297" s="22"/>
      <c r="AG297" s="22" t="s">
        <v>75</v>
      </c>
      <c r="AH297" s="22"/>
      <c r="AI297" s="22" t="n">
        <v>10</v>
      </c>
      <c r="AJ297" s="22" t="n">
        <v>30</v>
      </c>
      <c r="AK297" s="22" t="s">
        <v>61</v>
      </c>
      <c r="AL297" s="26" t="n">
        <v>37600</v>
      </c>
      <c r="AM297" s="26" t="n">
        <v>45001.3628569907</v>
      </c>
      <c r="AN297" s="25" t="n">
        <v>45004.4592708333</v>
      </c>
      <c r="AO297" s="22" t="n">
        <v>5</v>
      </c>
      <c r="AP297" s="22" t="n">
        <v>40</v>
      </c>
      <c r="AQ297" s="22" t="s">
        <v>0</v>
      </c>
      <c r="AR297" s="27" t="s">
        <v>523</v>
      </c>
      <c r="AS297" s="27" t="s">
        <v>78</v>
      </c>
      <c r="AT297" s="27"/>
      <c r="AU297" s="27"/>
      <c r="AV297" s="27"/>
      <c r="AW297" s="27"/>
      <c r="AX297" s="27"/>
      <c r="AY297" s="27"/>
    </row>
    <row r="298" customFormat="false" ht="15.75" hidden="false" customHeight="true" outlineLevel="0" collapsed="false">
      <c r="A298" s="22" t="n">
        <v>294</v>
      </c>
      <c r="B298" s="23" t="s">
        <v>2705</v>
      </c>
      <c r="C298" s="22" t="s">
        <v>2706</v>
      </c>
      <c r="D298" s="22" t="s">
        <v>2707</v>
      </c>
      <c r="E298" s="22" t="s">
        <v>57</v>
      </c>
      <c r="F298" s="22" t="s">
        <v>107</v>
      </c>
      <c r="G298" s="22" t="s">
        <v>59</v>
      </c>
      <c r="H298" s="22" t="s">
        <v>60</v>
      </c>
      <c r="I298" s="22"/>
      <c r="J298" s="22" t="s">
        <v>61</v>
      </c>
      <c r="K298" s="22" t="s">
        <v>2708</v>
      </c>
      <c r="L298" s="22" t="s">
        <v>62</v>
      </c>
      <c r="M298" s="22" t="s">
        <v>84</v>
      </c>
      <c r="N298" s="22" t="s">
        <v>2709</v>
      </c>
      <c r="O298" s="22" t="s">
        <v>2710</v>
      </c>
      <c r="P298" s="22" t="s">
        <v>2711</v>
      </c>
      <c r="Q298" s="22" t="s">
        <v>2712</v>
      </c>
      <c r="R298" s="22" t="s">
        <v>2713</v>
      </c>
      <c r="S298" s="22" t="s">
        <v>61</v>
      </c>
      <c r="T298" s="22"/>
      <c r="U298" s="22" t="s">
        <v>2714</v>
      </c>
      <c r="V298" s="22" t="s">
        <v>70</v>
      </c>
      <c r="W298" s="22" t="s">
        <v>71</v>
      </c>
      <c r="X298" s="25" t="n">
        <v>44287</v>
      </c>
      <c r="Y298" s="25" t="n">
        <v>45992</v>
      </c>
      <c r="Z298" s="22" t="s">
        <v>72</v>
      </c>
      <c r="AA298" s="22" t="s">
        <v>91</v>
      </c>
      <c r="AB298" s="22" t="s">
        <v>74</v>
      </c>
      <c r="AC298" s="22"/>
      <c r="AD298" s="22" t="n">
        <v>0</v>
      </c>
      <c r="AE298" s="22"/>
      <c r="AF298" s="22"/>
      <c r="AG298" s="22" t="s">
        <v>75</v>
      </c>
      <c r="AH298" s="22"/>
      <c r="AI298" s="22" t="n">
        <v>10</v>
      </c>
      <c r="AJ298" s="22" t="n">
        <v>30</v>
      </c>
      <c r="AK298" s="22" t="s">
        <v>61</v>
      </c>
      <c r="AL298" s="26" t="n">
        <v>37600</v>
      </c>
      <c r="AM298" s="26" t="n">
        <v>45006.8929127894</v>
      </c>
      <c r="AN298" s="25" t="n">
        <v>45008.6784259259</v>
      </c>
      <c r="AO298" s="22" t="n">
        <v>5</v>
      </c>
      <c r="AP298" s="22" t="n">
        <v>40</v>
      </c>
      <c r="AQ298" s="22" t="s">
        <v>0</v>
      </c>
      <c r="AR298" s="27" t="s">
        <v>523</v>
      </c>
      <c r="AS298" s="27" t="s">
        <v>78</v>
      </c>
      <c r="AT298" s="27"/>
      <c r="AU298" s="27"/>
      <c r="AV298" s="27"/>
      <c r="AW298" s="27"/>
      <c r="AX298" s="27"/>
      <c r="AY298" s="27"/>
    </row>
    <row r="299" customFormat="false" ht="15.75" hidden="false" customHeight="true" outlineLevel="0" collapsed="false">
      <c r="A299" s="22" t="n">
        <v>295</v>
      </c>
      <c r="B299" s="23" t="s">
        <v>2715</v>
      </c>
      <c r="C299" s="22" t="s">
        <v>2716</v>
      </c>
      <c r="D299" s="22" t="s">
        <v>2717</v>
      </c>
      <c r="E299" s="22" t="s">
        <v>81</v>
      </c>
      <c r="F299" s="22" t="s">
        <v>107</v>
      </c>
      <c r="G299" s="22" t="s">
        <v>59</v>
      </c>
      <c r="H299" s="22" t="s">
        <v>60</v>
      </c>
      <c r="I299" s="22"/>
      <c r="J299" s="22" t="s">
        <v>61</v>
      </c>
      <c r="K299" s="22" t="s">
        <v>2718</v>
      </c>
      <c r="L299" s="22" t="s">
        <v>62</v>
      </c>
      <c r="M299" s="22" t="s">
        <v>63</v>
      </c>
      <c r="N299" s="22" t="s">
        <v>2719</v>
      </c>
      <c r="O299" s="22" t="s">
        <v>449</v>
      </c>
      <c r="P299" s="22" t="s">
        <v>2720</v>
      </c>
      <c r="Q299" s="22"/>
      <c r="R299" s="22" t="s">
        <v>2721</v>
      </c>
      <c r="S299" s="22" t="s">
        <v>61</v>
      </c>
      <c r="T299" s="22"/>
      <c r="U299" s="22" t="s">
        <v>2722</v>
      </c>
      <c r="V299" s="22" t="s">
        <v>70</v>
      </c>
      <c r="W299" s="22" t="s">
        <v>71</v>
      </c>
      <c r="X299" s="25" t="n">
        <v>44228</v>
      </c>
      <c r="Y299" s="25" t="n">
        <v>45992</v>
      </c>
      <c r="Z299" s="22" t="s">
        <v>72</v>
      </c>
      <c r="AA299" s="22" t="s">
        <v>149</v>
      </c>
      <c r="AB299" s="22" t="s">
        <v>74</v>
      </c>
      <c r="AC299" s="22"/>
      <c r="AD299" s="22" t="n">
        <v>0</v>
      </c>
      <c r="AE299" s="22"/>
      <c r="AF299" s="22"/>
      <c r="AG299" s="22" t="s">
        <v>75</v>
      </c>
      <c r="AH299" s="22"/>
      <c r="AI299" s="22" t="n">
        <v>10</v>
      </c>
      <c r="AJ299" s="22" t="n">
        <v>30</v>
      </c>
      <c r="AK299" s="22" t="s">
        <v>76</v>
      </c>
      <c r="AL299" s="26" t="n">
        <v>37622</v>
      </c>
      <c r="AM299" s="26" t="n">
        <v>45001.647361412</v>
      </c>
      <c r="AN299" s="25" t="n">
        <v>45001.6490856481</v>
      </c>
      <c r="AO299" s="22" t="n">
        <v>5</v>
      </c>
      <c r="AP299" s="22" t="n">
        <v>40</v>
      </c>
      <c r="AQ299" s="22" t="s">
        <v>0</v>
      </c>
      <c r="AR299" s="27" t="s">
        <v>523</v>
      </c>
      <c r="AS299" s="27" t="s">
        <v>78</v>
      </c>
      <c r="AT299" s="27"/>
      <c r="AU299" s="27"/>
      <c r="AV299" s="27"/>
      <c r="AW299" s="27"/>
      <c r="AX299" s="27"/>
      <c r="AY299" s="27"/>
    </row>
    <row r="300" customFormat="false" ht="15.75" hidden="false" customHeight="true" outlineLevel="0" collapsed="false">
      <c r="A300" s="22" t="n">
        <v>296</v>
      </c>
      <c r="B300" s="23" t="s">
        <v>2723</v>
      </c>
      <c r="C300" s="22"/>
      <c r="D300" s="22" t="s">
        <v>2724</v>
      </c>
      <c r="E300" s="22" t="s">
        <v>81</v>
      </c>
      <c r="F300" s="22" t="s">
        <v>107</v>
      </c>
      <c r="G300" s="22" t="s">
        <v>59</v>
      </c>
      <c r="H300" s="22" t="s">
        <v>60</v>
      </c>
      <c r="I300" s="22"/>
      <c r="J300" s="22" t="s">
        <v>61</v>
      </c>
      <c r="K300" s="22" t="s">
        <v>2725</v>
      </c>
      <c r="L300" s="22" t="s">
        <v>62</v>
      </c>
      <c r="M300" s="22" t="s">
        <v>63</v>
      </c>
      <c r="N300" s="22" t="s">
        <v>2726</v>
      </c>
      <c r="O300" s="22" t="s">
        <v>179</v>
      </c>
      <c r="P300" s="22" t="s">
        <v>2727</v>
      </c>
      <c r="Q300" s="22" t="s">
        <v>2728</v>
      </c>
      <c r="R300" s="22" t="s">
        <v>2729</v>
      </c>
      <c r="S300" s="22" t="s">
        <v>61</v>
      </c>
      <c r="T300" s="22"/>
      <c r="U300" s="22" t="s">
        <v>261</v>
      </c>
      <c r="V300" s="22" t="s">
        <v>70</v>
      </c>
      <c r="W300" s="22" t="s">
        <v>71</v>
      </c>
      <c r="X300" s="25" t="n">
        <v>44409</v>
      </c>
      <c r="Y300" s="25" t="n">
        <v>46174</v>
      </c>
      <c r="Z300" s="22" t="s">
        <v>72</v>
      </c>
      <c r="AA300" s="22" t="s">
        <v>149</v>
      </c>
      <c r="AB300" s="22" t="s">
        <v>74</v>
      </c>
      <c r="AC300" s="22"/>
      <c r="AD300" s="22" t="n">
        <v>0</v>
      </c>
      <c r="AE300" s="22"/>
      <c r="AF300" s="22"/>
      <c r="AG300" s="22" t="s">
        <v>75</v>
      </c>
      <c r="AH300" s="22"/>
      <c r="AI300" s="22" t="n">
        <v>10</v>
      </c>
      <c r="AJ300" s="22" t="n">
        <v>30</v>
      </c>
      <c r="AK300" s="22" t="s">
        <v>76</v>
      </c>
      <c r="AL300" s="26" t="n">
        <v>37626</v>
      </c>
      <c r="AM300" s="26" t="n">
        <v>45007.578147581</v>
      </c>
      <c r="AN300" s="25" t="n">
        <v>45007.9157060185</v>
      </c>
      <c r="AO300" s="22" t="n">
        <v>5</v>
      </c>
      <c r="AP300" s="22" t="n">
        <v>40</v>
      </c>
      <c r="AQ300" s="22" t="s">
        <v>1</v>
      </c>
      <c r="AR300" s="27" t="s">
        <v>523</v>
      </c>
      <c r="AS300" s="27" t="s">
        <v>1599</v>
      </c>
      <c r="AT300" s="48" t="n">
        <v>45056.4791666667</v>
      </c>
      <c r="AU300" s="27" t="s">
        <v>1246</v>
      </c>
      <c r="AV300" s="27"/>
      <c r="AW300" s="27"/>
      <c r="AX300" s="27"/>
      <c r="AY300" s="27"/>
    </row>
    <row r="301" customFormat="false" ht="15.75" hidden="false" customHeight="true" outlineLevel="0" collapsed="false">
      <c r="A301" s="22" t="n">
        <v>297</v>
      </c>
      <c r="B301" s="23" t="s">
        <v>2730</v>
      </c>
      <c r="C301" s="22"/>
      <c r="D301" s="22" t="s">
        <v>2731</v>
      </c>
      <c r="E301" s="22" t="s">
        <v>81</v>
      </c>
      <c r="F301" s="22" t="s">
        <v>107</v>
      </c>
      <c r="G301" s="22" t="s">
        <v>59</v>
      </c>
      <c r="H301" s="22" t="s">
        <v>96</v>
      </c>
      <c r="I301" s="22"/>
      <c r="J301" s="22" t="s">
        <v>61</v>
      </c>
      <c r="K301" s="22" t="s">
        <v>2732</v>
      </c>
      <c r="L301" s="22" t="s">
        <v>62</v>
      </c>
      <c r="M301" s="22" t="s">
        <v>63</v>
      </c>
      <c r="N301" s="22" t="s">
        <v>2733</v>
      </c>
      <c r="O301" s="22" t="s">
        <v>449</v>
      </c>
      <c r="P301" s="22" t="s">
        <v>2734</v>
      </c>
      <c r="Q301" s="22"/>
      <c r="R301" s="22" t="s">
        <v>2735</v>
      </c>
      <c r="S301" s="22" t="s">
        <v>61</v>
      </c>
      <c r="T301" s="22"/>
      <c r="U301" s="22" t="s">
        <v>1923</v>
      </c>
      <c r="V301" s="22" t="s">
        <v>70</v>
      </c>
      <c r="W301" s="22" t="s">
        <v>71</v>
      </c>
      <c r="X301" s="25" t="n">
        <v>44228</v>
      </c>
      <c r="Y301" s="25" t="n">
        <v>45992</v>
      </c>
      <c r="Z301" s="22" t="s">
        <v>72</v>
      </c>
      <c r="AA301" s="22" t="s">
        <v>149</v>
      </c>
      <c r="AB301" s="22" t="s">
        <v>74</v>
      </c>
      <c r="AC301" s="22"/>
      <c r="AD301" s="22" t="n">
        <v>0</v>
      </c>
      <c r="AE301" s="22"/>
      <c r="AF301" s="22"/>
      <c r="AG301" s="22" t="s">
        <v>75</v>
      </c>
      <c r="AH301" s="22"/>
      <c r="AI301" s="22" t="n">
        <v>10</v>
      </c>
      <c r="AJ301" s="22" t="n">
        <v>30</v>
      </c>
      <c r="AK301" s="22" t="s">
        <v>61</v>
      </c>
      <c r="AL301" s="26" t="n">
        <v>37644</v>
      </c>
      <c r="AM301" s="26" t="n">
        <v>45006.8671283449</v>
      </c>
      <c r="AN301" s="25" t="n">
        <v>45008.4534953704</v>
      </c>
      <c r="AO301" s="22" t="n">
        <v>5</v>
      </c>
      <c r="AP301" s="22" t="n">
        <v>40</v>
      </c>
      <c r="AQ301" s="22" t="s">
        <v>1</v>
      </c>
      <c r="AR301" s="52" t="s">
        <v>523</v>
      </c>
      <c r="AS301" s="27" t="s">
        <v>206</v>
      </c>
      <c r="AT301" s="47" t="n">
        <v>45056.4791666667</v>
      </c>
      <c r="AU301" s="27" t="s">
        <v>206</v>
      </c>
      <c r="AV301" s="27"/>
      <c r="AW301" s="27"/>
      <c r="AX301" s="27"/>
      <c r="AY301" s="27"/>
    </row>
    <row r="302" customFormat="false" ht="15.75" hidden="false" customHeight="true" outlineLevel="0" collapsed="false">
      <c r="A302" s="22" t="n">
        <v>298</v>
      </c>
      <c r="B302" s="23" t="s">
        <v>2736</v>
      </c>
      <c r="C302" s="22" t="s">
        <v>2737</v>
      </c>
      <c r="D302" s="22" t="s">
        <v>2738</v>
      </c>
      <c r="E302" s="22" t="s">
        <v>81</v>
      </c>
      <c r="F302" s="22" t="s">
        <v>107</v>
      </c>
      <c r="G302" s="22" t="s">
        <v>59</v>
      </c>
      <c r="H302" s="22" t="s">
        <v>60</v>
      </c>
      <c r="I302" s="22"/>
      <c r="J302" s="22" t="s">
        <v>61</v>
      </c>
      <c r="K302" s="22" t="s">
        <v>2739</v>
      </c>
      <c r="L302" s="22" t="s">
        <v>62</v>
      </c>
      <c r="M302" s="22" t="s">
        <v>63</v>
      </c>
      <c r="N302" s="22" t="s">
        <v>2740</v>
      </c>
      <c r="O302" s="22" t="s">
        <v>1361</v>
      </c>
      <c r="P302" s="22" t="s">
        <v>2741</v>
      </c>
      <c r="Q302" s="22" t="s">
        <v>2742</v>
      </c>
      <c r="R302" s="22" t="s">
        <v>2743</v>
      </c>
      <c r="S302" s="22" t="s">
        <v>61</v>
      </c>
      <c r="T302" s="22"/>
      <c r="U302" s="22" t="s">
        <v>261</v>
      </c>
      <c r="V302" s="22" t="s">
        <v>70</v>
      </c>
      <c r="W302" s="22" t="s">
        <v>71</v>
      </c>
      <c r="X302" s="25" t="n">
        <v>44197</v>
      </c>
      <c r="Y302" s="25" t="n">
        <v>45992</v>
      </c>
      <c r="Z302" s="22" t="s">
        <v>72</v>
      </c>
      <c r="AA302" s="22" t="s">
        <v>91</v>
      </c>
      <c r="AB302" s="22" t="s">
        <v>74</v>
      </c>
      <c r="AC302" s="22"/>
      <c r="AD302" s="22" t="n">
        <v>0</v>
      </c>
      <c r="AE302" s="22"/>
      <c r="AF302" s="22"/>
      <c r="AG302" s="22" t="s">
        <v>75</v>
      </c>
      <c r="AH302" s="22"/>
      <c r="AI302" s="22" t="n">
        <v>10</v>
      </c>
      <c r="AJ302" s="22" t="n">
        <v>30</v>
      </c>
      <c r="AK302" s="22" t="s">
        <v>61</v>
      </c>
      <c r="AL302" s="26" t="n">
        <v>37657</v>
      </c>
      <c r="AM302" s="26" t="n">
        <v>45006.4627166435</v>
      </c>
      <c r="AN302" s="25" t="n">
        <v>45006.4635763889</v>
      </c>
      <c r="AO302" s="22" t="n">
        <v>5</v>
      </c>
      <c r="AP302" s="22" t="n">
        <v>40</v>
      </c>
      <c r="AQ302" s="22" t="s">
        <v>1</v>
      </c>
      <c r="AR302" s="52" t="s">
        <v>523</v>
      </c>
      <c r="AS302" s="27" t="s">
        <v>206</v>
      </c>
      <c r="AT302" s="47" t="n">
        <v>45056.4791666667</v>
      </c>
      <c r="AU302" s="27" t="s">
        <v>206</v>
      </c>
      <c r="AV302" s="27"/>
      <c r="AW302" s="27"/>
      <c r="AX302" s="27"/>
      <c r="AY302" s="27"/>
    </row>
    <row r="303" customFormat="false" ht="15.75" hidden="false" customHeight="true" outlineLevel="0" collapsed="false">
      <c r="A303" s="22" t="n">
        <v>299</v>
      </c>
      <c r="B303" s="23" t="s">
        <v>2744</v>
      </c>
      <c r="C303" s="22" t="s">
        <v>2745</v>
      </c>
      <c r="D303" s="22" t="s">
        <v>2746</v>
      </c>
      <c r="E303" s="22" t="s">
        <v>57</v>
      </c>
      <c r="F303" s="22" t="s">
        <v>107</v>
      </c>
      <c r="G303" s="22" t="s">
        <v>59</v>
      </c>
      <c r="H303" s="22" t="s">
        <v>60</v>
      </c>
      <c r="I303" s="22"/>
      <c r="J303" s="22" t="s">
        <v>61</v>
      </c>
      <c r="K303" s="22" t="s">
        <v>2747</v>
      </c>
      <c r="L303" s="22" t="s">
        <v>62</v>
      </c>
      <c r="M303" s="22" t="s">
        <v>63</v>
      </c>
      <c r="N303" s="22" t="s">
        <v>2748</v>
      </c>
      <c r="O303" s="22" t="s">
        <v>2749</v>
      </c>
      <c r="P303" s="22" t="s">
        <v>2750</v>
      </c>
      <c r="Q303" s="22"/>
      <c r="R303" s="22" t="s">
        <v>2751</v>
      </c>
      <c r="S303" s="22" t="s">
        <v>61</v>
      </c>
      <c r="T303" s="22"/>
      <c r="U303" s="22" t="s">
        <v>672</v>
      </c>
      <c r="V303" s="22" t="s">
        <v>70</v>
      </c>
      <c r="W303" s="22" t="s">
        <v>71</v>
      </c>
      <c r="X303" s="25" t="n">
        <v>44287</v>
      </c>
      <c r="Y303" s="25" t="n">
        <v>45992</v>
      </c>
      <c r="Z303" s="22" t="s">
        <v>72</v>
      </c>
      <c r="AA303" s="22" t="s">
        <v>149</v>
      </c>
      <c r="AB303" s="22" t="s">
        <v>74</v>
      </c>
      <c r="AC303" s="22"/>
      <c r="AD303" s="22" t="n">
        <v>0</v>
      </c>
      <c r="AE303" s="22"/>
      <c r="AF303" s="22"/>
      <c r="AG303" s="22" t="s">
        <v>75</v>
      </c>
      <c r="AH303" s="22"/>
      <c r="AI303" s="22" t="n">
        <v>10</v>
      </c>
      <c r="AJ303" s="22" t="n">
        <v>30</v>
      </c>
      <c r="AK303" s="22" t="s">
        <v>76</v>
      </c>
      <c r="AL303" s="26" t="n">
        <v>37659</v>
      </c>
      <c r="AM303" s="26" t="n">
        <v>45000.898559294</v>
      </c>
      <c r="AN303" s="25" t="n">
        <v>45000.9053240741</v>
      </c>
      <c r="AO303" s="22" t="n">
        <v>5</v>
      </c>
      <c r="AP303" s="22" t="n">
        <v>40</v>
      </c>
      <c r="AQ303" s="22" t="s">
        <v>0</v>
      </c>
      <c r="AR303" s="27" t="s">
        <v>523</v>
      </c>
      <c r="AS303" s="27" t="s">
        <v>78</v>
      </c>
      <c r="AT303" s="27"/>
      <c r="AU303" s="27"/>
      <c r="AV303" s="27"/>
      <c r="AW303" s="27"/>
      <c r="AX303" s="27"/>
      <c r="AY303" s="27"/>
    </row>
    <row r="304" customFormat="false" ht="15.75" hidden="false" customHeight="true" outlineLevel="0" collapsed="false">
      <c r="A304" s="22" t="n">
        <v>300</v>
      </c>
      <c r="B304" s="23" t="s">
        <v>2752</v>
      </c>
      <c r="C304" s="22"/>
      <c r="D304" s="22" t="s">
        <v>2753</v>
      </c>
      <c r="E304" s="22" t="s">
        <v>81</v>
      </c>
      <c r="F304" s="22" t="s">
        <v>107</v>
      </c>
      <c r="G304" s="22" t="s">
        <v>59</v>
      </c>
      <c r="H304" s="22" t="s">
        <v>96</v>
      </c>
      <c r="I304" s="22"/>
      <c r="J304" s="22" t="s">
        <v>61</v>
      </c>
      <c r="K304" s="22" t="s">
        <v>1414</v>
      </c>
      <c r="L304" s="22" t="s">
        <v>62</v>
      </c>
      <c r="M304" s="22" t="s">
        <v>63</v>
      </c>
      <c r="N304" s="22" t="s">
        <v>2754</v>
      </c>
      <c r="O304" s="22" t="s">
        <v>818</v>
      </c>
      <c r="P304" s="22" t="s">
        <v>2755</v>
      </c>
      <c r="Q304" s="22"/>
      <c r="R304" s="22" t="s">
        <v>2756</v>
      </c>
      <c r="S304" s="22" t="s">
        <v>61</v>
      </c>
      <c r="T304" s="22"/>
      <c r="U304" s="22" t="s">
        <v>2124</v>
      </c>
      <c r="V304" s="22" t="s">
        <v>70</v>
      </c>
      <c r="W304" s="22" t="s">
        <v>71</v>
      </c>
      <c r="X304" s="25" t="n">
        <v>44228</v>
      </c>
      <c r="Y304" s="25" t="n">
        <v>45992</v>
      </c>
      <c r="Z304" s="22" t="s">
        <v>72</v>
      </c>
      <c r="AA304" s="22" t="s">
        <v>149</v>
      </c>
      <c r="AB304" s="22" t="s">
        <v>74</v>
      </c>
      <c r="AC304" s="22"/>
      <c r="AD304" s="22" t="n">
        <v>0</v>
      </c>
      <c r="AE304" s="22"/>
      <c r="AF304" s="22"/>
      <c r="AG304" s="22" t="s">
        <v>75</v>
      </c>
      <c r="AH304" s="22"/>
      <c r="AI304" s="22" t="n">
        <v>10</v>
      </c>
      <c r="AJ304" s="22" t="n">
        <v>30</v>
      </c>
      <c r="AK304" s="22" t="s">
        <v>76</v>
      </c>
      <c r="AL304" s="26" t="n">
        <v>37660</v>
      </c>
      <c r="AM304" s="26" t="n">
        <v>45004.8286800579</v>
      </c>
      <c r="AN304" s="25" t="n">
        <v>45004.8295717593</v>
      </c>
      <c r="AO304" s="22" t="n">
        <v>5</v>
      </c>
      <c r="AP304" s="22" t="n">
        <v>40</v>
      </c>
      <c r="AQ304" s="22" t="s">
        <v>0</v>
      </c>
      <c r="AR304" s="27" t="s">
        <v>523</v>
      </c>
      <c r="AS304" s="27" t="s">
        <v>78</v>
      </c>
      <c r="AT304" s="27"/>
      <c r="AU304" s="27"/>
      <c r="AV304" s="27"/>
      <c r="AW304" s="27"/>
      <c r="AX304" s="27"/>
      <c r="AY304" s="27"/>
    </row>
    <row r="305" customFormat="false" ht="15.75" hidden="false" customHeight="true" outlineLevel="0" collapsed="false">
      <c r="A305" s="22" t="n">
        <v>301</v>
      </c>
      <c r="B305" s="23" t="s">
        <v>2757</v>
      </c>
      <c r="C305" s="22"/>
      <c r="D305" s="22" t="s">
        <v>2758</v>
      </c>
      <c r="E305" s="22" t="s">
        <v>81</v>
      </c>
      <c r="F305" s="22" t="s">
        <v>107</v>
      </c>
      <c r="G305" s="22" t="s">
        <v>59</v>
      </c>
      <c r="H305" s="22" t="s">
        <v>96</v>
      </c>
      <c r="I305" s="22"/>
      <c r="J305" s="22" t="s">
        <v>61</v>
      </c>
      <c r="K305" s="22" t="s">
        <v>2759</v>
      </c>
      <c r="L305" s="22" t="s">
        <v>62</v>
      </c>
      <c r="M305" s="22" t="s">
        <v>63</v>
      </c>
      <c r="N305" s="22" t="s">
        <v>2760</v>
      </c>
      <c r="O305" s="22" t="s">
        <v>2761</v>
      </c>
      <c r="P305" s="22" t="s">
        <v>2762</v>
      </c>
      <c r="Q305" s="22" t="s">
        <v>2763</v>
      </c>
      <c r="R305" s="22" t="s">
        <v>2764</v>
      </c>
      <c r="S305" s="22" t="s">
        <v>61</v>
      </c>
      <c r="T305" s="22"/>
      <c r="U305" s="22" t="s">
        <v>1199</v>
      </c>
      <c r="V305" s="22" t="s">
        <v>70</v>
      </c>
      <c r="W305" s="22" t="s">
        <v>71</v>
      </c>
      <c r="X305" s="25" t="n">
        <v>44197</v>
      </c>
      <c r="Y305" s="25" t="n">
        <v>45992</v>
      </c>
      <c r="Z305" s="22" t="s">
        <v>72</v>
      </c>
      <c r="AA305" s="22" t="s">
        <v>149</v>
      </c>
      <c r="AB305" s="22" t="s">
        <v>74</v>
      </c>
      <c r="AC305" s="22"/>
      <c r="AD305" s="22" t="n">
        <v>0</v>
      </c>
      <c r="AE305" s="22"/>
      <c r="AF305" s="22"/>
      <c r="AG305" s="22" t="s">
        <v>75</v>
      </c>
      <c r="AH305" s="22"/>
      <c r="AI305" s="22" t="n">
        <v>10</v>
      </c>
      <c r="AJ305" s="22" t="n">
        <v>30</v>
      </c>
      <c r="AK305" s="22" t="s">
        <v>61</v>
      </c>
      <c r="AL305" s="26" t="n">
        <v>37667</v>
      </c>
      <c r="AM305" s="26" t="n">
        <v>45000.6110381134</v>
      </c>
      <c r="AN305" s="25" t="n">
        <v>45005.8498148148</v>
      </c>
      <c r="AO305" s="22" t="n">
        <v>5</v>
      </c>
      <c r="AP305" s="22" t="n">
        <v>40</v>
      </c>
      <c r="AQ305" s="22" t="s">
        <v>0</v>
      </c>
      <c r="AR305" s="27" t="s">
        <v>523</v>
      </c>
      <c r="AS305" s="27" t="s">
        <v>78</v>
      </c>
      <c r="AT305" s="27"/>
      <c r="AU305" s="27"/>
      <c r="AV305" s="27"/>
      <c r="AW305" s="27"/>
      <c r="AX305" s="27"/>
      <c r="AY305" s="27"/>
    </row>
    <row r="306" customFormat="false" ht="15.75" hidden="false" customHeight="true" outlineLevel="0" collapsed="false">
      <c r="A306" s="22" t="n">
        <v>302</v>
      </c>
      <c r="B306" s="23" t="s">
        <v>2765</v>
      </c>
      <c r="C306" s="22"/>
      <c r="D306" s="22" t="s">
        <v>2766</v>
      </c>
      <c r="E306" s="22" t="s">
        <v>57</v>
      </c>
      <c r="F306" s="22" t="s">
        <v>107</v>
      </c>
      <c r="G306" s="22" t="s">
        <v>59</v>
      </c>
      <c r="H306" s="22" t="s">
        <v>60</v>
      </c>
      <c r="I306" s="22"/>
      <c r="J306" s="22" t="s">
        <v>61</v>
      </c>
      <c r="K306" s="22" t="s">
        <v>2767</v>
      </c>
      <c r="L306" s="22" t="s">
        <v>62</v>
      </c>
      <c r="M306" s="22" t="s">
        <v>63</v>
      </c>
      <c r="N306" s="22" t="s">
        <v>2768</v>
      </c>
      <c r="O306" s="22" t="s">
        <v>65</v>
      </c>
      <c r="P306" s="22" t="s">
        <v>2769</v>
      </c>
      <c r="Q306" s="22" t="s">
        <v>2770</v>
      </c>
      <c r="R306" s="22" t="s">
        <v>2771</v>
      </c>
      <c r="S306" s="22" t="s">
        <v>61</v>
      </c>
      <c r="T306" s="22"/>
      <c r="U306" s="22" t="s">
        <v>281</v>
      </c>
      <c r="V306" s="22" t="s">
        <v>70</v>
      </c>
      <c r="W306" s="22" t="s">
        <v>71</v>
      </c>
      <c r="X306" s="25" t="n">
        <v>44197</v>
      </c>
      <c r="Y306" s="25" t="n">
        <v>45992</v>
      </c>
      <c r="Z306" s="22" t="s">
        <v>72</v>
      </c>
      <c r="AA306" s="22" t="s">
        <v>149</v>
      </c>
      <c r="AB306" s="22" t="s">
        <v>74</v>
      </c>
      <c r="AC306" s="22"/>
      <c r="AD306" s="22" t="n">
        <v>0</v>
      </c>
      <c r="AE306" s="22"/>
      <c r="AF306" s="22"/>
      <c r="AG306" s="22" t="s">
        <v>75</v>
      </c>
      <c r="AH306" s="22"/>
      <c r="AI306" s="22" t="n">
        <v>10</v>
      </c>
      <c r="AJ306" s="22" t="n">
        <v>30</v>
      </c>
      <c r="AK306" s="22" t="s">
        <v>76</v>
      </c>
      <c r="AL306" s="26" t="n">
        <v>37671</v>
      </c>
      <c r="AM306" s="26" t="n">
        <v>45001.7340200926</v>
      </c>
      <c r="AN306" s="25" t="n">
        <v>45001.7356134259</v>
      </c>
      <c r="AO306" s="22" t="n">
        <v>5</v>
      </c>
      <c r="AP306" s="22" t="n">
        <v>40</v>
      </c>
      <c r="AQ306" s="22" t="s">
        <v>0</v>
      </c>
      <c r="AR306" s="27" t="s">
        <v>523</v>
      </c>
      <c r="AS306" s="27" t="s">
        <v>78</v>
      </c>
      <c r="AT306" s="27"/>
      <c r="AU306" s="27"/>
      <c r="AV306" s="27"/>
      <c r="AW306" s="27"/>
      <c r="AX306" s="27"/>
      <c r="AY306" s="27"/>
    </row>
    <row r="307" customFormat="false" ht="15.75" hidden="false" customHeight="true" outlineLevel="0" collapsed="false">
      <c r="A307" s="22" t="n">
        <v>303</v>
      </c>
      <c r="B307" s="23" t="s">
        <v>2772</v>
      </c>
      <c r="C307" s="22"/>
      <c r="D307" s="22" t="s">
        <v>2773</v>
      </c>
      <c r="E307" s="22" t="s">
        <v>81</v>
      </c>
      <c r="F307" s="22" t="s">
        <v>107</v>
      </c>
      <c r="G307" s="22" t="s">
        <v>59</v>
      </c>
      <c r="H307" s="22" t="s">
        <v>60</v>
      </c>
      <c r="I307" s="22"/>
      <c r="J307" s="22" t="s">
        <v>61</v>
      </c>
      <c r="K307" s="22" t="s">
        <v>2774</v>
      </c>
      <c r="L307" s="22" t="s">
        <v>2775</v>
      </c>
      <c r="M307" s="22" t="s">
        <v>2776</v>
      </c>
      <c r="N307" s="22" t="s">
        <v>2777</v>
      </c>
      <c r="O307" s="22" t="s">
        <v>2778</v>
      </c>
      <c r="P307" s="22" t="s">
        <v>2779</v>
      </c>
      <c r="Q307" s="22"/>
      <c r="R307" s="22" t="s">
        <v>2780</v>
      </c>
      <c r="S307" s="22" t="s">
        <v>61</v>
      </c>
      <c r="T307" s="22"/>
      <c r="U307" s="22" t="s">
        <v>2781</v>
      </c>
      <c r="V307" s="22" t="s">
        <v>70</v>
      </c>
      <c r="W307" s="22" t="s">
        <v>71</v>
      </c>
      <c r="X307" s="25" t="n">
        <v>44197</v>
      </c>
      <c r="Y307" s="25" t="n">
        <v>45992</v>
      </c>
      <c r="Z307" s="22" t="s">
        <v>72</v>
      </c>
      <c r="AA307" s="22" t="s">
        <v>91</v>
      </c>
      <c r="AB307" s="22" t="s">
        <v>74</v>
      </c>
      <c r="AC307" s="22"/>
      <c r="AD307" s="22" t="n">
        <v>0</v>
      </c>
      <c r="AE307" s="22"/>
      <c r="AF307" s="22"/>
      <c r="AG307" s="22" t="s">
        <v>75</v>
      </c>
      <c r="AH307" s="22"/>
      <c r="AI307" s="22" t="n">
        <v>10</v>
      </c>
      <c r="AJ307" s="22" t="n">
        <v>30</v>
      </c>
      <c r="AK307" s="22" t="s">
        <v>61</v>
      </c>
      <c r="AL307" s="26" t="n">
        <v>37683</v>
      </c>
      <c r="AM307" s="26" t="n">
        <v>45002.6889217245</v>
      </c>
      <c r="AN307" s="25" t="n">
        <v>45002.6904398148</v>
      </c>
      <c r="AO307" s="22" t="n">
        <v>5</v>
      </c>
      <c r="AP307" s="22" t="n">
        <v>40</v>
      </c>
      <c r="AQ307" s="22" t="s">
        <v>1</v>
      </c>
      <c r="AR307" s="52" t="s">
        <v>523</v>
      </c>
      <c r="AS307" s="27" t="s">
        <v>206</v>
      </c>
      <c r="AT307" s="47" t="n">
        <v>45056.4791666667</v>
      </c>
      <c r="AU307" s="27" t="s">
        <v>206</v>
      </c>
      <c r="AV307" s="27"/>
      <c r="AW307" s="27"/>
      <c r="AX307" s="27"/>
      <c r="AY307" s="27"/>
    </row>
    <row r="308" customFormat="false" ht="15.75" hidden="false" customHeight="true" outlineLevel="0" collapsed="false">
      <c r="A308" s="22" t="n">
        <v>304</v>
      </c>
      <c r="B308" s="23" t="s">
        <v>2782</v>
      </c>
      <c r="C308" s="22" t="s">
        <v>2783</v>
      </c>
      <c r="D308" s="22" t="s">
        <v>2784</v>
      </c>
      <c r="E308" s="22" t="s">
        <v>57</v>
      </c>
      <c r="F308" s="22" t="s">
        <v>107</v>
      </c>
      <c r="G308" s="22" t="s">
        <v>59</v>
      </c>
      <c r="H308" s="22" t="s">
        <v>96</v>
      </c>
      <c r="I308" s="22"/>
      <c r="J308" s="22" t="s">
        <v>61</v>
      </c>
      <c r="K308" s="22" t="s">
        <v>2785</v>
      </c>
      <c r="L308" s="22" t="s">
        <v>62</v>
      </c>
      <c r="M308" s="22" t="s">
        <v>63</v>
      </c>
      <c r="N308" s="22" t="s">
        <v>2786</v>
      </c>
      <c r="O308" s="22" t="s">
        <v>685</v>
      </c>
      <c r="P308" s="22" t="s">
        <v>2787</v>
      </c>
      <c r="Q308" s="22" t="s">
        <v>2788</v>
      </c>
      <c r="R308" s="22" t="s">
        <v>2789</v>
      </c>
      <c r="S308" s="22" t="s">
        <v>61</v>
      </c>
      <c r="T308" s="22"/>
      <c r="U308" s="22" t="s">
        <v>634</v>
      </c>
      <c r="V308" s="22" t="s">
        <v>70</v>
      </c>
      <c r="W308" s="22" t="s">
        <v>71</v>
      </c>
      <c r="X308" s="25" t="n">
        <v>44197</v>
      </c>
      <c r="Y308" s="25" t="n">
        <v>46357</v>
      </c>
      <c r="Z308" s="22" t="s">
        <v>72</v>
      </c>
      <c r="AA308" s="22" t="s">
        <v>149</v>
      </c>
      <c r="AB308" s="22" t="s">
        <v>74</v>
      </c>
      <c r="AC308" s="22"/>
      <c r="AD308" s="22" t="n">
        <v>0</v>
      </c>
      <c r="AE308" s="22"/>
      <c r="AF308" s="22"/>
      <c r="AG308" s="22" t="s">
        <v>75</v>
      </c>
      <c r="AH308" s="22"/>
      <c r="AI308" s="22" t="n">
        <v>10</v>
      </c>
      <c r="AJ308" s="22" t="n">
        <v>30</v>
      </c>
      <c r="AK308" s="22" t="s">
        <v>76</v>
      </c>
      <c r="AL308" s="26" t="n">
        <v>37698</v>
      </c>
      <c r="AM308" s="26" t="n">
        <v>45004.9739486227</v>
      </c>
      <c r="AN308" s="25" t="n">
        <v>45005.6654976852</v>
      </c>
      <c r="AO308" s="22" t="n">
        <v>5</v>
      </c>
      <c r="AP308" s="22" t="n">
        <v>40</v>
      </c>
      <c r="AQ308" s="22" t="s">
        <v>0</v>
      </c>
      <c r="AR308" s="27" t="s">
        <v>523</v>
      </c>
      <c r="AS308" s="27" t="s">
        <v>78</v>
      </c>
      <c r="AT308" s="27"/>
      <c r="AU308" s="27"/>
      <c r="AV308" s="27"/>
      <c r="AW308" s="27"/>
      <c r="AX308" s="27"/>
      <c r="AY308" s="27"/>
    </row>
    <row r="309" customFormat="false" ht="15.75" hidden="false" customHeight="true" outlineLevel="0" collapsed="false">
      <c r="A309" s="22" t="n">
        <v>305</v>
      </c>
      <c r="B309" s="23" t="s">
        <v>2790</v>
      </c>
      <c r="C309" s="22"/>
      <c r="D309" s="22" t="s">
        <v>2791</v>
      </c>
      <c r="E309" s="22" t="s">
        <v>81</v>
      </c>
      <c r="F309" s="22" t="s">
        <v>107</v>
      </c>
      <c r="G309" s="22" t="s">
        <v>59</v>
      </c>
      <c r="H309" s="22" t="s">
        <v>60</v>
      </c>
      <c r="I309" s="22"/>
      <c r="J309" s="22" t="s">
        <v>61</v>
      </c>
      <c r="K309" s="22" t="s">
        <v>2792</v>
      </c>
      <c r="L309" s="22" t="s">
        <v>62</v>
      </c>
      <c r="M309" s="22" t="s">
        <v>63</v>
      </c>
      <c r="N309" s="22" t="s">
        <v>2793</v>
      </c>
      <c r="O309" s="22" t="s">
        <v>2129</v>
      </c>
      <c r="P309" s="22" t="s">
        <v>2794</v>
      </c>
      <c r="Q309" s="22" t="s">
        <v>2795</v>
      </c>
      <c r="R309" s="22" t="s">
        <v>2796</v>
      </c>
      <c r="S309" s="22" t="s">
        <v>61</v>
      </c>
      <c r="T309" s="22"/>
      <c r="U309" s="22" t="s">
        <v>2797</v>
      </c>
      <c r="V309" s="22" t="s">
        <v>70</v>
      </c>
      <c r="W309" s="22" t="s">
        <v>71</v>
      </c>
      <c r="X309" s="25" t="n">
        <v>44378</v>
      </c>
      <c r="Y309" s="25" t="n">
        <v>46204</v>
      </c>
      <c r="Z309" s="22" t="s">
        <v>72</v>
      </c>
      <c r="AA309" s="22" t="s">
        <v>91</v>
      </c>
      <c r="AB309" s="22" t="s">
        <v>74</v>
      </c>
      <c r="AC309" s="22"/>
      <c r="AD309" s="22" t="n">
        <v>0</v>
      </c>
      <c r="AE309" s="22"/>
      <c r="AF309" s="22"/>
      <c r="AG309" s="22" t="s">
        <v>75</v>
      </c>
      <c r="AH309" s="22"/>
      <c r="AI309" s="22" t="n">
        <v>10</v>
      </c>
      <c r="AJ309" s="22" t="n">
        <v>30</v>
      </c>
      <c r="AK309" s="22" t="s">
        <v>61</v>
      </c>
      <c r="AL309" s="26" t="n">
        <v>37700</v>
      </c>
      <c r="AM309" s="26" t="n">
        <v>45000.9101169097</v>
      </c>
      <c r="AN309" s="25" t="n">
        <v>45005.5735532407</v>
      </c>
      <c r="AO309" s="22" t="n">
        <v>5</v>
      </c>
      <c r="AP309" s="22" t="n">
        <v>40</v>
      </c>
      <c r="AQ309" s="22" t="s">
        <v>1</v>
      </c>
      <c r="AR309" s="27" t="s">
        <v>523</v>
      </c>
      <c r="AS309" s="27" t="s">
        <v>206</v>
      </c>
      <c r="AT309" s="47" t="n">
        <v>45056.4791666667</v>
      </c>
      <c r="AU309" s="27" t="s">
        <v>206</v>
      </c>
      <c r="AV309" s="27"/>
      <c r="AW309" s="27"/>
      <c r="AX309" s="27"/>
      <c r="AY309" s="27"/>
    </row>
    <row r="310" customFormat="false" ht="15.75" hidden="false" customHeight="true" outlineLevel="0" collapsed="false">
      <c r="A310" s="22" t="n">
        <v>306</v>
      </c>
      <c r="B310" s="23" t="s">
        <v>2798</v>
      </c>
      <c r="C310" s="22"/>
      <c r="D310" s="22" t="s">
        <v>2799</v>
      </c>
      <c r="E310" s="22" t="s">
        <v>81</v>
      </c>
      <c r="F310" s="22" t="s">
        <v>107</v>
      </c>
      <c r="G310" s="22" t="s">
        <v>59</v>
      </c>
      <c r="H310" s="22" t="s">
        <v>96</v>
      </c>
      <c r="I310" s="22"/>
      <c r="J310" s="22" t="s">
        <v>61</v>
      </c>
      <c r="K310" s="22" t="s">
        <v>2800</v>
      </c>
      <c r="L310" s="22" t="s">
        <v>62</v>
      </c>
      <c r="M310" s="22" t="s">
        <v>63</v>
      </c>
      <c r="N310" s="22" t="s">
        <v>2801</v>
      </c>
      <c r="O310" s="22" t="s">
        <v>248</v>
      </c>
      <c r="P310" s="22" t="s">
        <v>2802</v>
      </c>
      <c r="Q310" s="22"/>
      <c r="R310" s="22" t="s">
        <v>2803</v>
      </c>
      <c r="S310" s="22" t="s">
        <v>61</v>
      </c>
      <c r="T310" s="22"/>
      <c r="U310" s="22" t="s">
        <v>125</v>
      </c>
      <c r="V310" s="22" t="s">
        <v>70</v>
      </c>
      <c r="W310" s="22" t="s">
        <v>71</v>
      </c>
      <c r="X310" s="25" t="n">
        <v>44228</v>
      </c>
      <c r="Y310" s="25" t="n">
        <v>45992</v>
      </c>
      <c r="Z310" s="22" t="s">
        <v>72</v>
      </c>
      <c r="AA310" s="22" t="s">
        <v>149</v>
      </c>
      <c r="AB310" s="22" t="s">
        <v>74</v>
      </c>
      <c r="AC310" s="22"/>
      <c r="AD310" s="22" t="n">
        <v>0</v>
      </c>
      <c r="AE310" s="22"/>
      <c r="AF310" s="22"/>
      <c r="AG310" s="22" t="s">
        <v>75</v>
      </c>
      <c r="AH310" s="22"/>
      <c r="AI310" s="22" t="n">
        <v>10</v>
      </c>
      <c r="AJ310" s="22" t="n">
        <v>30</v>
      </c>
      <c r="AK310" s="22" t="s">
        <v>61</v>
      </c>
      <c r="AL310" s="26" t="n">
        <v>37712</v>
      </c>
      <c r="AM310" s="26" t="n">
        <v>45000.3968048148</v>
      </c>
      <c r="AN310" s="25" t="n">
        <v>45000.6869675926</v>
      </c>
      <c r="AO310" s="22" t="n">
        <v>5</v>
      </c>
      <c r="AP310" s="22" t="n">
        <v>40</v>
      </c>
      <c r="AQ310" s="22" t="s">
        <v>1</v>
      </c>
      <c r="AR310" s="52" t="s">
        <v>523</v>
      </c>
      <c r="AS310" s="27" t="s">
        <v>206</v>
      </c>
      <c r="AT310" s="47" t="n">
        <v>45056.4791666667</v>
      </c>
      <c r="AU310" s="27" t="s">
        <v>206</v>
      </c>
      <c r="AV310" s="27"/>
      <c r="AW310" s="27"/>
      <c r="AX310" s="27"/>
      <c r="AY310" s="27"/>
    </row>
    <row r="311" customFormat="false" ht="15.75" hidden="false" customHeight="true" outlineLevel="0" collapsed="false">
      <c r="A311" s="22" t="n">
        <v>307</v>
      </c>
      <c r="B311" s="23" t="s">
        <v>2804</v>
      </c>
      <c r="C311" s="22"/>
      <c r="D311" s="22" t="s">
        <v>2805</v>
      </c>
      <c r="E311" s="22" t="s">
        <v>81</v>
      </c>
      <c r="F311" s="22" t="s">
        <v>107</v>
      </c>
      <c r="G311" s="22" t="s">
        <v>59</v>
      </c>
      <c r="H311" s="22" t="s">
        <v>96</v>
      </c>
      <c r="I311" s="22"/>
      <c r="J311" s="22" t="s">
        <v>61</v>
      </c>
      <c r="K311" s="22" t="s">
        <v>2806</v>
      </c>
      <c r="L311" s="22" t="s">
        <v>62</v>
      </c>
      <c r="M311" s="22" t="s">
        <v>84</v>
      </c>
      <c r="N311" s="22" t="s">
        <v>2807</v>
      </c>
      <c r="O311" s="22" t="s">
        <v>2808</v>
      </c>
      <c r="P311" s="22" t="s">
        <v>2809</v>
      </c>
      <c r="Q311" s="22" t="s">
        <v>2810</v>
      </c>
      <c r="R311" s="22" t="s">
        <v>2811</v>
      </c>
      <c r="S311" s="22" t="s">
        <v>61</v>
      </c>
      <c r="T311" s="22"/>
      <c r="U311" s="22" t="s">
        <v>479</v>
      </c>
      <c r="V311" s="22" t="s">
        <v>70</v>
      </c>
      <c r="W311" s="22" t="s">
        <v>71</v>
      </c>
      <c r="X311" s="25" t="n">
        <v>44197</v>
      </c>
      <c r="Y311" s="25" t="n">
        <v>45658</v>
      </c>
      <c r="Z311" s="22" t="s">
        <v>72</v>
      </c>
      <c r="AA311" s="22" t="s">
        <v>91</v>
      </c>
      <c r="AB311" s="22" t="s">
        <v>74</v>
      </c>
      <c r="AC311" s="22"/>
      <c r="AD311" s="22" t="n">
        <v>0</v>
      </c>
      <c r="AE311" s="22"/>
      <c r="AF311" s="22"/>
      <c r="AG311" s="22" t="s">
        <v>75</v>
      </c>
      <c r="AH311" s="22"/>
      <c r="AI311" s="22" t="n">
        <v>10</v>
      </c>
      <c r="AJ311" s="22" t="n">
        <v>30</v>
      </c>
      <c r="AK311" s="22" t="s">
        <v>76</v>
      </c>
      <c r="AL311" s="26" t="n">
        <v>37713</v>
      </c>
      <c r="AM311" s="26" t="n">
        <v>45008.453721169</v>
      </c>
      <c r="AN311" s="25" t="n">
        <v>45008.9314236111</v>
      </c>
      <c r="AO311" s="22" t="n">
        <v>5</v>
      </c>
      <c r="AP311" s="22" t="n">
        <v>40</v>
      </c>
      <c r="AQ311" s="22" t="s">
        <v>0</v>
      </c>
      <c r="AR311" s="27" t="s">
        <v>523</v>
      </c>
      <c r="AS311" s="27" t="s">
        <v>78</v>
      </c>
      <c r="AT311" s="27"/>
      <c r="AU311" s="27"/>
      <c r="AV311" s="27"/>
      <c r="AW311" s="27"/>
      <c r="AX311" s="27"/>
      <c r="AY311" s="27"/>
    </row>
    <row r="312" customFormat="false" ht="15.75" hidden="false" customHeight="true" outlineLevel="0" collapsed="false">
      <c r="A312" s="22" t="n">
        <v>308</v>
      </c>
      <c r="B312" s="23" t="s">
        <v>2812</v>
      </c>
      <c r="C312" s="22"/>
      <c r="D312" s="22" t="s">
        <v>2813</v>
      </c>
      <c r="E312" s="22" t="s">
        <v>57</v>
      </c>
      <c r="F312" s="22" t="s">
        <v>107</v>
      </c>
      <c r="G312" s="22" t="s">
        <v>59</v>
      </c>
      <c r="H312" s="22" t="s">
        <v>60</v>
      </c>
      <c r="I312" s="22"/>
      <c r="J312" s="22" t="s">
        <v>61</v>
      </c>
      <c r="K312" s="22" t="s">
        <v>2814</v>
      </c>
      <c r="L312" s="22" t="s">
        <v>62</v>
      </c>
      <c r="M312" s="22" t="s">
        <v>63</v>
      </c>
      <c r="N312" s="22" t="s">
        <v>2815</v>
      </c>
      <c r="O312" s="22" t="s">
        <v>1860</v>
      </c>
      <c r="P312" s="22" t="s">
        <v>2816</v>
      </c>
      <c r="Q312" s="22" t="s">
        <v>2817</v>
      </c>
      <c r="R312" s="22" t="s">
        <v>2818</v>
      </c>
      <c r="S312" s="22" t="s">
        <v>61</v>
      </c>
      <c r="T312" s="22"/>
      <c r="U312" s="22" t="s">
        <v>1284</v>
      </c>
      <c r="V312" s="22" t="s">
        <v>70</v>
      </c>
      <c r="W312" s="22" t="s">
        <v>71</v>
      </c>
      <c r="X312" s="25" t="n">
        <v>43862</v>
      </c>
      <c r="Y312" s="25" t="n">
        <v>45627</v>
      </c>
      <c r="Z312" s="22" t="s">
        <v>72</v>
      </c>
      <c r="AA312" s="22" t="s">
        <v>149</v>
      </c>
      <c r="AB312" s="22" t="s">
        <v>74</v>
      </c>
      <c r="AC312" s="22"/>
      <c r="AD312" s="22" t="n">
        <v>0</v>
      </c>
      <c r="AE312" s="22"/>
      <c r="AF312" s="22"/>
      <c r="AG312" s="22" t="s">
        <v>75</v>
      </c>
      <c r="AH312" s="22"/>
      <c r="AI312" s="22" t="n">
        <v>10</v>
      </c>
      <c r="AJ312" s="22" t="n">
        <v>30</v>
      </c>
      <c r="AK312" s="22" t="s">
        <v>61</v>
      </c>
      <c r="AL312" s="26" t="n">
        <v>37722</v>
      </c>
      <c r="AM312" s="26" t="n">
        <v>45002.4144031945</v>
      </c>
      <c r="AN312" s="25" t="n">
        <v>45002.4162384259</v>
      </c>
      <c r="AO312" s="22" t="n">
        <v>7</v>
      </c>
      <c r="AP312" s="22" t="n">
        <v>40</v>
      </c>
      <c r="AQ312" s="22" t="s">
        <v>0</v>
      </c>
      <c r="AR312" s="27" t="s">
        <v>523</v>
      </c>
      <c r="AS312" s="27" t="s">
        <v>78</v>
      </c>
      <c r="AT312" s="27"/>
      <c r="AU312" s="27"/>
      <c r="AV312" s="27"/>
      <c r="AW312" s="27"/>
      <c r="AX312" s="27"/>
      <c r="AY312" s="27"/>
    </row>
    <row r="313" customFormat="false" ht="15.75" hidden="false" customHeight="true" outlineLevel="0" collapsed="false">
      <c r="A313" s="22" t="n">
        <v>309</v>
      </c>
      <c r="B313" s="23" t="s">
        <v>2819</v>
      </c>
      <c r="C313" s="22" t="s">
        <v>2820</v>
      </c>
      <c r="D313" s="22" t="s">
        <v>2821</v>
      </c>
      <c r="E313" s="22" t="s">
        <v>57</v>
      </c>
      <c r="F313" s="22" t="s">
        <v>107</v>
      </c>
      <c r="G313" s="22" t="s">
        <v>59</v>
      </c>
      <c r="H313" s="22" t="s">
        <v>60</v>
      </c>
      <c r="I313" s="22"/>
      <c r="J313" s="22" t="s">
        <v>61</v>
      </c>
      <c r="K313" s="22" t="s">
        <v>2822</v>
      </c>
      <c r="L313" s="22" t="s">
        <v>62</v>
      </c>
      <c r="M313" s="22" t="s">
        <v>63</v>
      </c>
      <c r="N313" s="22" t="s">
        <v>2823</v>
      </c>
      <c r="O313" s="22" t="s">
        <v>669</v>
      </c>
      <c r="P313" s="22" t="s">
        <v>2824</v>
      </c>
      <c r="Q313" s="22"/>
      <c r="R313" s="22" t="s">
        <v>2825</v>
      </c>
      <c r="S313" s="22" t="s">
        <v>61</v>
      </c>
      <c r="T313" s="22"/>
      <c r="U313" s="22" t="s">
        <v>2826</v>
      </c>
      <c r="V313" s="22" t="s">
        <v>70</v>
      </c>
      <c r="W313" s="22" t="s">
        <v>71</v>
      </c>
      <c r="X313" s="25" t="n">
        <v>44197</v>
      </c>
      <c r="Y313" s="25" t="n">
        <v>45992</v>
      </c>
      <c r="Z313" s="22" t="s">
        <v>72</v>
      </c>
      <c r="AA313" s="22" t="s">
        <v>149</v>
      </c>
      <c r="AB313" s="22" t="s">
        <v>74</v>
      </c>
      <c r="AC313" s="22"/>
      <c r="AD313" s="22" t="n">
        <v>0</v>
      </c>
      <c r="AE313" s="22"/>
      <c r="AF313" s="22"/>
      <c r="AG313" s="22" t="s">
        <v>75</v>
      </c>
      <c r="AH313" s="22"/>
      <c r="AI313" s="22" t="n">
        <v>10</v>
      </c>
      <c r="AJ313" s="22" t="n">
        <v>30</v>
      </c>
      <c r="AK313" s="22" t="s">
        <v>76</v>
      </c>
      <c r="AL313" s="26" t="n">
        <v>37723</v>
      </c>
      <c r="AM313" s="26" t="n">
        <v>45006.6273192245</v>
      </c>
      <c r="AN313" s="25" t="n">
        <v>45006.7635532407</v>
      </c>
      <c r="AO313" s="22" t="n">
        <v>5</v>
      </c>
      <c r="AP313" s="22" t="n">
        <v>40</v>
      </c>
      <c r="AQ313" s="22" t="s">
        <v>0</v>
      </c>
      <c r="AR313" s="42" t="s">
        <v>680</v>
      </c>
      <c r="AS313" s="27" t="s">
        <v>78</v>
      </c>
      <c r="AT313" s="27"/>
      <c r="AU313" s="27"/>
      <c r="AV313" s="27"/>
      <c r="AW313" s="27"/>
      <c r="AX313" s="27"/>
      <c r="AY313" s="27"/>
    </row>
    <row r="314" customFormat="false" ht="15.75" hidden="false" customHeight="true" outlineLevel="0" collapsed="false">
      <c r="A314" s="22" t="n">
        <v>310</v>
      </c>
      <c r="B314" s="23" t="s">
        <v>2827</v>
      </c>
      <c r="C314" s="22" t="s">
        <v>2828</v>
      </c>
      <c r="D314" s="22" t="s">
        <v>2829</v>
      </c>
      <c r="E314" s="22" t="s">
        <v>57</v>
      </c>
      <c r="F314" s="22" t="s">
        <v>107</v>
      </c>
      <c r="G314" s="22" t="s">
        <v>59</v>
      </c>
      <c r="H314" s="22" t="s">
        <v>60</v>
      </c>
      <c r="I314" s="22"/>
      <c r="J314" s="22" t="s">
        <v>61</v>
      </c>
      <c r="K314" s="22" t="s">
        <v>2830</v>
      </c>
      <c r="L314" s="22" t="s">
        <v>62</v>
      </c>
      <c r="M314" s="22" t="s">
        <v>84</v>
      </c>
      <c r="N314" s="22" t="s">
        <v>2831</v>
      </c>
      <c r="O314" s="22" t="s">
        <v>2832</v>
      </c>
      <c r="P314" s="22" t="s">
        <v>2833</v>
      </c>
      <c r="Q314" s="22"/>
      <c r="R314" s="22" t="s">
        <v>2834</v>
      </c>
      <c r="S314" s="22" t="s">
        <v>61</v>
      </c>
      <c r="T314" s="22"/>
      <c r="U314" s="22" t="s">
        <v>183</v>
      </c>
      <c r="V314" s="22" t="s">
        <v>70</v>
      </c>
      <c r="W314" s="22" t="s">
        <v>71</v>
      </c>
      <c r="X314" s="25" t="n">
        <v>44317</v>
      </c>
      <c r="Y314" s="25" t="n">
        <v>46143</v>
      </c>
      <c r="Z314" s="22" t="s">
        <v>72</v>
      </c>
      <c r="AA314" s="22" t="s">
        <v>91</v>
      </c>
      <c r="AB314" s="22" t="s">
        <v>74</v>
      </c>
      <c r="AC314" s="22"/>
      <c r="AD314" s="22" t="n">
        <v>0</v>
      </c>
      <c r="AE314" s="22"/>
      <c r="AF314" s="22"/>
      <c r="AG314" s="22" t="s">
        <v>75</v>
      </c>
      <c r="AH314" s="22"/>
      <c r="AI314" s="22" t="n">
        <v>10</v>
      </c>
      <c r="AJ314" s="22" t="n">
        <v>30</v>
      </c>
      <c r="AK314" s="22" t="s">
        <v>61</v>
      </c>
      <c r="AL314" s="26" t="n">
        <v>37725</v>
      </c>
      <c r="AM314" s="26" t="n">
        <v>45000.850525</v>
      </c>
      <c r="AN314" s="25" t="n">
        <v>45008.450787037</v>
      </c>
      <c r="AO314" s="22" t="n">
        <v>5</v>
      </c>
      <c r="AP314" s="22" t="n">
        <v>40</v>
      </c>
      <c r="AQ314" s="22" t="s">
        <v>0</v>
      </c>
      <c r="AR314" s="27" t="s">
        <v>680</v>
      </c>
      <c r="AS314" s="27" t="s">
        <v>78</v>
      </c>
      <c r="AT314" s="48" t="n">
        <v>45056.4791666667</v>
      </c>
      <c r="AU314" s="27" t="s">
        <v>1599</v>
      </c>
      <c r="AV314" s="27"/>
      <c r="AW314" s="27"/>
      <c r="AX314" s="27"/>
      <c r="AY314" s="27"/>
    </row>
    <row r="315" customFormat="false" ht="15.75" hidden="false" customHeight="true" outlineLevel="0" collapsed="false">
      <c r="A315" s="22" t="n">
        <v>311</v>
      </c>
      <c r="B315" s="23" t="s">
        <v>2835</v>
      </c>
      <c r="C315" s="22" t="s">
        <v>2836</v>
      </c>
      <c r="D315" s="22" t="s">
        <v>2837</v>
      </c>
      <c r="E315" s="22" t="s">
        <v>57</v>
      </c>
      <c r="F315" s="22" t="s">
        <v>107</v>
      </c>
      <c r="G315" s="22" t="s">
        <v>59</v>
      </c>
      <c r="H315" s="22" t="s">
        <v>96</v>
      </c>
      <c r="I315" s="22"/>
      <c r="J315" s="22" t="s">
        <v>61</v>
      </c>
      <c r="K315" s="22" t="s">
        <v>2838</v>
      </c>
      <c r="L315" s="22" t="s">
        <v>62</v>
      </c>
      <c r="M315" s="22" t="s">
        <v>84</v>
      </c>
      <c r="N315" s="22" t="s">
        <v>2839</v>
      </c>
      <c r="O315" s="22" t="s">
        <v>2840</v>
      </c>
      <c r="P315" s="22" t="s">
        <v>2841</v>
      </c>
      <c r="Q315" s="22"/>
      <c r="R315" s="22" t="s">
        <v>2842</v>
      </c>
      <c r="S315" s="22" t="s">
        <v>61</v>
      </c>
      <c r="T315" s="22"/>
      <c r="U315" s="22" t="s">
        <v>261</v>
      </c>
      <c r="V315" s="22" t="s">
        <v>70</v>
      </c>
      <c r="W315" s="22" t="s">
        <v>71</v>
      </c>
      <c r="X315" s="25" t="n">
        <v>44197</v>
      </c>
      <c r="Y315" s="25" t="n">
        <v>45992</v>
      </c>
      <c r="Z315" s="22" t="s">
        <v>72</v>
      </c>
      <c r="AA315" s="22" t="s">
        <v>74</v>
      </c>
      <c r="AB315" s="22" t="s">
        <v>74</v>
      </c>
      <c r="AC315" s="22"/>
      <c r="AD315" s="22" t="n">
        <v>0</v>
      </c>
      <c r="AE315" s="22"/>
      <c r="AF315" s="22"/>
      <c r="AG315" s="22" t="s">
        <v>75</v>
      </c>
      <c r="AH315" s="22"/>
      <c r="AI315" s="22" t="n">
        <v>10</v>
      </c>
      <c r="AJ315" s="22" t="n">
        <v>30</v>
      </c>
      <c r="AK315" s="22" t="s">
        <v>61</v>
      </c>
      <c r="AL315" s="26" t="n">
        <v>37743</v>
      </c>
      <c r="AM315" s="26" t="n">
        <v>45000.5315924306</v>
      </c>
      <c r="AN315" s="25" t="n">
        <v>45004.6537615741</v>
      </c>
      <c r="AO315" s="22" t="n">
        <v>5</v>
      </c>
      <c r="AP315" s="22" t="n">
        <v>40</v>
      </c>
      <c r="AQ315" s="22" t="s">
        <v>1</v>
      </c>
      <c r="AR315" s="27" t="s">
        <v>680</v>
      </c>
      <c r="AS315" s="27" t="s">
        <v>1668</v>
      </c>
      <c r="AT315" s="47" t="n">
        <v>45056.4791666667</v>
      </c>
      <c r="AU315" s="27" t="s">
        <v>206</v>
      </c>
      <c r="AV315" s="27"/>
      <c r="AW315" s="27"/>
      <c r="AX315" s="27"/>
      <c r="AY315" s="27"/>
    </row>
    <row r="316" customFormat="false" ht="15.75" hidden="false" customHeight="true" outlineLevel="0" collapsed="false">
      <c r="A316" s="22" t="n">
        <v>312</v>
      </c>
      <c r="B316" s="23" t="s">
        <v>2843</v>
      </c>
      <c r="C316" s="22"/>
      <c r="D316" s="22" t="s">
        <v>2844</v>
      </c>
      <c r="E316" s="22" t="s">
        <v>81</v>
      </c>
      <c r="F316" s="22" t="s">
        <v>107</v>
      </c>
      <c r="G316" s="22" t="s">
        <v>59</v>
      </c>
      <c r="H316" s="22" t="s">
        <v>156</v>
      </c>
      <c r="I316" s="22"/>
      <c r="J316" s="22" t="s">
        <v>61</v>
      </c>
      <c r="K316" s="22" t="s">
        <v>2845</v>
      </c>
      <c r="L316" s="22" t="s">
        <v>62</v>
      </c>
      <c r="M316" s="22" t="s">
        <v>63</v>
      </c>
      <c r="N316" s="22" t="s">
        <v>2846</v>
      </c>
      <c r="O316" s="22" t="s">
        <v>2847</v>
      </c>
      <c r="P316" s="22" t="s">
        <v>2848</v>
      </c>
      <c r="Q316" s="22"/>
      <c r="R316" s="22" t="s">
        <v>2849</v>
      </c>
      <c r="S316" s="22" t="s">
        <v>61</v>
      </c>
      <c r="T316" s="22"/>
      <c r="U316" s="22" t="s">
        <v>2850</v>
      </c>
      <c r="V316" s="22" t="s">
        <v>70</v>
      </c>
      <c r="W316" s="22" t="s">
        <v>71</v>
      </c>
      <c r="X316" s="25" t="n">
        <v>44593</v>
      </c>
      <c r="Y316" s="25" t="n">
        <v>46722</v>
      </c>
      <c r="Z316" s="22" t="s">
        <v>72</v>
      </c>
      <c r="AA316" s="22" t="s">
        <v>149</v>
      </c>
      <c r="AB316" s="22" t="s">
        <v>74</v>
      </c>
      <c r="AC316" s="22"/>
      <c r="AD316" s="22" t="n">
        <v>0</v>
      </c>
      <c r="AE316" s="22"/>
      <c r="AF316" s="22"/>
      <c r="AG316" s="22" t="s">
        <v>75</v>
      </c>
      <c r="AH316" s="22"/>
      <c r="AI316" s="22" t="n">
        <v>10</v>
      </c>
      <c r="AJ316" s="22" t="n">
        <v>30</v>
      </c>
      <c r="AK316" s="22" t="s">
        <v>61</v>
      </c>
      <c r="AL316" s="26" t="n">
        <v>37746</v>
      </c>
      <c r="AM316" s="26" t="n">
        <v>45001.6479802083</v>
      </c>
      <c r="AN316" s="25" t="n">
        <v>45001.6622106481</v>
      </c>
      <c r="AO316" s="22" t="n">
        <v>5</v>
      </c>
      <c r="AP316" s="22" t="n">
        <v>40</v>
      </c>
      <c r="AQ316" s="22" t="s">
        <v>1</v>
      </c>
      <c r="AR316" s="27" t="s">
        <v>680</v>
      </c>
      <c r="AS316" s="27" t="s">
        <v>206</v>
      </c>
      <c r="AT316" s="47" t="n">
        <v>45056.4791666667</v>
      </c>
      <c r="AU316" s="27" t="s">
        <v>206</v>
      </c>
      <c r="AV316" s="27"/>
      <c r="AW316" s="27"/>
      <c r="AX316" s="27"/>
      <c r="AY316" s="27"/>
    </row>
    <row r="317" customFormat="false" ht="15.75" hidden="false" customHeight="true" outlineLevel="0" collapsed="false">
      <c r="A317" s="22" t="n">
        <v>313</v>
      </c>
      <c r="B317" s="23" t="s">
        <v>2851</v>
      </c>
      <c r="C317" s="22"/>
      <c r="D317" s="22" t="s">
        <v>2852</v>
      </c>
      <c r="E317" s="22" t="s">
        <v>57</v>
      </c>
      <c r="F317" s="22" t="s">
        <v>107</v>
      </c>
      <c r="G317" s="22" t="s">
        <v>59</v>
      </c>
      <c r="H317" s="22" t="s">
        <v>60</v>
      </c>
      <c r="I317" s="22"/>
      <c r="J317" s="22" t="s">
        <v>61</v>
      </c>
      <c r="K317" s="22" t="s">
        <v>2853</v>
      </c>
      <c r="L317" s="22" t="s">
        <v>62</v>
      </c>
      <c r="M317" s="22" t="s">
        <v>1111</v>
      </c>
      <c r="N317" s="22" t="s">
        <v>2854</v>
      </c>
      <c r="O317" s="22" t="s">
        <v>2855</v>
      </c>
      <c r="P317" s="22" t="s">
        <v>2856</v>
      </c>
      <c r="Q317" s="22" t="s">
        <v>2857</v>
      </c>
      <c r="R317" s="22" t="s">
        <v>2858</v>
      </c>
      <c r="S317" s="22" t="s">
        <v>61</v>
      </c>
      <c r="T317" s="22"/>
      <c r="U317" s="22" t="s">
        <v>2859</v>
      </c>
      <c r="V317" s="22" t="s">
        <v>70</v>
      </c>
      <c r="W317" s="22" t="s">
        <v>71</v>
      </c>
      <c r="X317" s="25" t="n">
        <v>44228</v>
      </c>
      <c r="Y317" s="25" t="n">
        <v>46357</v>
      </c>
      <c r="Z317" s="22" t="s">
        <v>72</v>
      </c>
      <c r="AA317" s="22" t="s">
        <v>91</v>
      </c>
      <c r="AB317" s="22" t="s">
        <v>74</v>
      </c>
      <c r="AC317" s="22"/>
      <c r="AD317" s="22" t="n">
        <v>0</v>
      </c>
      <c r="AE317" s="22"/>
      <c r="AF317" s="22"/>
      <c r="AG317" s="22" t="s">
        <v>75</v>
      </c>
      <c r="AH317" s="22"/>
      <c r="AI317" s="22" t="n">
        <v>10</v>
      </c>
      <c r="AJ317" s="22" t="n">
        <v>30</v>
      </c>
      <c r="AK317" s="22" t="s">
        <v>76</v>
      </c>
      <c r="AL317" s="26" t="n">
        <v>37754</v>
      </c>
      <c r="AM317" s="26" t="n">
        <v>45001.9772710417</v>
      </c>
      <c r="AN317" s="25" t="n">
        <v>45001.9795023148</v>
      </c>
      <c r="AO317" s="22" t="n">
        <v>5</v>
      </c>
      <c r="AP317" s="22" t="n">
        <v>40</v>
      </c>
      <c r="AQ317" s="22" t="s">
        <v>0</v>
      </c>
      <c r="AR317" s="27" t="s">
        <v>680</v>
      </c>
      <c r="AS317" s="27" t="s">
        <v>78</v>
      </c>
      <c r="AT317" s="27"/>
      <c r="AU317" s="27"/>
      <c r="AV317" s="27"/>
      <c r="AW317" s="27"/>
      <c r="AX317" s="27"/>
      <c r="AY317" s="27"/>
    </row>
    <row r="318" customFormat="false" ht="15.75" hidden="false" customHeight="true" outlineLevel="0" collapsed="false">
      <c r="A318" s="22" t="n">
        <v>314</v>
      </c>
      <c r="B318" s="23" t="s">
        <v>2860</v>
      </c>
      <c r="C318" s="22"/>
      <c r="D318" s="22" t="s">
        <v>2861</v>
      </c>
      <c r="E318" s="22" t="s">
        <v>81</v>
      </c>
      <c r="F318" s="22" t="s">
        <v>107</v>
      </c>
      <c r="G318" s="22" t="s">
        <v>59</v>
      </c>
      <c r="H318" s="22" t="s">
        <v>96</v>
      </c>
      <c r="I318" s="22"/>
      <c r="J318" s="22" t="s">
        <v>61</v>
      </c>
      <c r="K318" s="22" t="s">
        <v>2862</v>
      </c>
      <c r="L318" s="22" t="s">
        <v>62</v>
      </c>
      <c r="M318" s="22" t="s">
        <v>84</v>
      </c>
      <c r="N318" s="22" t="s">
        <v>2863</v>
      </c>
      <c r="O318" s="22" t="s">
        <v>2864</v>
      </c>
      <c r="P318" s="22" t="s">
        <v>2865</v>
      </c>
      <c r="Q318" s="22" t="s">
        <v>2866</v>
      </c>
      <c r="R318" s="22" t="s">
        <v>2867</v>
      </c>
      <c r="S318" s="22" t="s">
        <v>61</v>
      </c>
      <c r="T318" s="22"/>
      <c r="U318" s="22" t="s">
        <v>2868</v>
      </c>
      <c r="V318" s="22" t="s">
        <v>70</v>
      </c>
      <c r="W318" s="22" t="s">
        <v>71</v>
      </c>
      <c r="X318" s="25" t="n">
        <v>44197</v>
      </c>
      <c r="Y318" s="25" t="n">
        <v>45962</v>
      </c>
      <c r="Z318" s="22" t="s">
        <v>72</v>
      </c>
      <c r="AA318" s="22" t="s">
        <v>149</v>
      </c>
      <c r="AB318" s="22" t="s">
        <v>74</v>
      </c>
      <c r="AC318" s="22"/>
      <c r="AD318" s="22" t="n">
        <v>0</v>
      </c>
      <c r="AE318" s="22"/>
      <c r="AF318" s="22"/>
      <c r="AG318" s="22" t="s">
        <v>75</v>
      </c>
      <c r="AH318" s="22"/>
      <c r="AI318" s="22" t="n">
        <v>10</v>
      </c>
      <c r="AJ318" s="22" t="n">
        <v>30</v>
      </c>
      <c r="AK318" s="22" t="s">
        <v>61</v>
      </c>
      <c r="AL318" s="26" t="n">
        <v>37757</v>
      </c>
      <c r="AM318" s="26" t="n">
        <v>45001.5185441319</v>
      </c>
      <c r="AN318" s="25" t="n">
        <v>45002.8655324074</v>
      </c>
      <c r="AO318" s="22" t="n">
        <v>5</v>
      </c>
      <c r="AP318" s="22" t="n">
        <v>40</v>
      </c>
      <c r="AQ318" s="22" t="s">
        <v>1</v>
      </c>
      <c r="AR318" s="27" t="s">
        <v>680</v>
      </c>
      <c r="AS318" s="27" t="s">
        <v>206</v>
      </c>
      <c r="AT318" s="53" t="n">
        <v>45057</v>
      </c>
      <c r="AU318" s="27"/>
      <c r="AV318" s="27"/>
      <c r="AW318" s="27"/>
      <c r="AX318" s="27"/>
      <c r="AY318" s="27"/>
    </row>
    <row r="319" customFormat="false" ht="15.75" hidden="false" customHeight="true" outlineLevel="0" collapsed="false">
      <c r="A319" s="22" t="n">
        <v>315</v>
      </c>
      <c r="B319" s="23" t="s">
        <v>2869</v>
      </c>
      <c r="C319" s="22"/>
      <c r="D319" s="22" t="s">
        <v>2870</v>
      </c>
      <c r="E319" s="22" t="s">
        <v>81</v>
      </c>
      <c r="F319" s="22" t="s">
        <v>107</v>
      </c>
      <c r="G319" s="22" t="s">
        <v>59</v>
      </c>
      <c r="H319" s="22" t="s">
        <v>60</v>
      </c>
      <c r="I319" s="22"/>
      <c r="J319" s="22" t="s">
        <v>61</v>
      </c>
      <c r="K319" s="22" t="s">
        <v>2871</v>
      </c>
      <c r="L319" s="22" t="s">
        <v>62</v>
      </c>
      <c r="M319" s="22" t="s">
        <v>365</v>
      </c>
      <c r="N319" s="22" t="s">
        <v>2872</v>
      </c>
      <c r="O319" s="22" t="s">
        <v>2873</v>
      </c>
      <c r="P319" s="22" t="s">
        <v>2874</v>
      </c>
      <c r="Q319" s="22" t="s">
        <v>2875</v>
      </c>
      <c r="R319" s="22" t="s">
        <v>2876</v>
      </c>
      <c r="S319" s="22" t="s">
        <v>61</v>
      </c>
      <c r="T319" s="22"/>
      <c r="U319" s="22" t="s">
        <v>204</v>
      </c>
      <c r="V319" s="22" t="s">
        <v>70</v>
      </c>
      <c r="W319" s="22" t="s">
        <v>71</v>
      </c>
      <c r="X319" s="25" t="n">
        <v>44409</v>
      </c>
      <c r="Y319" s="25" t="n">
        <v>46174</v>
      </c>
      <c r="Z319" s="22" t="s">
        <v>72</v>
      </c>
      <c r="AA319" s="22" t="s">
        <v>91</v>
      </c>
      <c r="AB319" s="22" t="s">
        <v>74</v>
      </c>
      <c r="AC319" s="22"/>
      <c r="AD319" s="22" t="n">
        <v>0</v>
      </c>
      <c r="AE319" s="22"/>
      <c r="AF319" s="22"/>
      <c r="AG319" s="22" t="s">
        <v>75</v>
      </c>
      <c r="AH319" s="22"/>
      <c r="AI319" s="22" t="n">
        <v>10</v>
      </c>
      <c r="AJ319" s="22" t="n">
        <v>30</v>
      </c>
      <c r="AK319" s="22" t="s">
        <v>61</v>
      </c>
      <c r="AL319" s="26" t="n">
        <v>37764</v>
      </c>
      <c r="AM319" s="26" t="n">
        <v>45006.7218678588</v>
      </c>
      <c r="AN319" s="25" t="n">
        <v>45009.4823958333</v>
      </c>
      <c r="AO319" s="22" t="n">
        <v>5</v>
      </c>
      <c r="AP319" s="22" t="n">
        <v>40</v>
      </c>
      <c r="AQ319" s="22" t="s">
        <v>1</v>
      </c>
      <c r="AR319" s="27" t="s">
        <v>680</v>
      </c>
      <c r="AS319" s="27" t="s">
        <v>206</v>
      </c>
      <c r="AT319" s="53" t="n">
        <v>45057</v>
      </c>
      <c r="AU319" s="27"/>
      <c r="AV319" s="27"/>
      <c r="AW319" s="27"/>
      <c r="AX319" s="27"/>
      <c r="AY319" s="27"/>
    </row>
    <row r="320" customFormat="false" ht="15.75" hidden="false" customHeight="true" outlineLevel="0" collapsed="false">
      <c r="A320" s="22" t="n">
        <v>316</v>
      </c>
      <c r="B320" s="23" t="s">
        <v>2877</v>
      </c>
      <c r="C320" s="22" t="s">
        <v>2878</v>
      </c>
      <c r="D320" s="22" t="s">
        <v>2879</v>
      </c>
      <c r="E320" s="22" t="s">
        <v>57</v>
      </c>
      <c r="F320" s="22" t="s">
        <v>107</v>
      </c>
      <c r="G320" s="22" t="s">
        <v>59</v>
      </c>
      <c r="H320" s="22" t="s">
        <v>60</v>
      </c>
      <c r="I320" s="22"/>
      <c r="J320" s="22" t="s">
        <v>61</v>
      </c>
      <c r="K320" s="22" t="s">
        <v>2880</v>
      </c>
      <c r="L320" s="22" t="s">
        <v>62</v>
      </c>
      <c r="M320" s="22" t="s">
        <v>84</v>
      </c>
      <c r="N320" s="22" t="s">
        <v>2881</v>
      </c>
      <c r="O320" s="22" t="s">
        <v>2882</v>
      </c>
      <c r="P320" s="22" t="s">
        <v>2883</v>
      </c>
      <c r="Q320" s="22"/>
      <c r="R320" s="22" t="s">
        <v>2884</v>
      </c>
      <c r="S320" s="22" t="s">
        <v>61</v>
      </c>
      <c r="T320" s="22"/>
      <c r="U320" s="22" t="s">
        <v>251</v>
      </c>
      <c r="V320" s="22" t="s">
        <v>70</v>
      </c>
      <c r="W320" s="22" t="s">
        <v>71</v>
      </c>
      <c r="X320" s="25" t="n">
        <v>43831</v>
      </c>
      <c r="Y320" s="25" t="n">
        <v>45992</v>
      </c>
      <c r="Z320" s="22" t="s">
        <v>72</v>
      </c>
      <c r="AA320" s="22" t="s">
        <v>91</v>
      </c>
      <c r="AB320" s="22" t="s">
        <v>74</v>
      </c>
      <c r="AC320" s="22"/>
      <c r="AD320" s="22" t="n">
        <v>0</v>
      </c>
      <c r="AE320" s="22"/>
      <c r="AF320" s="22"/>
      <c r="AG320" s="22" t="s">
        <v>75</v>
      </c>
      <c r="AH320" s="22"/>
      <c r="AI320" s="22" t="n">
        <v>10</v>
      </c>
      <c r="AJ320" s="22" t="n">
        <v>30</v>
      </c>
      <c r="AK320" s="22" t="s">
        <v>61</v>
      </c>
      <c r="AL320" s="26" t="n">
        <v>37768</v>
      </c>
      <c r="AM320" s="26" t="n">
        <v>45005.5987926389</v>
      </c>
      <c r="AN320" s="25" t="n">
        <v>45008.8076273148</v>
      </c>
      <c r="AO320" s="22" t="n">
        <v>5</v>
      </c>
      <c r="AP320" s="22" t="n">
        <v>40</v>
      </c>
      <c r="AQ320" s="22" t="s">
        <v>1</v>
      </c>
      <c r="AR320" s="27" t="s">
        <v>680</v>
      </c>
      <c r="AS320" s="27" t="s">
        <v>206</v>
      </c>
      <c r="AT320" s="53" t="n">
        <v>45057</v>
      </c>
      <c r="AU320" s="27"/>
      <c r="AV320" s="27"/>
      <c r="AW320" s="27"/>
      <c r="AX320" s="27"/>
      <c r="AY320" s="27"/>
    </row>
    <row r="321" customFormat="false" ht="15.75" hidden="false" customHeight="true" outlineLevel="0" collapsed="false">
      <c r="A321" s="22" t="n">
        <v>317</v>
      </c>
      <c r="B321" s="23" t="s">
        <v>2885</v>
      </c>
      <c r="C321" s="22"/>
      <c r="D321" s="22" t="s">
        <v>2886</v>
      </c>
      <c r="E321" s="22" t="s">
        <v>57</v>
      </c>
      <c r="F321" s="22" t="s">
        <v>107</v>
      </c>
      <c r="G321" s="22" t="s">
        <v>59</v>
      </c>
      <c r="H321" s="22" t="s">
        <v>96</v>
      </c>
      <c r="I321" s="22"/>
      <c r="J321" s="22" t="s">
        <v>61</v>
      </c>
      <c r="K321" s="22" t="s">
        <v>2887</v>
      </c>
      <c r="L321" s="22" t="s">
        <v>62</v>
      </c>
      <c r="M321" s="22" t="s">
        <v>63</v>
      </c>
      <c r="N321" s="22" t="s">
        <v>2888</v>
      </c>
      <c r="O321" s="22" t="s">
        <v>1143</v>
      </c>
      <c r="P321" s="22" t="s">
        <v>2889</v>
      </c>
      <c r="Q321" s="22"/>
      <c r="R321" s="22" t="s">
        <v>2890</v>
      </c>
      <c r="S321" s="22" t="s">
        <v>61</v>
      </c>
      <c r="T321" s="22"/>
      <c r="U321" s="22" t="s">
        <v>2329</v>
      </c>
      <c r="V321" s="22" t="s">
        <v>70</v>
      </c>
      <c r="W321" s="22" t="s">
        <v>71</v>
      </c>
      <c r="X321" s="25" t="n">
        <v>44378</v>
      </c>
      <c r="Y321" s="25" t="n">
        <v>45992</v>
      </c>
      <c r="Z321" s="22" t="s">
        <v>72</v>
      </c>
      <c r="AA321" s="22" t="s">
        <v>91</v>
      </c>
      <c r="AB321" s="22" t="s">
        <v>74</v>
      </c>
      <c r="AC321" s="22"/>
      <c r="AD321" s="22" t="n">
        <v>0</v>
      </c>
      <c r="AE321" s="22"/>
      <c r="AF321" s="22"/>
      <c r="AG321" s="22" t="s">
        <v>75</v>
      </c>
      <c r="AH321" s="22"/>
      <c r="AI321" s="22" t="n">
        <v>10</v>
      </c>
      <c r="AJ321" s="22" t="n">
        <v>30</v>
      </c>
      <c r="AK321" s="22" t="s">
        <v>76</v>
      </c>
      <c r="AL321" s="26" t="n">
        <v>37775</v>
      </c>
      <c r="AM321" s="26" t="n">
        <v>45009.3922452894</v>
      </c>
      <c r="AN321" s="25" t="n">
        <v>45009.3977199074</v>
      </c>
      <c r="AO321" s="22" t="n">
        <v>5</v>
      </c>
      <c r="AP321" s="22" t="n">
        <v>40</v>
      </c>
      <c r="AQ321" s="22" t="s">
        <v>1</v>
      </c>
      <c r="AR321" s="27" t="s">
        <v>680</v>
      </c>
      <c r="AS321" s="27" t="s">
        <v>1698</v>
      </c>
      <c r="AT321" s="53" t="n">
        <v>45057</v>
      </c>
      <c r="AU321" s="27"/>
      <c r="AV321" s="27"/>
      <c r="AW321" s="27"/>
      <c r="AX321" s="27"/>
      <c r="AY321" s="27"/>
    </row>
    <row r="322" customFormat="false" ht="15.75" hidden="false" customHeight="true" outlineLevel="0" collapsed="false">
      <c r="A322" s="22" t="n">
        <v>318</v>
      </c>
      <c r="B322" s="23" t="s">
        <v>2891</v>
      </c>
      <c r="C322" s="22"/>
      <c r="D322" s="22" t="s">
        <v>2892</v>
      </c>
      <c r="E322" s="22" t="s">
        <v>57</v>
      </c>
      <c r="F322" s="22" t="s">
        <v>107</v>
      </c>
      <c r="G322" s="22" t="s">
        <v>59</v>
      </c>
      <c r="H322" s="22" t="s">
        <v>96</v>
      </c>
      <c r="I322" s="22"/>
      <c r="J322" s="22" t="s">
        <v>61</v>
      </c>
      <c r="K322" s="22" t="s">
        <v>2893</v>
      </c>
      <c r="L322" s="22" t="s">
        <v>62</v>
      </c>
      <c r="M322" s="22" t="s">
        <v>63</v>
      </c>
      <c r="N322" s="22" t="s">
        <v>2894</v>
      </c>
      <c r="O322" s="22" t="s">
        <v>2895</v>
      </c>
      <c r="P322" s="22" t="s">
        <v>2896</v>
      </c>
      <c r="Q322" s="22" t="s">
        <v>2897</v>
      </c>
      <c r="R322" s="22" t="s">
        <v>2898</v>
      </c>
      <c r="S322" s="22" t="s">
        <v>61</v>
      </c>
      <c r="T322" s="22"/>
      <c r="U322" s="22" t="s">
        <v>789</v>
      </c>
      <c r="V322" s="22" t="s">
        <v>70</v>
      </c>
      <c r="W322" s="22" t="s">
        <v>71</v>
      </c>
      <c r="X322" s="25" t="n">
        <v>44228</v>
      </c>
      <c r="Y322" s="25" t="n">
        <v>45992</v>
      </c>
      <c r="Z322" s="22" t="s">
        <v>72</v>
      </c>
      <c r="AA322" s="22" t="s">
        <v>149</v>
      </c>
      <c r="AB322" s="22" t="s">
        <v>74</v>
      </c>
      <c r="AC322" s="22"/>
      <c r="AD322" s="22" t="n">
        <v>0</v>
      </c>
      <c r="AE322" s="22"/>
      <c r="AF322" s="22"/>
      <c r="AG322" s="22" t="s">
        <v>75</v>
      </c>
      <c r="AH322" s="22"/>
      <c r="AI322" s="22" t="n">
        <v>10</v>
      </c>
      <c r="AJ322" s="22" t="n">
        <v>30</v>
      </c>
      <c r="AK322" s="22" t="s">
        <v>61</v>
      </c>
      <c r="AL322" s="26" t="n">
        <v>37776</v>
      </c>
      <c r="AM322" s="26" t="n">
        <v>45007.8802954977</v>
      </c>
      <c r="AN322" s="25" t="n">
        <v>45007.8846527778</v>
      </c>
      <c r="AO322" s="22" t="n">
        <v>5</v>
      </c>
      <c r="AP322" s="22" t="n">
        <v>40</v>
      </c>
      <c r="AQ322" s="22" t="s">
        <v>0</v>
      </c>
      <c r="AR322" s="27" t="s">
        <v>680</v>
      </c>
      <c r="AS322" s="27" t="s">
        <v>78</v>
      </c>
      <c r="AT322" s="27"/>
      <c r="AU322" s="27"/>
      <c r="AV322" s="27"/>
      <c r="AW322" s="27"/>
      <c r="AX322" s="27"/>
      <c r="AY322" s="27"/>
    </row>
    <row r="323" customFormat="false" ht="15.75" hidden="false" customHeight="true" outlineLevel="0" collapsed="false">
      <c r="A323" s="22" t="n">
        <v>319</v>
      </c>
      <c r="B323" s="23" t="s">
        <v>2899</v>
      </c>
      <c r="C323" s="22" t="s">
        <v>2900</v>
      </c>
      <c r="D323" s="22" t="s">
        <v>2901</v>
      </c>
      <c r="E323" s="22" t="s">
        <v>57</v>
      </c>
      <c r="F323" s="22" t="s">
        <v>107</v>
      </c>
      <c r="G323" s="22" t="s">
        <v>59</v>
      </c>
      <c r="H323" s="22" t="s">
        <v>60</v>
      </c>
      <c r="I323" s="22"/>
      <c r="J323" s="22" t="s">
        <v>61</v>
      </c>
      <c r="K323" s="22" t="s">
        <v>2902</v>
      </c>
      <c r="L323" s="22" t="s">
        <v>62</v>
      </c>
      <c r="M323" s="22" t="s">
        <v>693</v>
      </c>
      <c r="N323" s="22" t="s">
        <v>2903</v>
      </c>
      <c r="O323" s="22" t="s">
        <v>2904</v>
      </c>
      <c r="P323" s="22" t="s">
        <v>2905</v>
      </c>
      <c r="Q323" s="22" t="s">
        <v>2906</v>
      </c>
      <c r="R323" s="22" t="s">
        <v>2907</v>
      </c>
      <c r="S323" s="22" t="s">
        <v>61</v>
      </c>
      <c r="T323" s="22"/>
      <c r="U323" s="22" t="s">
        <v>2908</v>
      </c>
      <c r="V323" s="22" t="s">
        <v>70</v>
      </c>
      <c r="W323" s="22" t="s">
        <v>71</v>
      </c>
      <c r="X323" s="25" t="n">
        <v>44197</v>
      </c>
      <c r="Y323" s="25" t="n">
        <v>45992</v>
      </c>
      <c r="Z323" s="22" t="s">
        <v>72</v>
      </c>
      <c r="AA323" s="22" t="s">
        <v>149</v>
      </c>
      <c r="AB323" s="22" t="s">
        <v>74</v>
      </c>
      <c r="AC323" s="22"/>
      <c r="AD323" s="22" t="n">
        <v>0</v>
      </c>
      <c r="AE323" s="22"/>
      <c r="AF323" s="22"/>
      <c r="AG323" s="22" t="s">
        <v>75</v>
      </c>
      <c r="AH323" s="22"/>
      <c r="AI323" s="22" t="n">
        <v>10</v>
      </c>
      <c r="AJ323" s="22" t="n">
        <v>30</v>
      </c>
      <c r="AK323" s="22" t="s">
        <v>61</v>
      </c>
      <c r="AL323" s="26" t="n">
        <v>37780</v>
      </c>
      <c r="AM323" s="26" t="n">
        <v>45006.5835998843</v>
      </c>
      <c r="AN323" s="25" t="n">
        <v>45006.5846643519</v>
      </c>
      <c r="AO323" s="22" t="n">
        <v>5</v>
      </c>
      <c r="AP323" s="22" t="n">
        <v>40</v>
      </c>
      <c r="AQ323" s="22" t="s">
        <v>1</v>
      </c>
      <c r="AR323" s="34" t="s">
        <v>680</v>
      </c>
      <c r="AS323" s="27" t="s">
        <v>206</v>
      </c>
      <c r="AT323" s="53" t="n">
        <v>45057</v>
      </c>
      <c r="AU323" s="27"/>
      <c r="AV323" s="27"/>
      <c r="AW323" s="27"/>
      <c r="AX323" s="27"/>
      <c r="AY323" s="27"/>
    </row>
    <row r="324" customFormat="false" ht="15.75" hidden="false" customHeight="true" outlineLevel="0" collapsed="false">
      <c r="A324" s="22" t="n">
        <v>320</v>
      </c>
      <c r="B324" s="23" t="s">
        <v>2909</v>
      </c>
      <c r="C324" s="22" t="s">
        <v>2910</v>
      </c>
      <c r="D324" s="22" t="s">
        <v>2911</v>
      </c>
      <c r="E324" s="22" t="s">
        <v>81</v>
      </c>
      <c r="F324" s="22" t="s">
        <v>107</v>
      </c>
      <c r="G324" s="22" t="s">
        <v>59</v>
      </c>
      <c r="H324" s="22" t="s">
        <v>96</v>
      </c>
      <c r="I324" s="22"/>
      <c r="J324" s="22" t="s">
        <v>61</v>
      </c>
      <c r="K324" s="22" t="s">
        <v>2912</v>
      </c>
      <c r="L324" s="22" t="s">
        <v>62</v>
      </c>
      <c r="M324" s="22" t="s">
        <v>63</v>
      </c>
      <c r="N324" s="22" t="s">
        <v>2913</v>
      </c>
      <c r="O324" s="22" t="s">
        <v>2146</v>
      </c>
      <c r="P324" s="22" t="s">
        <v>2914</v>
      </c>
      <c r="Q324" s="22" t="s">
        <v>2915</v>
      </c>
      <c r="R324" s="22" t="s">
        <v>2916</v>
      </c>
      <c r="S324" s="22" t="s">
        <v>61</v>
      </c>
      <c r="T324" s="22"/>
      <c r="U324" s="22" t="s">
        <v>879</v>
      </c>
      <c r="V324" s="22" t="s">
        <v>70</v>
      </c>
      <c r="W324" s="22" t="s">
        <v>71</v>
      </c>
      <c r="X324" s="25" t="n">
        <v>44197</v>
      </c>
      <c r="Y324" s="25" t="n">
        <v>45992</v>
      </c>
      <c r="Z324" s="22" t="s">
        <v>72</v>
      </c>
      <c r="AA324" s="22" t="s">
        <v>149</v>
      </c>
      <c r="AB324" s="22" t="s">
        <v>74</v>
      </c>
      <c r="AC324" s="22"/>
      <c r="AD324" s="22" t="n">
        <v>0</v>
      </c>
      <c r="AE324" s="22"/>
      <c r="AF324" s="22"/>
      <c r="AG324" s="22" t="s">
        <v>75</v>
      </c>
      <c r="AH324" s="22"/>
      <c r="AI324" s="22" t="n">
        <v>10</v>
      </c>
      <c r="AJ324" s="22" t="n">
        <v>30</v>
      </c>
      <c r="AK324" s="22" t="s">
        <v>61</v>
      </c>
      <c r="AL324" s="26" t="n">
        <v>37803</v>
      </c>
      <c r="AM324" s="26" t="n">
        <v>45000.7064593171</v>
      </c>
      <c r="AN324" s="25" t="n">
        <v>45001.6729050926</v>
      </c>
      <c r="AO324" s="22" t="n">
        <v>5</v>
      </c>
      <c r="AP324" s="22" t="n">
        <v>40</v>
      </c>
      <c r="AQ324" s="22" t="s">
        <v>0</v>
      </c>
      <c r="AR324" s="27" t="s">
        <v>680</v>
      </c>
      <c r="AS324" s="27" t="s">
        <v>78</v>
      </c>
      <c r="AT324" s="27"/>
      <c r="AU324" s="27"/>
      <c r="AV324" s="27"/>
      <c r="AW324" s="27"/>
      <c r="AX324" s="27"/>
      <c r="AY324" s="27"/>
    </row>
    <row r="325" customFormat="false" ht="15.75" hidden="false" customHeight="true" outlineLevel="0" collapsed="false">
      <c r="A325" s="22" t="n">
        <v>321</v>
      </c>
      <c r="B325" s="23" t="s">
        <v>2917</v>
      </c>
      <c r="C325" s="22" t="s">
        <v>2918</v>
      </c>
      <c r="D325" s="22" t="s">
        <v>2919</v>
      </c>
      <c r="E325" s="22" t="s">
        <v>57</v>
      </c>
      <c r="F325" s="22" t="s">
        <v>107</v>
      </c>
      <c r="G325" s="22" t="s">
        <v>59</v>
      </c>
      <c r="H325" s="22" t="s">
        <v>96</v>
      </c>
      <c r="I325" s="22"/>
      <c r="J325" s="22" t="s">
        <v>61</v>
      </c>
      <c r="K325" s="22" t="s">
        <v>2920</v>
      </c>
      <c r="L325" s="22" t="s">
        <v>62</v>
      </c>
      <c r="M325" s="22" t="s">
        <v>84</v>
      </c>
      <c r="N325" s="22" t="s">
        <v>2921</v>
      </c>
      <c r="O325" s="22" t="s">
        <v>2922</v>
      </c>
      <c r="P325" s="22" t="s">
        <v>2923</v>
      </c>
      <c r="Q325" s="22" t="s">
        <v>2924</v>
      </c>
      <c r="R325" s="22" t="s">
        <v>2925</v>
      </c>
      <c r="S325" s="22" t="s">
        <v>61</v>
      </c>
      <c r="T325" s="22"/>
      <c r="U325" s="22" t="s">
        <v>2926</v>
      </c>
      <c r="V325" s="22" t="s">
        <v>70</v>
      </c>
      <c r="W325" s="22" t="s">
        <v>71</v>
      </c>
      <c r="X325" s="25" t="n">
        <v>44197</v>
      </c>
      <c r="Y325" s="25" t="n">
        <v>45658</v>
      </c>
      <c r="Z325" s="22" t="s">
        <v>72</v>
      </c>
      <c r="AA325" s="22" t="s">
        <v>91</v>
      </c>
      <c r="AB325" s="22" t="s">
        <v>74</v>
      </c>
      <c r="AC325" s="22"/>
      <c r="AD325" s="22" t="n">
        <v>0</v>
      </c>
      <c r="AE325" s="22"/>
      <c r="AF325" s="22"/>
      <c r="AG325" s="22" t="s">
        <v>75</v>
      </c>
      <c r="AH325" s="22"/>
      <c r="AI325" s="22" t="n">
        <v>10</v>
      </c>
      <c r="AJ325" s="22" t="n">
        <v>30</v>
      </c>
      <c r="AK325" s="22" t="s">
        <v>76</v>
      </c>
      <c r="AL325" s="26" t="n">
        <v>37820</v>
      </c>
      <c r="AM325" s="26" t="n">
        <v>45000.6011073958</v>
      </c>
      <c r="AN325" s="25" t="n">
        <v>45000.6032060185</v>
      </c>
      <c r="AO325" s="22" t="n">
        <v>5</v>
      </c>
      <c r="AP325" s="22" t="n">
        <v>40</v>
      </c>
      <c r="AQ325" s="22" t="s">
        <v>1</v>
      </c>
      <c r="AR325" s="34" t="s">
        <v>680</v>
      </c>
      <c r="AS325" s="27"/>
      <c r="AT325" s="53" t="n">
        <v>45057</v>
      </c>
      <c r="AU325" s="27"/>
      <c r="AV325" s="27"/>
      <c r="AW325" s="27"/>
      <c r="AX325" s="27"/>
      <c r="AY325" s="27"/>
    </row>
    <row r="326" customFormat="false" ht="15.75" hidden="false" customHeight="true" outlineLevel="0" collapsed="false">
      <c r="A326" s="22" t="n">
        <v>322</v>
      </c>
      <c r="B326" s="23" t="s">
        <v>2927</v>
      </c>
      <c r="C326" s="22"/>
      <c r="D326" s="22" t="s">
        <v>2928</v>
      </c>
      <c r="E326" s="22" t="s">
        <v>81</v>
      </c>
      <c r="F326" s="22" t="s">
        <v>107</v>
      </c>
      <c r="G326" s="22" t="s">
        <v>59</v>
      </c>
      <c r="H326" s="22" t="s">
        <v>60</v>
      </c>
      <c r="I326" s="22"/>
      <c r="J326" s="22" t="s">
        <v>61</v>
      </c>
      <c r="K326" s="22" t="s">
        <v>2929</v>
      </c>
      <c r="L326" s="22" t="s">
        <v>62</v>
      </c>
      <c r="M326" s="22" t="s">
        <v>84</v>
      </c>
      <c r="N326" s="22" t="s">
        <v>2930</v>
      </c>
      <c r="O326" s="22" t="s">
        <v>2931</v>
      </c>
      <c r="P326" s="22" t="s">
        <v>2932</v>
      </c>
      <c r="Q326" s="22" t="s">
        <v>2933</v>
      </c>
      <c r="R326" s="22" t="s">
        <v>2934</v>
      </c>
      <c r="S326" s="22" t="s">
        <v>61</v>
      </c>
      <c r="T326" s="22"/>
      <c r="U326" s="22" t="s">
        <v>672</v>
      </c>
      <c r="V326" s="22" t="s">
        <v>70</v>
      </c>
      <c r="W326" s="22" t="s">
        <v>71</v>
      </c>
      <c r="X326" s="25" t="n">
        <v>44228</v>
      </c>
      <c r="Y326" s="25" t="n">
        <v>45992</v>
      </c>
      <c r="Z326" s="22" t="s">
        <v>72</v>
      </c>
      <c r="AA326" s="22" t="s">
        <v>149</v>
      </c>
      <c r="AB326" s="22" t="s">
        <v>74</v>
      </c>
      <c r="AC326" s="22"/>
      <c r="AD326" s="22" t="n">
        <v>0</v>
      </c>
      <c r="AE326" s="22"/>
      <c r="AF326" s="22"/>
      <c r="AG326" s="22" t="s">
        <v>75</v>
      </c>
      <c r="AH326" s="22"/>
      <c r="AI326" s="22" t="n">
        <v>10</v>
      </c>
      <c r="AJ326" s="22" t="n">
        <v>30</v>
      </c>
      <c r="AK326" s="22" t="s">
        <v>76</v>
      </c>
      <c r="AL326" s="26" t="n">
        <v>37829</v>
      </c>
      <c r="AM326" s="26" t="n">
        <v>45004.628961412</v>
      </c>
      <c r="AN326" s="25" t="n">
        <v>45005.9129398148</v>
      </c>
      <c r="AO326" s="22" t="n">
        <v>5</v>
      </c>
      <c r="AP326" s="22" t="n">
        <v>40</v>
      </c>
      <c r="AQ326" s="22" t="s">
        <v>1</v>
      </c>
      <c r="AR326" s="34" t="s">
        <v>680</v>
      </c>
      <c r="AS326" s="27" t="s">
        <v>206</v>
      </c>
      <c r="AT326" s="53" t="n">
        <v>45057</v>
      </c>
      <c r="AU326" s="27"/>
      <c r="AV326" s="27"/>
      <c r="AW326" s="27"/>
      <c r="AX326" s="27"/>
      <c r="AY326" s="27"/>
    </row>
    <row r="327" customFormat="false" ht="15.75" hidden="false" customHeight="true" outlineLevel="0" collapsed="false">
      <c r="A327" s="22" t="n">
        <v>323</v>
      </c>
      <c r="B327" s="23" t="s">
        <v>2935</v>
      </c>
      <c r="C327" s="22"/>
      <c r="D327" s="22" t="s">
        <v>2936</v>
      </c>
      <c r="E327" s="22" t="s">
        <v>81</v>
      </c>
      <c r="F327" s="22" t="s">
        <v>107</v>
      </c>
      <c r="G327" s="22" t="s">
        <v>59</v>
      </c>
      <c r="H327" s="22" t="s">
        <v>60</v>
      </c>
      <c r="I327" s="22"/>
      <c r="J327" s="22" t="s">
        <v>61</v>
      </c>
      <c r="K327" s="22" t="s">
        <v>2937</v>
      </c>
      <c r="L327" s="22" t="s">
        <v>62</v>
      </c>
      <c r="M327" s="22" t="s">
        <v>2938</v>
      </c>
      <c r="N327" s="22" t="s">
        <v>2939</v>
      </c>
      <c r="O327" s="22" t="s">
        <v>213</v>
      </c>
      <c r="P327" s="22" t="s">
        <v>2940</v>
      </c>
      <c r="Q327" s="22"/>
      <c r="R327" s="22" t="s">
        <v>2941</v>
      </c>
      <c r="S327" s="22" t="s">
        <v>61</v>
      </c>
      <c r="T327" s="22"/>
      <c r="U327" s="22" t="s">
        <v>1015</v>
      </c>
      <c r="V327" s="22" t="s">
        <v>70</v>
      </c>
      <c r="W327" s="22" t="s">
        <v>71</v>
      </c>
      <c r="X327" s="25" t="n">
        <v>44228</v>
      </c>
      <c r="Y327" s="25" t="n">
        <v>45992</v>
      </c>
      <c r="Z327" s="22" t="s">
        <v>72</v>
      </c>
      <c r="AA327" s="22" t="s">
        <v>149</v>
      </c>
      <c r="AB327" s="22" t="s">
        <v>74</v>
      </c>
      <c r="AC327" s="22"/>
      <c r="AD327" s="22" t="n">
        <v>0</v>
      </c>
      <c r="AE327" s="22"/>
      <c r="AF327" s="22"/>
      <c r="AG327" s="22" t="s">
        <v>75</v>
      </c>
      <c r="AH327" s="22"/>
      <c r="AI327" s="22" t="n">
        <v>10</v>
      </c>
      <c r="AJ327" s="22" t="n">
        <v>30</v>
      </c>
      <c r="AK327" s="22" t="s">
        <v>76</v>
      </c>
      <c r="AL327" s="26" t="n">
        <v>37844</v>
      </c>
      <c r="AM327" s="26" t="n">
        <v>45006.4173817477</v>
      </c>
      <c r="AN327" s="25" t="n">
        <v>45008.8420717593</v>
      </c>
      <c r="AO327" s="22" t="n">
        <v>5</v>
      </c>
      <c r="AP327" s="22" t="n">
        <v>40</v>
      </c>
      <c r="AQ327" s="22" t="s">
        <v>1</v>
      </c>
      <c r="AR327" s="34" t="s">
        <v>680</v>
      </c>
      <c r="AS327" s="27" t="s">
        <v>206</v>
      </c>
      <c r="AT327" s="53" t="n">
        <v>45057</v>
      </c>
      <c r="AU327" s="27"/>
      <c r="AV327" s="27"/>
      <c r="AW327" s="27"/>
      <c r="AX327" s="27"/>
      <c r="AY327" s="27"/>
    </row>
    <row r="328" customFormat="false" ht="15.75" hidden="false" customHeight="true" outlineLevel="0" collapsed="false">
      <c r="A328" s="22" t="n">
        <v>324</v>
      </c>
      <c r="B328" s="23" t="s">
        <v>2942</v>
      </c>
      <c r="C328" s="22" t="s">
        <v>2943</v>
      </c>
      <c r="D328" s="22" t="s">
        <v>2944</v>
      </c>
      <c r="E328" s="22" t="s">
        <v>81</v>
      </c>
      <c r="F328" s="22" t="s">
        <v>107</v>
      </c>
      <c r="G328" s="22" t="s">
        <v>59</v>
      </c>
      <c r="H328" s="22" t="s">
        <v>327</v>
      </c>
      <c r="I328" s="22"/>
      <c r="J328" s="22" t="s">
        <v>61</v>
      </c>
      <c r="K328" s="22" t="s">
        <v>2945</v>
      </c>
      <c r="L328" s="22" t="s">
        <v>62</v>
      </c>
      <c r="M328" s="22" t="s">
        <v>63</v>
      </c>
      <c r="N328" s="22" t="s">
        <v>2946</v>
      </c>
      <c r="O328" s="22" t="s">
        <v>159</v>
      </c>
      <c r="P328" s="22" t="s">
        <v>2947</v>
      </c>
      <c r="Q328" s="22" t="s">
        <v>2948</v>
      </c>
      <c r="R328" s="22" t="s">
        <v>2949</v>
      </c>
      <c r="S328" s="22" t="s">
        <v>61</v>
      </c>
      <c r="T328" s="22"/>
      <c r="U328" s="22" t="s">
        <v>780</v>
      </c>
      <c r="V328" s="22" t="s">
        <v>70</v>
      </c>
      <c r="W328" s="22" t="s">
        <v>71</v>
      </c>
      <c r="X328" s="25" t="n">
        <v>44409</v>
      </c>
      <c r="Y328" s="25" t="n">
        <v>46357</v>
      </c>
      <c r="Z328" s="22" t="s">
        <v>72</v>
      </c>
      <c r="AA328" s="22" t="s">
        <v>149</v>
      </c>
      <c r="AB328" s="22" t="s">
        <v>74</v>
      </c>
      <c r="AC328" s="22"/>
      <c r="AD328" s="22" t="n">
        <v>0</v>
      </c>
      <c r="AE328" s="22"/>
      <c r="AF328" s="22"/>
      <c r="AG328" s="22" t="s">
        <v>75</v>
      </c>
      <c r="AH328" s="22"/>
      <c r="AI328" s="22" t="n">
        <v>10</v>
      </c>
      <c r="AJ328" s="22" t="n">
        <v>30</v>
      </c>
      <c r="AK328" s="22" t="s">
        <v>61</v>
      </c>
      <c r="AL328" s="26" t="n">
        <v>37924</v>
      </c>
      <c r="AM328" s="26" t="n">
        <v>45000.4598571875</v>
      </c>
      <c r="AN328" s="25" t="n">
        <v>45003.4378472222</v>
      </c>
      <c r="AO328" s="22" t="n">
        <v>5</v>
      </c>
      <c r="AP328" s="22" t="n">
        <v>40</v>
      </c>
      <c r="AQ328" s="22" t="s">
        <v>0</v>
      </c>
      <c r="AR328" s="27" t="s">
        <v>680</v>
      </c>
      <c r="AS328" s="27" t="s">
        <v>78</v>
      </c>
      <c r="AT328" s="27"/>
      <c r="AU328" s="27"/>
      <c r="AV328" s="27"/>
      <c r="AW328" s="27"/>
      <c r="AX328" s="27"/>
      <c r="AY328" s="27"/>
    </row>
    <row r="329" customFormat="false" ht="15.75" hidden="false" customHeight="true" outlineLevel="0" collapsed="false">
      <c r="A329" s="22" t="n">
        <v>325</v>
      </c>
      <c r="B329" s="23" t="s">
        <v>2950</v>
      </c>
      <c r="C329" s="22"/>
      <c r="D329" s="22" t="s">
        <v>2951</v>
      </c>
      <c r="E329" s="22" t="s">
        <v>57</v>
      </c>
      <c r="F329" s="22" t="s">
        <v>107</v>
      </c>
      <c r="G329" s="22" t="s">
        <v>59</v>
      </c>
      <c r="H329" s="22" t="s">
        <v>96</v>
      </c>
      <c r="I329" s="22"/>
      <c r="J329" s="22" t="s">
        <v>61</v>
      </c>
      <c r="K329" s="22" t="s">
        <v>2952</v>
      </c>
      <c r="L329" s="22" t="s">
        <v>62</v>
      </c>
      <c r="M329" s="22" t="s">
        <v>2953</v>
      </c>
      <c r="N329" s="22" t="s">
        <v>2954</v>
      </c>
      <c r="O329" s="22" t="s">
        <v>2955</v>
      </c>
      <c r="P329" s="22" t="s">
        <v>2956</v>
      </c>
      <c r="Q329" s="22" t="s">
        <v>2957</v>
      </c>
      <c r="R329" s="22" t="s">
        <v>2958</v>
      </c>
      <c r="S329" s="22" t="s">
        <v>61</v>
      </c>
      <c r="T329" s="22"/>
      <c r="U329" s="22" t="s">
        <v>412</v>
      </c>
      <c r="V329" s="22" t="s">
        <v>70</v>
      </c>
      <c r="W329" s="22" t="s">
        <v>71</v>
      </c>
      <c r="X329" s="25" t="n">
        <v>44409</v>
      </c>
      <c r="Y329" s="25" t="n">
        <v>45992</v>
      </c>
      <c r="Z329" s="22" t="s">
        <v>72</v>
      </c>
      <c r="AA329" s="22" t="s">
        <v>149</v>
      </c>
      <c r="AB329" s="22" t="s">
        <v>74</v>
      </c>
      <c r="AC329" s="22"/>
      <c r="AD329" s="22" t="n">
        <v>0</v>
      </c>
      <c r="AE329" s="22"/>
      <c r="AF329" s="22"/>
      <c r="AG329" s="22" t="s">
        <v>75</v>
      </c>
      <c r="AH329" s="22"/>
      <c r="AI329" s="22" t="n">
        <v>10</v>
      </c>
      <c r="AJ329" s="22" t="n">
        <v>30</v>
      </c>
      <c r="AK329" s="22" t="s">
        <v>61</v>
      </c>
      <c r="AL329" s="26" t="n">
        <v>37942</v>
      </c>
      <c r="AM329" s="26" t="n">
        <v>45006.7966549653</v>
      </c>
      <c r="AN329" s="25" t="n">
        <v>45007.6569328704</v>
      </c>
      <c r="AO329" s="22" t="n">
        <v>5</v>
      </c>
      <c r="AP329" s="22" t="n">
        <v>40</v>
      </c>
      <c r="AQ329" s="22" t="s">
        <v>1</v>
      </c>
      <c r="AR329" s="34" t="s">
        <v>680</v>
      </c>
      <c r="AS329" s="27" t="s">
        <v>206</v>
      </c>
      <c r="AT329" s="53" t="n">
        <v>45057</v>
      </c>
      <c r="AU329" s="27"/>
      <c r="AV329" s="27"/>
      <c r="AW329" s="27"/>
      <c r="AX329" s="27"/>
      <c r="AY329" s="27"/>
    </row>
    <row r="330" customFormat="false" ht="15.75" hidden="false" customHeight="true" outlineLevel="0" collapsed="false">
      <c r="A330" s="22" t="n">
        <v>326</v>
      </c>
      <c r="B330" s="23" t="s">
        <v>2959</v>
      </c>
      <c r="C330" s="22" t="s">
        <v>2960</v>
      </c>
      <c r="D330" s="22" t="s">
        <v>2961</v>
      </c>
      <c r="E330" s="22" t="s">
        <v>57</v>
      </c>
      <c r="F330" s="22" t="s">
        <v>107</v>
      </c>
      <c r="G330" s="22" t="s">
        <v>59</v>
      </c>
      <c r="H330" s="22" t="s">
        <v>96</v>
      </c>
      <c r="I330" s="22"/>
      <c r="J330" s="22" t="s">
        <v>61</v>
      </c>
      <c r="K330" s="22" t="s">
        <v>2962</v>
      </c>
      <c r="L330" s="22" t="s">
        <v>62</v>
      </c>
      <c r="M330" s="22" t="s">
        <v>63</v>
      </c>
      <c r="N330" s="22" t="s">
        <v>2963</v>
      </c>
      <c r="O330" s="22" t="s">
        <v>963</v>
      </c>
      <c r="P330" s="22" t="s">
        <v>2964</v>
      </c>
      <c r="Q330" s="22"/>
      <c r="R330" s="22" t="s">
        <v>2965</v>
      </c>
      <c r="S330" s="22" t="s">
        <v>61</v>
      </c>
      <c r="T330" s="22"/>
      <c r="U330" s="22" t="s">
        <v>634</v>
      </c>
      <c r="V330" s="22" t="s">
        <v>70</v>
      </c>
      <c r="W330" s="22" t="s">
        <v>71</v>
      </c>
      <c r="X330" s="25" t="n">
        <v>44197</v>
      </c>
      <c r="Y330" s="25" t="n">
        <v>45992</v>
      </c>
      <c r="Z330" s="22" t="s">
        <v>72</v>
      </c>
      <c r="AA330" s="22" t="s">
        <v>149</v>
      </c>
      <c r="AB330" s="22" t="s">
        <v>74</v>
      </c>
      <c r="AC330" s="22"/>
      <c r="AD330" s="22" t="n">
        <v>0</v>
      </c>
      <c r="AE330" s="22"/>
      <c r="AF330" s="22"/>
      <c r="AG330" s="22" t="s">
        <v>75</v>
      </c>
      <c r="AH330" s="22"/>
      <c r="AI330" s="22" t="n">
        <v>10</v>
      </c>
      <c r="AJ330" s="22" t="n">
        <v>30</v>
      </c>
      <c r="AK330" s="22" t="s">
        <v>61</v>
      </c>
      <c r="AL330" s="26" t="n">
        <v>38002</v>
      </c>
      <c r="AM330" s="26" t="n">
        <v>45000.5699136343</v>
      </c>
      <c r="AN330" s="25" t="n">
        <v>45000.5760416667</v>
      </c>
      <c r="AO330" s="22" t="n">
        <v>5</v>
      </c>
      <c r="AP330" s="22" t="n">
        <v>40</v>
      </c>
      <c r="AQ330" s="22" t="s">
        <v>0</v>
      </c>
      <c r="AR330" s="34" t="s">
        <v>680</v>
      </c>
      <c r="AS330" s="27" t="s">
        <v>206</v>
      </c>
      <c r="AT330" s="28" t="n">
        <v>45057.5416666667</v>
      </c>
      <c r="AU330" s="27" t="s">
        <v>78</v>
      </c>
      <c r="AV330" s="27"/>
      <c r="AW330" s="27"/>
      <c r="AX330" s="27"/>
      <c r="AY330" s="27"/>
    </row>
    <row r="331" customFormat="false" ht="15.75" hidden="false" customHeight="true" outlineLevel="0" collapsed="false">
      <c r="A331" s="22" t="n">
        <v>327</v>
      </c>
      <c r="B331" s="23" t="s">
        <v>2966</v>
      </c>
      <c r="C331" s="22"/>
      <c r="D331" s="22" t="s">
        <v>2967</v>
      </c>
      <c r="E331" s="22" t="s">
        <v>81</v>
      </c>
      <c r="F331" s="22" t="s">
        <v>107</v>
      </c>
      <c r="G331" s="22" t="s">
        <v>59</v>
      </c>
      <c r="H331" s="22" t="s">
        <v>60</v>
      </c>
      <c r="I331" s="22"/>
      <c r="J331" s="22" t="s">
        <v>61</v>
      </c>
      <c r="K331" s="22" t="s">
        <v>2968</v>
      </c>
      <c r="L331" s="22" t="s">
        <v>62</v>
      </c>
      <c r="M331" s="22" t="s">
        <v>84</v>
      </c>
      <c r="N331" s="22" t="s">
        <v>2969</v>
      </c>
      <c r="O331" s="22" t="s">
        <v>2970</v>
      </c>
      <c r="P331" s="22" t="s">
        <v>2971</v>
      </c>
      <c r="Q331" s="22" t="s">
        <v>2972</v>
      </c>
      <c r="R331" s="22" t="s">
        <v>2973</v>
      </c>
      <c r="S331" s="22" t="s">
        <v>61</v>
      </c>
      <c r="T331" s="22"/>
      <c r="U331" s="22" t="s">
        <v>1146</v>
      </c>
      <c r="V331" s="22" t="s">
        <v>70</v>
      </c>
      <c r="W331" s="22" t="s">
        <v>71</v>
      </c>
      <c r="X331" s="25" t="n">
        <v>44958</v>
      </c>
      <c r="Y331" s="25" t="n">
        <v>46722</v>
      </c>
      <c r="Z331" s="22" t="s">
        <v>72</v>
      </c>
      <c r="AA331" s="22" t="s">
        <v>91</v>
      </c>
      <c r="AB331" s="22" t="s">
        <v>74</v>
      </c>
      <c r="AC331" s="22"/>
      <c r="AD331" s="22" t="n">
        <v>0</v>
      </c>
      <c r="AE331" s="22"/>
      <c r="AF331" s="22"/>
      <c r="AG331" s="22" t="s">
        <v>75</v>
      </c>
      <c r="AH331" s="22"/>
      <c r="AI331" s="22" t="n">
        <v>10</v>
      </c>
      <c r="AJ331" s="22" t="n">
        <v>30</v>
      </c>
      <c r="AK331" s="22" t="s">
        <v>76</v>
      </c>
      <c r="AL331" s="26" t="n">
        <v>38009</v>
      </c>
      <c r="AM331" s="26" t="n">
        <v>45006.7326786921</v>
      </c>
      <c r="AN331" s="25" t="n">
        <v>45007.5149652778</v>
      </c>
      <c r="AO331" s="22" t="n">
        <v>5</v>
      </c>
      <c r="AP331" s="22" t="n">
        <v>40</v>
      </c>
      <c r="AQ331" s="22" t="s">
        <v>1</v>
      </c>
      <c r="AR331" s="34" t="s">
        <v>680</v>
      </c>
      <c r="AS331" s="27" t="s">
        <v>206</v>
      </c>
      <c r="AT331" s="28" t="n">
        <v>45057.5416666667</v>
      </c>
      <c r="AU331" s="27" t="s">
        <v>220</v>
      </c>
      <c r="AV331" s="27"/>
      <c r="AW331" s="27"/>
      <c r="AX331" s="27"/>
      <c r="AY331" s="27"/>
    </row>
    <row r="332" customFormat="false" ht="15.75" hidden="false" customHeight="true" outlineLevel="0" collapsed="false">
      <c r="A332" s="22" t="n">
        <v>328</v>
      </c>
      <c r="B332" s="23" t="s">
        <v>2974</v>
      </c>
      <c r="C332" s="22"/>
      <c r="D332" s="22" t="s">
        <v>2975</v>
      </c>
      <c r="E332" s="22" t="s">
        <v>57</v>
      </c>
      <c r="F332" s="22" t="s">
        <v>107</v>
      </c>
      <c r="G332" s="22" t="s">
        <v>59</v>
      </c>
      <c r="H332" s="22" t="s">
        <v>60</v>
      </c>
      <c r="I332" s="22"/>
      <c r="J332" s="22" t="s">
        <v>61</v>
      </c>
      <c r="K332" s="22" t="s">
        <v>2976</v>
      </c>
      <c r="L332" s="22" t="s">
        <v>62</v>
      </c>
      <c r="M332" s="22" t="s">
        <v>1220</v>
      </c>
      <c r="N332" s="22" t="s">
        <v>2977</v>
      </c>
      <c r="O332" s="22" t="s">
        <v>2978</v>
      </c>
      <c r="P332" s="22" t="s">
        <v>2979</v>
      </c>
      <c r="Q332" s="22"/>
      <c r="R332" s="22" t="s">
        <v>2980</v>
      </c>
      <c r="S332" s="22" t="s">
        <v>61</v>
      </c>
      <c r="T332" s="22"/>
      <c r="U332" s="22" t="s">
        <v>2981</v>
      </c>
      <c r="V332" s="22" t="s">
        <v>70</v>
      </c>
      <c r="W332" s="22" t="s">
        <v>71</v>
      </c>
      <c r="X332" s="25" t="n">
        <v>44197</v>
      </c>
      <c r="Y332" s="25" t="n">
        <v>45992</v>
      </c>
      <c r="Z332" s="22" t="s">
        <v>72</v>
      </c>
      <c r="AA332" s="22" t="s">
        <v>149</v>
      </c>
      <c r="AB332" s="22" t="s">
        <v>74</v>
      </c>
      <c r="AC332" s="22"/>
      <c r="AD332" s="22" t="n">
        <v>0</v>
      </c>
      <c r="AE332" s="22"/>
      <c r="AF332" s="22"/>
      <c r="AG332" s="22" t="s">
        <v>75</v>
      </c>
      <c r="AH332" s="22"/>
      <c r="AI332" s="22" t="n">
        <v>10</v>
      </c>
      <c r="AJ332" s="22" t="n">
        <v>30</v>
      </c>
      <c r="AK332" s="22" t="s">
        <v>61</v>
      </c>
      <c r="AL332" s="26" t="n">
        <v>38044</v>
      </c>
      <c r="AM332" s="26" t="n">
        <v>45006.755958669</v>
      </c>
      <c r="AN332" s="25" t="n">
        <v>45006.7567476852</v>
      </c>
      <c r="AO332" s="22" t="n">
        <v>5</v>
      </c>
      <c r="AP332" s="22" t="n">
        <v>40</v>
      </c>
      <c r="AQ332" s="22" t="s">
        <v>1</v>
      </c>
      <c r="AR332" s="34" t="s">
        <v>680</v>
      </c>
      <c r="AS332" s="27" t="s">
        <v>206</v>
      </c>
      <c r="AT332" s="28" t="n">
        <v>45057.5416666667</v>
      </c>
      <c r="AU332" s="27" t="s">
        <v>220</v>
      </c>
      <c r="AV332" s="27"/>
      <c r="AW332" s="27"/>
      <c r="AX332" s="27"/>
      <c r="AY332" s="27"/>
    </row>
    <row r="333" customFormat="false" ht="15.75" hidden="false" customHeight="true" outlineLevel="0" collapsed="false">
      <c r="A333" s="22" t="n">
        <v>329</v>
      </c>
      <c r="B333" s="23" t="s">
        <v>2982</v>
      </c>
      <c r="C333" s="22"/>
      <c r="D333" s="22" t="s">
        <v>2983</v>
      </c>
      <c r="E333" s="22" t="s">
        <v>57</v>
      </c>
      <c r="F333" s="22" t="s">
        <v>107</v>
      </c>
      <c r="G333" s="22" t="s">
        <v>59</v>
      </c>
      <c r="H333" s="22" t="s">
        <v>96</v>
      </c>
      <c r="I333" s="22"/>
      <c r="J333" s="22" t="s">
        <v>61</v>
      </c>
      <c r="K333" s="22" t="s">
        <v>2984</v>
      </c>
      <c r="L333" s="22" t="s">
        <v>62</v>
      </c>
      <c r="M333" s="22" t="s">
        <v>2985</v>
      </c>
      <c r="N333" s="22" t="s">
        <v>2986</v>
      </c>
      <c r="O333" s="22" t="s">
        <v>2987</v>
      </c>
      <c r="P333" s="22" t="s">
        <v>2988</v>
      </c>
      <c r="Q333" s="22" t="s">
        <v>2989</v>
      </c>
      <c r="R333" s="22" t="s">
        <v>2990</v>
      </c>
      <c r="S333" s="22" t="s">
        <v>61</v>
      </c>
      <c r="T333" s="22"/>
      <c r="U333" s="22" t="s">
        <v>2991</v>
      </c>
      <c r="V333" s="22" t="s">
        <v>70</v>
      </c>
      <c r="W333" s="22" t="s">
        <v>71</v>
      </c>
      <c r="X333" s="25" t="n">
        <v>44927</v>
      </c>
      <c r="Y333" s="25" t="n">
        <v>46722</v>
      </c>
      <c r="Z333" s="22" t="s">
        <v>72</v>
      </c>
      <c r="AA333" s="22" t="s">
        <v>91</v>
      </c>
      <c r="AB333" s="22" t="s">
        <v>74</v>
      </c>
      <c r="AC333" s="22"/>
      <c r="AD333" s="22" t="n">
        <v>0</v>
      </c>
      <c r="AE333" s="22"/>
      <c r="AF333" s="22"/>
      <c r="AG333" s="22" t="s">
        <v>75</v>
      </c>
      <c r="AH333" s="22"/>
      <c r="AI333" s="22" t="n">
        <v>10</v>
      </c>
      <c r="AJ333" s="22" t="n">
        <v>30</v>
      </c>
      <c r="AK333" s="22" t="s">
        <v>61</v>
      </c>
      <c r="AL333" s="26" t="n">
        <v>38100</v>
      </c>
      <c r="AM333" s="26" t="n">
        <v>45000.5618180556</v>
      </c>
      <c r="AN333" s="25" t="n">
        <v>45000.5658333333</v>
      </c>
      <c r="AO333" s="22" t="n">
        <v>5</v>
      </c>
      <c r="AP333" s="22" t="n">
        <v>40</v>
      </c>
      <c r="AQ333" s="22" t="s">
        <v>1</v>
      </c>
      <c r="AR333" s="34" t="s">
        <v>680</v>
      </c>
      <c r="AS333" s="27" t="s">
        <v>206</v>
      </c>
      <c r="AT333" s="28" t="n">
        <v>45057.5416666667</v>
      </c>
      <c r="AU333" s="27" t="s">
        <v>220</v>
      </c>
      <c r="AV333" s="27"/>
      <c r="AW333" s="27"/>
      <c r="AX333" s="27"/>
      <c r="AY333" s="27"/>
    </row>
    <row r="334" customFormat="false" ht="15.75" hidden="false" customHeight="true" outlineLevel="0" collapsed="false">
      <c r="A334" s="22" t="n">
        <v>330</v>
      </c>
      <c r="B334" s="23" t="s">
        <v>2992</v>
      </c>
      <c r="C334" s="22"/>
      <c r="D334" s="22" t="s">
        <v>2993</v>
      </c>
      <c r="E334" s="22" t="s">
        <v>81</v>
      </c>
      <c r="F334" s="22" t="s">
        <v>107</v>
      </c>
      <c r="G334" s="22" t="s">
        <v>59</v>
      </c>
      <c r="H334" s="22" t="s">
        <v>96</v>
      </c>
      <c r="I334" s="22"/>
      <c r="J334" s="22" t="s">
        <v>61</v>
      </c>
      <c r="K334" s="22" t="s">
        <v>2994</v>
      </c>
      <c r="L334" s="22" t="s">
        <v>62</v>
      </c>
      <c r="M334" s="22" t="s">
        <v>63</v>
      </c>
      <c r="N334" s="22" t="s">
        <v>2995</v>
      </c>
      <c r="O334" s="22" t="s">
        <v>2996</v>
      </c>
      <c r="P334" s="22" t="s">
        <v>2997</v>
      </c>
      <c r="Q334" s="22" t="s">
        <v>2998</v>
      </c>
      <c r="R334" s="22" t="s">
        <v>2999</v>
      </c>
      <c r="S334" s="22" t="s">
        <v>61</v>
      </c>
      <c r="T334" s="22"/>
      <c r="U334" s="22" t="s">
        <v>412</v>
      </c>
      <c r="V334" s="22" t="s">
        <v>70</v>
      </c>
      <c r="W334" s="22" t="s">
        <v>71</v>
      </c>
      <c r="X334" s="25" t="n">
        <v>44409</v>
      </c>
      <c r="Y334" s="25" t="n">
        <v>45992</v>
      </c>
      <c r="Z334" s="22" t="s">
        <v>72</v>
      </c>
      <c r="AA334" s="22" t="s">
        <v>149</v>
      </c>
      <c r="AB334" s="22" t="s">
        <v>74</v>
      </c>
      <c r="AC334" s="22"/>
      <c r="AD334" s="22" t="n">
        <v>0</v>
      </c>
      <c r="AE334" s="22"/>
      <c r="AF334" s="22"/>
      <c r="AG334" s="22" t="s">
        <v>75</v>
      </c>
      <c r="AH334" s="22"/>
      <c r="AI334" s="22" t="n">
        <v>10</v>
      </c>
      <c r="AJ334" s="22" t="n">
        <v>30</v>
      </c>
      <c r="AK334" s="22" t="s">
        <v>76</v>
      </c>
      <c r="AL334" s="26" t="n">
        <v>38117</v>
      </c>
      <c r="AM334" s="26" t="n">
        <v>45006.4415490856</v>
      </c>
      <c r="AN334" s="25" t="n">
        <v>45006.4500925926</v>
      </c>
      <c r="AO334" s="22" t="n">
        <v>5</v>
      </c>
      <c r="AP334" s="22" t="n">
        <v>40</v>
      </c>
      <c r="AQ334" s="22" t="s">
        <v>0</v>
      </c>
      <c r="AR334" s="27" t="s">
        <v>680</v>
      </c>
      <c r="AS334" s="27" t="s">
        <v>78</v>
      </c>
      <c r="AT334" s="27"/>
      <c r="AU334" s="27"/>
      <c r="AV334" s="27"/>
      <c r="AW334" s="27"/>
      <c r="AX334" s="27"/>
      <c r="AY334" s="27"/>
    </row>
    <row r="335" customFormat="false" ht="15.75" hidden="false" customHeight="true" outlineLevel="0" collapsed="false">
      <c r="A335" s="22" t="n">
        <v>331</v>
      </c>
      <c r="B335" s="23" t="s">
        <v>3000</v>
      </c>
      <c r="C335" s="22" t="s">
        <v>3001</v>
      </c>
      <c r="D335" s="22" t="s">
        <v>3002</v>
      </c>
      <c r="E335" s="22" t="s">
        <v>81</v>
      </c>
      <c r="F335" s="22" t="s">
        <v>107</v>
      </c>
      <c r="G335" s="22" t="s">
        <v>59</v>
      </c>
      <c r="H335" s="22" t="s">
        <v>96</v>
      </c>
      <c r="I335" s="22"/>
      <c r="J335" s="22" t="s">
        <v>61</v>
      </c>
      <c r="K335" s="22" t="s">
        <v>3003</v>
      </c>
      <c r="L335" s="22" t="s">
        <v>62</v>
      </c>
      <c r="M335" s="22" t="s">
        <v>63</v>
      </c>
      <c r="N335" s="22" t="s">
        <v>3004</v>
      </c>
      <c r="O335" s="22" t="s">
        <v>3005</v>
      </c>
      <c r="P335" s="22" t="s">
        <v>3006</v>
      </c>
      <c r="Q335" s="22"/>
      <c r="R335" s="22" t="s">
        <v>3007</v>
      </c>
      <c r="S335" s="22" t="s">
        <v>61</v>
      </c>
      <c r="T335" s="22"/>
      <c r="U335" s="22" t="s">
        <v>313</v>
      </c>
      <c r="V335" s="22" t="s">
        <v>70</v>
      </c>
      <c r="W335" s="22" t="s">
        <v>71</v>
      </c>
      <c r="X335" s="25" t="n">
        <v>44593</v>
      </c>
      <c r="Y335" s="25" t="n">
        <v>46357</v>
      </c>
      <c r="Z335" s="22" t="s">
        <v>72</v>
      </c>
      <c r="AA335" s="22" t="s">
        <v>149</v>
      </c>
      <c r="AB335" s="22" t="s">
        <v>74</v>
      </c>
      <c r="AC335" s="22"/>
      <c r="AD335" s="22" t="n">
        <v>0</v>
      </c>
      <c r="AE335" s="22"/>
      <c r="AF335" s="22"/>
      <c r="AG335" s="22" t="s">
        <v>75</v>
      </c>
      <c r="AH335" s="22"/>
      <c r="AI335" s="22" t="n">
        <v>10</v>
      </c>
      <c r="AJ335" s="22" t="n">
        <v>30</v>
      </c>
      <c r="AK335" s="22" t="s">
        <v>61</v>
      </c>
      <c r="AL335" s="26" t="n">
        <v>38157</v>
      </c>
      <c r="AM335" s="26" t="n">
        <v>45002.651988044</v>
      </c>
      <c r="AN335" s="25" t="n">
        <v>45008.5053703704</v>
      </c>
      <c r="AO335" s="22" t="n">
        <v>5</v>
      </c>
      <c r="AP335" s="22" t="n">
        <v>40</v>
      </c>
      <c r="AQ335" s="22" t="s">
        <v>1</v>
      </c>
      <c r="AR335" s="34" t="s">
        <v>680</v>
      </c>
      <c r="AS335" s="27" t="s">
        <v>206</v>
      </c>
      <c r="AT335" s="28" t="n">
        <v>45057.5416666667</v>
      </c>
      <c r="AU335" s="27" t="s">
        <v>220</v>
      </c>
      <c r="AV335" s="27"/>
      <c r="AW335" s="27"/>
      <c r="AX335" s="27"/>
      <c r="AY335" s="27"/>
    </row>
    <row r="336" customFormat="false" ht="15.75" hidden="false" customHeight="true" outlineLevel="0" collapsed="false">
      <c r="A336" s="22" t="n">
        <v>332</v>
      </c>
      <c r="B336" s="23" t="s">
        <v>3008</v>
      </c>
      <c r="C336" s="22"/>
      <c r="D336" s="22" t="s">
        <v>3009</v>
      </c>
      <c r="E336" s="22" t="s">
        <v>81</v>
      </c>
      <c r="F336" s="22" t="s">
        <v>107</v>
      </c>
      <c r="G336" s="22" t="s">
        <v>59</v>
      </c>
      <c r="H336" s="22" t="s">
        <v>96</v>
      </c>
      <c r="I336" s="22"/>
      <c r="J336" s="22" t="s">
        <v>61</v>
      </c>
      <c r="K336" s="22" t="s">
        <v>2838</v>
      </c>
      <c r="L336" s="22" t="s">
        <v>62</v>
      </c>
      <c r="M336" s="22" t="s">
        <v>63</v>
      </c>
      <c r="N336" s="22" t="s">
        <v>3010</v>
      </c>
      <c r="O336" s="22" t="s">
        <v>2840</v>
      </c>
      <c r="P336" s="22" t="s">
        <v>3011</v>
      </c>
      <c r="Q336" s="22"/>
      <c r="R336" s="22" t="s">
        <v>3012</v>
      </c>
      <c r="S336" s="22" t="s">
        <v>61</v>
      </c>
      <c r="T336" s="22"/>
      <c r="U336" s="22" t="s">
        <v>780</v>
      </c>
      <c r="V336" s="22" t="s">
        <v>70</v>
      </c>
      <c r="W336" s="22" t="s">
        <v>71</v>
      </c>
      <c r="X336" s="25" t="n">
        <v>44197</v>
      </c>
      <c r="Y336" s="25" t="n">
        <v>45992</v>
      </c>
      <c r="Z336" s="22" t="s">
        <v>72</v>
      </c>
      <c r="AA336" s="22" t="s">
        <v>149</v>
      </c>
      <c r="AB336" s="22" t="s">
        <v>74</v>
      </c>
      <c r="AC336" s="22"/>
      <c r="AD336" s="22" t="n">
        <v>0</v>
      </c>
      <c r="AE336" s="22"/>
      <c r="AF336" s="22"/>
      <c r="AG336" s="22" t="s">
        <v>75</v>
      </c>
      <c r="AH336" s="22"/>
      <c r="AI336" s="22" t="n">
        <v>10</v>
      </c>
      <c r="AJ336" s="22" t="n">
        <v>20</v>
      </c>
      <c r="AK336" s="22" t="s">
        <v>61</v>
      </c>
      <c r="AL336" s="26" t="n">
        <v>24836</v>
      </c>
      <c r="AM336" s="26" t="n">
        <v>45004.9648955787</v>
      </c>
      <c r="AN336" s="25" t="n">
        <v>45004.9661921296</v>
      </c>
      <c r="AO336" s="22" t="n">
        <v>5</v>
      </c>
      <c r="AP336" s="22" t="n">
        <v>30</v>
      </c>
      <c r="AQ336" s="22" t="s">
        <v>1</v>
      </c>
      <c r="AR336" s="34" t="s">
        <v>680</v>
      </c>
      <c r="AS336" s="27" t="s">
        <v>206</v>
      </c>
      <c r="AT336" s="28" t="n">
        <v>45057.5416666667</v>
      </c>
      <c r="AU336" s="27" t="s">
        <v>220</v>
      </c>
      <c r="AV336" s="27"/>
      <c r="AW336" s="27"/>
      <c r="AX336" s="27"/>
      <c r="AY336" s="27"/>
    </row>
    <row r="337" customFormat="false" ht="15.75" hidden="false" customHeight="true" outlineLevel="0" collapsed="false">
      <c r="A337" s="22" t="n">
        <v>333</v>
      </c>
      <c r="B337" s="23" t="s">
        <v>3013</v>
      </c>
      <c r="C337" s="22"/>
      <c r="D337" s="22" t="s">
        <v>3014</v>
      </c>
      <c r="E337" s="22" t="s">
        <v>57</v>
      </c>
      <c r="F337" s="22" t="s">
        <v>82</v>
      </c>
      <c r="G337" s="22" t="s">
        <v>59</v>
      </c>
      <c r="H337" s="22" t="s">
        <v>60</v>
      </c>
      <c r="I337" s="22"/>
      <c r="J337" s="22" t="s">
        <v>61</v>
      </c>
      <c r="K337" s="22" t="s">
        <v>3015</v>
      </c>
      <c r="L337" s="22" t="s">
        <v>62</v>
      </c>
      <c r="M337" s="22" t="s">
        <v>63</v>
      </c>
      <c r="N337" s="22" t="s">
        <v>3016</v>
      </c>
      <c r="O337" s="22" t="s">
        <v>159</v>
      </c>
      <c r="P337" s="22" t="s">
        <v>3017</v>
      </c>
      <c r="Q337" s="22"/>
      <c r="R337" s="22" t="s">
        <v>3018</v>
      </c>
      <c r="S337" s="22" t="s">
        <v>61</v>
      </c>
      <c r="T337" s="22"/>
      <c r="U337" s="22" t="s">
        <v>3019</v>
      </c>
      <c r="V337" s="22" t="s">
        <v>70</v>
      </c>
      <c r="W337" s="22" t="s">
        <v>71</v>
      </c>
      <c r="X337" s="25" t="n">
        <v>43862</v>
      </c>
      <c r="Y337" s="25" t="n">
        <v>45992</v>
      </c>
      <c r="Z337" s="22" t="s">
        <v>72</v>
      </c>
      <c r="AA337" s="22" t="s">
        <v>91</v>
      </c>
      <c r="AB337" s="22" t="s">
        <v>74</v>
      </c>
      <c r="AC337" s="22"/>
      <c r="AD337" s="22" t="n">
        <v>0</v>
      </c>
      <c r="AE337" s="22"/>
      <c r="AF337" s="22"/>
      <c r="AG337" s="22" t="s">
        <v>75</v>
      </c>
      <c r="AH337" s="22"/>
      <c r="AI337" s="22" t="n">
        <v>10</v>
      </c>
      <c r="AJ337" s="22" t="n">
        <v>20</v>
      </c>
      <c r="AK337" s="22" t="s">
        <v>61</v>
      </c>
      <c r="AL337" s="26" t="n">
        <v>27456</v>
      </c>
      <c r="AM337" s="26" t="n">
        <v>45005.740107419</v>
      </c>
      <c r="AN337" s="25" t="n">
        <v>45006.4221759259</v>
      </c>
      <c r="AO337" s="22" t="n">
        <v>7</v>
      </c>
      <c r="AP337" s="22" t="n">
        <v>30</v>
      </c>
      <c r="AQ337" s="22" t="s">
        <v>1</v>
      </c>
      <c r="AR337" s="34" t="s">
        <v>680</v>
      </c>
      <c r="AS337" s="27" t="s">
        <v>206</v>
      </c>
      <c r="AT337" s="28" t="n">
        <v>45057.5416666667</v>
      </c>
      <c r="AU337" s="27" t="s">
        <v>220</v>
      </c>
      <c r="AV337" s="27"/>
      <c r="AW337" s="27"/>
      <c r="AX337" s="27"/>
      <c r="AY337" s="27"/>
    </row>
    <row r="338" customFormat="false" ht="15.75" hidden="false" customHeight="true" outlineLevel="0" collapsed="false">
      <c r="A338" s="22" t="n">
        <v>334</v>
      </c>
      <c r="B338" s="23" t="s">
        <v>3020</v>
      </c>
      <c r="C338" s="22" t="s">
        <v>3021</v>
      </c>
      <c r="D338" s="22" t="s">
        <v>3022</v>
      </c>
      <c r="E338" s="22" t="s">
        <v>81</v>
      </c>
      <c r="F338" s="22" t="s">
        <v>82</v>
      </c>
      <c r="G338" s="22" t="s">
        <v>59</v>
      </c>
      <c r="H338" s="22" t="s">
        <v>96</v>
      </c>
      <c r="I338" s="22"/>
      <c r="J338" s="22" t="s">
        <v>61</v>
      </c>
      <c r="K338" s="22" t="s">
        <v>3023</v>
      </c>
      <c r="L338" s="22" t="s">
        <v>62</v>
      </c>
      <c r="M338" s="22" t="s">
        <v>1395</v>
      </c>
      <c r="N338" s="22" t="s">
        <v>3024</v>
      </c>
      <c r="O338" s="22" t="s">
        <v>3025</v>
      </c>
      <c r="P338" s="22" t="s">
        <v>3026</v>
      </c>
      <c r="Q338" s="22" t="s">
        <v>3027</v>
      </c>
      <c r="R338" s="22" t="s">
        <v>3028</v>
      </c>
      <c r="S338" s="22" t="s">
        <v>61</v>
      </c>
      <c r="T338" s="22"/>
      <c r="U338" s="22" t="s">
        <v>3029</v>
      </c>
      <c r="V338" s="22" t="s">
        <v>70</v>
      </c>
      <c r="W338" s="22" t="s">
        <v>71</v>
      </c>
      <c r="X338" s="25" t="n">
        <v>43831</v>
      </c>
      <c r="Y338" s="25" t="n">
        <v>45627</v>
      </c>
      <c r="Z338" s="22" t="s">
        <v>72</v>
      </c>
      <c r="AA338" s="22" t="s">
        <v>149</v>
      </c>
      <c r="AB338" s="22" t="s">
        <v>74</v>
      </c>
      <c r="AC338" s="22"/>
      <c r="AD338" s="22" t="n">
        <v>0</v>
      </c>
      <c r="AE338" s="22"/>
      <c r="AF338" s="22"/>
      <c r="AG338" s="22" t="s">
        <v>75</v>
      </c>
      <c r="AH338" s="22"/>
      <c r="AI338" s="22" t="n">
        <v>10</v>
      </c>
      <c r="AJ338" s="22" t="n">
        <v>20</v>
      </c>
      <c r="AK338" s="22" t="s">
        <v>61</v>
      </c>
      <c r="AL338" s="26" t="n">
        <v>29186</v>
      </c>
      <c r="AM338" s="26" t="n">
        <v>45006.6081225347</v>
      </c>
      <c r="AN338" s="25" t="n">
        <v>45006.6114814815</v>
      </c>
      <c r="AO338" s="22" t="n">
        <v>7</v>
      </c>
      <c r="AP338" s="22" t="n">
        <v>30</v>
      </c>
      <c r="AQ338" s="22" t="s">
        <v>1</v>
      </c>
      <c r="AR338" s="34" t="s">
        <v>680</v>
      </c>
      <c r="AS338" s="27" t="s">
        <v>206</v>
      </c>
      <c r="AT338" s="28" t="n">
        <v>45057.5416666667</v>
      </c>
      <c r="AU338" s="27" t="s">
        <v>3030</v>
      </c>
      <c r="AV338" s="27"/>
      <c r="AW338" s="27"/>
      <c r="AX338" s="27"/>
      <c r="AY338" s="27"/>
    </row>
    <row r="339" customFormat="false" ht="15.75" hidden="false" customHeight="true" outlineLevel="0" collapsed="false">
      <c r="A339" s="22" t="n">
        <v>335</v>
      </c>
      <c r="B339" s="23" t="s">
        <v>3031</v>
      </c>
      <c r="C339" s="22" t="s">
        <v>3032</v>
      </c>
      <c r="D339" s="22" t="s">
        <v>3033</v>
      </c>
      <c r="E339" s="22" t="s">
        <v>81</v>
      </c>
      <c r="F339" s="22" t="s">
        <v>82</v>
      </c>
      <c r="G339" s="22" t="s">
        <v>59</v>
      </c>
      <c r="H339" s="22" t="s">
        <v>96</v>
      </c>
      <c r="I339" s="22"/>
      <c r="J339" s="22" t="s">
        <v>61</v>
      </c>
      <c r="K339" s="22" t="s">
        <v>3034</v>
      </c>
      <c r="L339" s="22" t="s">
        <v>62</v>
      </c>
      <c r="M339" s="22" t="s">
        <v>63</v>
      </c>
      <c r="N339" s="22" t="s">
        <v>3035</v>
      </c>
      <c r="O339" s="22" t="s">
        <v>3036</v>
      </c>
      <c r="P339" s="22" t="s">
        <v>3037</v>
      </c>
      <c r="Q339" s="22" t="s">
        <v>3038</v>
      </c>
      <c r="R339" s="22" t="s">
        <v>3039</v>
      </c>
      <c r="S339" s="22" t="s">
        <v>61</v>
      </c>
      <c r="T339" s="22"/>
      <c r="U339" s="22" t="s">
        <v>977</v>
      </c>
      <c r="V339" s="22" t="s">
        <v>70</v>
      </c>
      <c r="W339" s="22" t="s">
        <v>71</v>
      </c>
      <c r="X339" s="25" t="n">
        <v>44378</v>
      </c>
      <c r="Y339" s="25" t="n">
        <v>45809</v>
      </c>
      <c r="Z339" s="22" t="s">
        <v>72</v>
      </c>
      <c r="AA339" s="22" t="s">
        <v>91</v>
      </c>
      <c r="AB339" s="22" t="s">
        <v>74</v>
      </c>
      <c r="AC339" s="22"/>
      <c r="AD339" s="22" t="n">
        <v>0</v>
      </c>
      <c r="AE339" s="22"/>
      <c r="AF339" s="22"/>
      <c r="AG339" s="22" t="s">
        <v>75</v>
      </c>
      <c r="AH339" s="22"/>
      <c r="AI339" s="22" t="n">
        <v>10</v>
      </c>
      <c r="AJ339" s="22" t="n">
        <v>20</v>
      </c>
      <c r="AK339" s="22" t="s">
        <v>61</v>
      </c>
      <c r="AL339" s="26" t="n">
        <v>29330</v>
      </c>
      <c r="AM339" s="26" t="n">
        <v>45009.4516078357</v>
      </c>
      <c r="AN339" s="25" t="n">
        <v>45009.4612152778</v>
      </c>
      <c r="AO339" s="22" t="n">
        <v>7</v>
      </c>
      <c r="AP339" s="22" t="n">
        <v>30</v>
      </c>
      <c r="AQ339" s="22" t="s">
        <v>1</v>
      </c>
      <c r="AR339" s="34" t="s">
        <v>680</v>
      </c>
      <c r="AS339" s="27" t="s">
        <v>206</v>
      </c>
      <c r="AT339" s="28" t="n">
        <v>45057.5416666667</v>
      </c>
      <c r="AU339" s="27" t="s">
        <v>220</v>
      </c>
      <c r="AV339" s="27"/>
      <c r="AW339" s="27"/>
      <c r="AX339" s="27"/>
      <c r="AY339" s="27"/>
    </row>
    <row r="340" customFormat="false" ht="15.75" hidden="false" customHeight="true" outlineLevel="0" collapsed="false">
      <c r="A340" s="22" t="n">
        <v>336</v>
      </c>
      <c r="B340" s="23" t="s">
        <v>3040</v>
      </c>
      <c r="C340" s="22"/>
      <c r="D340" s="22" t="s">
        <v>3041</v>
      </c>
      <c r="E340" s="22" t="s">
        <v>81</v>
      </c>
      <c r="F340" s="22" t="s">
        <v>107</v>
      </c>
      <c r="G340" s="22" t="s">
        <v>59</v>
      </c>
      <c r="H340" s="22" t="s">
        <v>327</v>
      </c>
      <c r="I340" s="22"/>
      <c r="J340" s="22" t="s">
        <v>61</v>
      </c>
      <c r="K340" s="22" t="s">
        <v>3042</v>
      </c>
      <c r="L340" s="22" t="s">
        <v>62</v>
      </c>
      <c r="M340" s="22" t="s">
        <v>63</v>
      </c>
      <c r="N340" s="22" t="s">
        <v>3043</v>
      </c>
      <c r="O340" s="22" t="s">
        <v>179</v>
      </c>
      <c r="P340" s="22" t="s">
        <v>3044</v>
      </c>
      <c r="Q340" s="22"/>
      <c r="R340" s="22" t="s">
        <v>3045</v>
      </c>
      <c r="S340" s="22" t="s">
        <v>61</v>
      </c>
      <c r="T340" s="22"/>
      <c r="U340" s="22" t="s">
        <v>3046</v>
      </c>
      <c r="V340" s="22" t="s">
        <v>70</v>
      </c>
      <c r="W340" s="22" t="s">
        <v>71</v>
      </c>
      <c r="X340" s="25" t="n">
        <v>44197</v>
      </c>
      <c r="Y340" s="25" t="n">
        <v>45809</v>
      </c>
      <c r="Z340" s="22" t="s">
        <v>72</v>
      </c>
      <c r="AA340" s="22" t="s">
        <v>149</v>
      </c>
      <c r="AB340" s="22" t="s">
        <v>74</v>
      </c>
      <c r="AC340" s="22"/>
      <c r="AD340" s="22" t="n">
        <v>0</v>
      </c>
      <c r="AE340" s="22"/>
      <c r="AF340" s="22"/>
      <c r="AG340" s="22" t="s">
        <v>75</v>
      </c>
      <c r="AH340" s="22"/>
      <c r="AI340" s="22" t="n">
        <v>10</v>
      </c>
      <c r="AJ340" s="22" t="n">
        <v>20</v>
      </c>
      <c r="AK340" s="22" t="s">
        <v>61</v>
      </c>
      <c r="AL340" s="26" t="n">
        <v>29581</v>
      </c>
      <c r="AM340" s="26" t="n">
        <v>45000.5925079861</v>
      </c>
      <c r="AN340" s="25" t="n">
        <v>45009.4328009259</v>
      </c>
      <c r="AO340" s="22" t="n">
        <v>6</v>
      </c>
      <c r="AP340" s="22" t="n">
        <v>30</v>
      </c>
      <c r="AQ340" s="22" t="s">
        <v>0</v>
      </c>
      <c r="AR340" s="27" t="s">
        <v>680</v>
      </c>
      <c r="AS340" s="27" t="s">
        <v>78</v>
      </c>
      <c r="AT340" s="27"/>
      <c r="AU340" s="27"/>
      <c r="AV340" s="27"/>
      <c r="AW340" s="27"/>
      <c r="AX340" s="27"/>
      <c r="AY340" s="27"/>
    </row>
    <row r="341" customFormat="false" ht="15.75" hidden="false" customHeight="true" outlineLevel="0" collapsed="false">
      <c r="A341" s="22" t="n">
        <v>337</v>
      </c>
      <c r="B341" s="23" t="s">
        <v>3047</v>
      </c>
      <c r="C341" s="22" t="s">
        <v>3048</v>
      </c>
      <c r="D341" s="22" t="s">
        <v>3049</v>
      </c>
      <c r="E341" s="22" t="s">
        <v>81</v>
      </c>
      <c r="F341" s="22" t="s">
        <v>107</v>
      </c>
      <c r="G341" s="22" t="s">
        <v>59</v>
      </c>
      <c r="H341" s="22" t="s">
        <v>96</v>
      </c>
      <c r="I341" s="22"/>
      <c r="J341" s="22" t="s">
        <v>61</v>
      </c>
      <c r="K341" s="22" t="s">
        <v>1993</v>
      </c>
      <c r="L341" s="22" t="s">
        <v>62</v>
      </c>
      <c r="M341" s="22" t="s">
        <v>84</v>
      </c>
      <c r="N341" s="22" t="s">
        <v>3050</v>
      </c>
      <c r="O341" s="22" t="s">
        <v>1995</v>
      </c>
      <c r="P341" s="22" t="s">
        <v>3051</v>
      </c>
      <c r="Q341" s="22"/>
      <c r="R341" s="22" t="s">
        <v>3052</v>
      </c>
      <c r="S341" s="22" t="s">
        <v>61</v>
      </c>
      <c r="T341" s="22"/>
      <c r="U341" s="22" t="s">
        <v>3053</v>
      </c>
      <c r="V341" s="22" t="s">
        <v>70</v>
      </c>
      <c r="W341" s="22" t="s">
        <v>71</v>
      </c>
      <c r="X341" s="25" t="n">
        <v>43466</v>
      </c>
      <c r="Y341" s="25" t="n">
        <v>45261</v>
      </c>
      <c r="Z341" s="22" t="s">
        <v>72</v>
      </c>
      <c r="AA341" s="22" t="s">
        <v>73</v>
      </c>
      <c r="AB341" s="22" t="s">
        <v>74</v>
      </c>
      <c r="AC341" s="22"/>
      <c r="AD341" s="22" t="n">
        <v>0</v>
      </c>
      <c r="AE341" s="22"/>
      <c r="AF341" s="22"/>
      <c r="AG341" s="22" t="s">
        <v>75</v>
      </c>
      <c r="AH341" s="22"/>
      <c r="AI341" s="22" t="n">
        <v>10</v>
      </c>
      <c r="AJ341" s="22" t="n">
        <v>20</v>
      </c>
      <c r="AK341" s="22" t="s">
        <v>61</v>
      </c>
      <c r="AL341" s="26" t="n">
        <v>32091</v>
      </c>
      <c r="AM341" s="26" t="n">
        <v>45006.7772584259</v>
      </c>
      <c r="AN341" s="25" t="n">
        <v>45006.7804976852</v>
      </c>
      <c r="AO341" s="22" t="n">
        <v>9</v>
      </c>
      <c r="AP341" s="22" t="n">
        <v>30</v>
      </c>
      <c r="AQ341" s="22" t="s">
        <v>1</v>
      </c>
      <c r="AR341" s="34" t="s">
        <v>680</v>
      </c>
      <c r="AS341" s="27" t="s">
        <v>206</v>
      </c>
      <c r="AT341" s="27" t="s">
        <v>3054</v>
      </c>
      <c r="AU341" s="27" t="s">
        <v>1031</v>
      </c>
      <c r="AV341" s="27"/>
      <c r="AW341" s="27"/>
      <c r="AX341" s="27"/>
      <c r="AY341" s="27"/>
    </row>
    <row r="342" customFormat="false" ht="15.75" hidden="false" customHeight="true" outlineLevel="0" collapsed="false">
      <c r="A342" s="22" t="n">
        <v>338</v>
      </c>
      <c r="B342" s="23" t="s">
        <v>3055</v>
      </c>
      <c r="C342" s="22"/>
      <c r="D342" s="22" t="s">
        <v>3056</v>
      </c>
      <c r="E342" s="22" t="s">
        <v>57</v>
      </c>
      <c r="F342" s="22" t="s">
        <v>107</v>
      </c>
      <c r="G342" s="22" t="s">
        <v>59</v>
      </c>
      <c r="H342" s="22" t="s">
        <v>156</v>
      </c>
      <c r="I342" s="22"/>
      <c r="J342" s="22" t="s">
        <v>61</v>
      </c>
      <c r="K342" s="22" t="s">
        <v>3057</v>
      </c>
      <c r="L342" s="22" t="s">
        <v>62</v>
      </c>
      <c r="M342" s="22" t="s">
        <v>365</v>
      </c>
      <c r="N342" s="22" t="s">
        <v>3058</v>
      </c>
      <c r="O342" s="22" t="s">
        <v>3059</v>
      </c>
      <c r="P342" s="22" t="s">
        <v>3060</v>
      </c>
      <c r="Q342" s="22"/>
      <c r="R342" s="22" t="s">
        <v>3061</v>
      </c>
      <c r="S342" s="22" t="s">
        <v>61</v>
      </c>
      <c r="T342" s="22"/>
      <c r="U342" s="22" t="s">
        <v>672</v>
      </c>
      <c r="V342" s="22" t="s">
        <v>70</v>
      </c>
      <c r="W342" s="22" t="s">
        <v>71</v>
      </c>
      <c r="X342" s="25" t="n">
        <v>43313</v>
      </c>
      <c r="Y342" s="25" t="n">
        <v>45627</v>
      </c>
      <c r="Z342" s="22" t="s">
        <v>72</v>
      </c>
      <c r="AA342" s="22" t="s">
        <v>91</v>
      </c>
      <c r="AB342" s="22" t="s">
        <v>74</v>
      </c>
      <c r="AC342" s="22"/>
      <c r="AD342" s="22" t="n">
        <v>0</v>
      </c>
      <c r="AE342" s="22"/>
      <c r="AF342" s="22"/>
      <c r="AG342" s="22" t="s">
        <v>75</v>
      </c>
      <c r="AH342" s="22"/>
      <c r="AI342" s="22" t="n">
        <v>10</v>
      </c>
      <c r="AJ342" s="22" t="n">
        <v>20</v>
      </c>
      <c r="AK342" s="22" t="s">
        <v>61</v>
      </c>
      <c r="AL342" s="26" t="n">
        <v>32356</v>
      </c>
      <c r="AM342" s="26" t="n">
        <v>45001.8867279051</v>
      </c>
      <c r="AN342" s="25" t="n">
        <v>45008.3971296296</v>
      </c>
      <c r="AO342" s="22" t="n">
        <v>7</v>
      </c>
      <c r="AP342" s="22" t="n">
        <v>30</v>
      </c>
      <c r="AQ342" s="22" t="s">
        <v>0</v>
      </c>
      <c r="AR342" s="27" t="s">
        <v>680</v>
      </c>
      <c r="AS342" s="27" t="s">
        <v>220</v>
      </c>
      <c r="AT342" s="27"/>
      <c r="AU342" s="27"/>
      <c r="AV342" s="27"/>
      <c r="AW342" s="27"/>
      <c r="AX342" s="27"/>
      <c r="AY342" s="27"/>
    </row>
    <row r="343" customFormat="false" ht="15.75" hidden="false" customHeight="true" outlineLevel="0" collapsed="false">
      <c r="A343" s="22" t="n">
        <v>339</v>
      </c>
      <c r="B343" s="23" t="s">
        <v>3062</v>
      </c>
      <c r="C343" s="22"/>
      <c r="D343" s="22" t="s">
        <v>3063</v>
      </c>
      <c r="E343" s="22" t="s">
        <v>57</v>
      </c>
      <c r="F343" s="22" t="s">
        <v>107</v>
      </c>
      <c r="G343" s="22" t="s">
        <v>59</v>
      </c>
      <c r="H343" s="22" t="s">
        <v>60</v>
      </c>
      <c r="I343" s="22"/>
      <c r="J343" s="22" t="s">
        <v>61</v>
      </c>
      <c r="K343" s="22" t="s">
        <v>3064</v>
      </c>
      <c r="L343" s="22" t="s">
        <v>62</v>
      </c>
      <c r="M343" s="22" t="s">
        <v>63</v>
      </c>
      <c r="N343" s="22" t="s">
        <v>3065</v>
      </c>
      <c r="O343" s="22" t="s">
        <v>3066</v>
      </c>
      <c r="P343" s="22" t="s">
        <v>3067</v>
      </c>
      <c r="Q343" s="22"/>
      <c r="R343" s="22" t="s">
        <v>3068</v>
      </c>
      <c r="S343" s="22" t="s">
        <v>61</v>
      </c>
      <c r="T343" s="22"/>
      <c r="U343" s="22" t="s">
        <v>3069</v>
      </c>
      <c r="V343" s="22" t="s">
        <v>70</v>
      </c>
      <c r="W343" s="22" t="s">
        <v>71</v>
      </c>
      <c r="X343" s="25" t="n">
        <v>43466</v>
      </c>
      <c r="Y343" s="25" t="n">
        <v>45261</v>
      </c>
      <c r="Z343" s="22" t="s">
        <v>72</v>
      </c>
      <c r="AA343" s="22" t="s">
        <v>149</v>
      </c>
      <c r="AB343" s="22" t="s">
        <v>74</v>
      </c>
      <c r="AC343" s="22"/>
      <c r="AD343" s="22" t="n">
        <v>0</v>
      </c>
      <c r="AE343" s="22"/>
      <c r="AF343" s="22"/>
      <c r="AG343" s="22" t="s">
        <v>75</v>
      </c>
      <c r="AH343" s="22"/>
      <c r="AI343" s="22" t="n">
        <v>10</v>
      </c>
      <c r="AJ343" s="22" t="n">
        <v>20</v>
      </c>
      <c r="AK343" s="22" t="s">
        <v>76</v>
      </c>
      <c r="AL343" s="26" t="n">
        <v>33703</v>
      </c>
      <c r="AM343" s="26" t="n">
        <v>45006.6051133796</v>
      </c>
      <c r="AN343" s="25" t="n">
        <v>45006.8461342593</v>
      </c>
      <c r="AO343" s="22" t="n">
        <v>9</v>
      </c>
      <c r="AP343" s="22" t="n">
        <v>30</v>
      </c>
      <c r="AQ343" s="22" t="s">
        <v>0</v>
      </c>
      <c r="AR343" s="27" t="s">
        <v>680</v>
      </c>
      <c r="AS343" s="27" t="s">
        <v>78</v>
      </c>
      <c r="AT343" s="27"/>
      <c r="AU343" s="27"/>
      <c r="AV343" s="27"/>
      <c r="AW343" s="27"/>
      <c r="AX343" s="27"/>
      <c r="AY343" s="27"/>
    </row>
    <row r="344" customFormat="false" ht="15.75" hidden="false" customHeight="true" outlineLevel="0" collapsed="false">
      <c r="A344" s="22" t="n">
        <v>340</v>
      </c>
      <c r="B344" s="23" t="s">
        <v>3070</v>
      </c>
      <c r="C344" s="22"/>
      <c r="D344" s="22" t="s">
        <v>3071</v>
      </c>
      <c r="E344" s="22" t="s">
        <v>57</v>
      </c>
      <c r="F344" s="22" t="s">
        <v>107</v>
      </c>
      <c r="G344" s="22" t="s">
        <v>59</v>
      </c>
      <c r="H344" s="22" t="s">
        <v>60</v>
      </c>
      <c r="I344" s="22"/>
      <c r="J344" s="22" t="s">
        <v>61</v>
      </c>
      <c r="K344" s="22" t="s">
        <v>3072</v>
      </c>
      <c r="L344" s="22" t="s">
        <v>3073</v>
      </c>
      <c r="M344" s="22" t="s">
        <v>3074</v>
      </c>
      <c r="N344" s="22" t="s">
        <v>3075</v>
      </c>
      <c r="O344" s="22" t="s">
        <v>3076</v>
      </c>
      <c r="P344" s="22" t="s">
        <v>3077</v>
      </c>
      <c r="Q344" s="22" t="s">
        <v>3078</v>
      </c>
      <c r="R344" s="22" t="s">
        <v>3079</v>
      </c>
      <c r="S344" s="22" t="s">
        <v>61</v>
      </c>
      <c r="T344" s="22"/>
      <c r="U344" s="22" t="s">
        <v>3080</v>
      </c>
      <c r="V344" s="22" t="s">
        <v>70</v>
      </c>
      <c r="W344" s="22" t="s">
        <v>71</v>
      </c>
      <c r="X344" s="25" t="n">
        <v>43374</v>
      </c>
      <c r="Y344" s="25" t="n">
        <v>45078</v>
      </c>
      <c r="Z344" s="22" t="s">
        <v>72</v>
      </c>
      <c r="AA344" s="22" t="s">
        <v>149</v>
      </c>
      <c r="AB344" s="22" t="s">
        <v>74</v>
      </c>
      <c r="AC344" s="22"/>
      <c r="AD344" s="22" t="n">
        <v>0</v>
      </c>
      <c r="AE344" s="22"/>
      <c r="AF344" s="22"/>
      <c r="AG344" s="22" t="s">
        <v>75</v>
      </c>
      <c r="AH344" s="22"/>
      <c r="AI344" s="22" t="n">
        <v>10</v>
      </c>
      <c r="AJ344" s="22" t="n">
        <v>20</v>
      </c>
      <c r="AK344" s="22" t="s">
        <v>61</v>
      </c>
      <c r="AL344" s="26" t="n">
        <v>34905</v>
      </c>
      <c r="AM344" s="26" t="n">
        <v>45004.3766524769</v>
      </c>
      <c r="AN344" s="25" t="n">
        <v>45004.6754398148</v>
      </c>
      <c r="AO344" s="22" t="n">
        <v>9</v>
      </c>
      <c r="AP344" s="22" t="n">
        <v>30</v>
      </c>
      <c r="AQ344" s="22" t="s">
        <v>1</v>
      </c>
      <c r="AR344" s="34" t="s">
        <v>680</v>
      </c>
      <c r="AS344" s="27" t="s">
        <v>206</v>
      </c>
      <c r="AT344" s="28" t="n">
        <v>45057.5416666667</v>
      </c>
      <c r="AU344" s="27" t="s">
        <v>220</v>
      </c>
      <c r="AV344" s="27"/>
      <c r="AW344" s="27"/>
      <c r="AX344" s="27"/>
      <c r="AY344" s="27"/>
    </row>
    <row r="345" customFormat="false" ht="15.75" hidden="false" customHeight="true" outlineLevel="0" collapsed="false">
      <c r="A345" s="22" t="n">
        <v>341</v>
      </c>
      <c r="B345" s="23" t="s">
        <v>3081</v>
      </c>
      <c r="C345" s="22" t="s">
        <v>3082</v>
      </c>
      <c r="D345" s="22" t="s">
        <v>3083</v>
      </c>
      <c r="E345" s="22" t="s">
        <v>57</v>
      </c>
      <c r="F345" s="22" t="s">
        <v>107</v>
      </c>
      <c r="G345" s="22" t="s">
        <v>59</v>
      </c>
      <c r="H345" s="22" t="s">
        <v>96</v>
      </c>
      <c r="I345" s="22"/>
      <c r="J345" s="22" t="s">
        <v>61</v>
      </c>
      <c r="K345" s="22" t="s">
        <v>3084</v>
      </c>
      <c r="L345" s="22" t="s">
        <v>62</v>
      </c>
      <c r="M345" s="22" t="s">
        <v>63</v>
      </c>
      <c r="N345" s="22" t="s">
        <v>3085</v>
      </c>
      <c r="O345" s="22" t="s">
        <v>1461</v>
      </c>
      <c r="P345" s="22" t="s">
        <v>3086</v>
      </c>
      <c r="Q345" s="22" t="s">
        <v>3087</v>
      </c>
      <c r="R345" s="22" t="s">
        <v>3088</v>
      </c>
      <c r="S345" s="22" t="s">
        <v>61</v>
      </c>
      <c r="T345" s="22"/>
      <c r="U345" s="22" t="s">
        <v>1284</v>
      </c>
      <c r="V345" s="22" t="s">
        <v>70</v>
      </c>
      <c r="W345" s="22" t="s">
        <v>71</v>
      </c>
      <c r="X345" s="25" t="n">
        <v>43466</v>
      </c>
      <c r="Y345" s="25" t="n">
        <v>45261</v>
      </c>
      <c r="Z345" s="22" t="s">
        <v>72</v>
      </c>
      <c r="AA345" s="22" t="s">
        <v>91</v>
      </c>
      <c r="AB345" s="22" t="s">
        <v>74</v>
      </c>
      <c r="AC345" s="22"/>
      <c r="AD345" s="22" t="n">
        <v>0</v>
      </c>
      <c r="AE345" s="22"/>
      <c r="AF345" s="22"/>
      <c r="AG345" s="22" t="s">
        <v>75</v>
      </c>
      <c r="AH345" s="22"/>
      <c r="AI345" s="22" t="n">
        <v>10</v>
      </c>
      <c r="AJ345" s="22" t="n">
        <v>20</v>
      </c>
      <c r="AK345" s="22" t="s">
        <v>76</v>
      </c>
      <c r="AL345" s="26" t="n">
        <v>35152</v>
      </c>
      <c r="AM345" s="26" t="n">
        <v>45002.5735254398</v>
      </c>
      <c r="AN345" s="25" t="n">
        <v>45002.5765972222</v>
      </c>
      <c r="AO345" s="22" t="n">
        <v>9</v>
      </c>
      <c r="AP345" s="22" t="n">
        <v>30</v>
      </c>
      <c r="AQ345" s="22" t="s">
        <v>0</v>
      </c>
      <c r="AR345" s="27" t="s">
        <v>680</v>
      </c>
      <c r="AS345" s="27" t="s">
        <v>78</v>
      </c>
      <c r="AT345" s="27"/>
      <c r="AU345" s="27"/>
      <c r="AV345" s="27"/>
      <c r="AW345" s="27"/>
      <c r="AX345" s="27"/>
      <c r="AY345" s="27"/>
    </row>
    <row r="346" customFormat="false" ht="15.75" hidden="false" customHeight="true" outlineLevel="0" collapsed="false">
      <c r="A346" s="22" t="n">
        <v>342</v>
      </c>
      <c r="B346" s="23" t="s">
        <v>3089</v>
      </c>
      <c r="C346" s="22"/>
      <c r="D346" s="22" t="s">
        <v>3090</v>
      </c>
      <c r="E346" s="22" t="s">
        <v>57</v>
      </c>
      <c r="F346" s="22" t="s">
        <v>107</v>
      </c>
      <c r="G346" s="22" t="s">
        <v>59</v>
      </c>
      <c r="H346" s="22" t="s">
        <v>60</v>
      </c>
      <c r="I346" s="22"/>
      <c r="J346" s="22" t="s">
        <v>61</v>
      </c>
      <c r="K346" s="22" t="s">
        <v>3091</v>
      </c>
      <c r="L346" s="22" t="s">
        <v>62</v>
      </c>
      <c r="M346" s="22" t="s">
        <v>84</v>
      </c>
      <c r="N346" s="22" t="s">
        <v>3092</v>
      </c>
      <c r="O346" s="22" t="s">
        <v>3093</v>
      </c>
      <c r="P346" s="22" t="s">
        <v>3094</v>
      </c>
      <c r="Q346" s="22" t="s">
        <v>3095</v>
      </c>
      <c r="R346" s="22" t="s">
        <v>3096</v>
      </c>
      <c r="S346" s="22" t="s">
        <v>61</v>
      </c>
      <c r="T346" s="22"/>
      <c r="U346" s="22" t="s">
        <v>302</v>
      </c>
      <c r="V346" s="22" t="s">
        <v>70</v>
      </c>
      <c r="W346" s="22" t="s">
        <v>71</v>
      </c>
      <c r="X346" s="25" t="n">
        <v>42767</v>
      </c>
      <c r="Y346" s="25" t="n">
        <v>45474</v>
      </c>
      <c r="Z346" s="22" t="s">
        <v>72</v>
      </c>
      <c r="AA346" s="22" t="s">
        <v>91</v>
      </c>
      <c r="AB346" s="22" t="s">
        <v>74</v>
      </c>
      <c r="AC346" s="22"/>
      <c r="AD346" s="22" t="n">
        <v>0</v>
      </c>
      <c r="AE346" s="22"/>
      <c r="AF346" s="22"/>
      <c r="AG346" s="22" t="s">
        <v>75</v>
      </c>
      <c r="AH346" s="22"/>
      <c r="AI346" s="22" t="n">
        <v>10</v>
      </c>
      <c r="AJ346" s="22" t="n">
        <v>20</v>
      </c>
      <c r="AK346" s="22" t="s">
        <v>61</v>
      </c>
      <c r="AL346" s="26" t="n">
        <v>35302</v>
      </c>
      <c r="AM346" s="26" t="n">
        <v>45007.4543285532</v>
      </c>
      <c r="AN346" s="25" t="n">
        <v>45007.503287037</v>
      </c>
      <c r="AO346" s="22" t="n">
        <v>8</v>
      </c>
      <c r="AP346" s="22" t="n">
        <v>30</v>
      </c>
      <c r="AQ346" s="22" t="s">
        <v>0</v>
      </c>
      <c r="AR346" s="34" t="s">
        <v>680</v>
      </c>
      <c r="AS346" s="27" t="s">
        <v>78</v>
      </c>
      <c r="AT346" s="27"/>
      <c r="AU346" s="27"/>
      <c r="AV346" s="27"/>
      <c r="AW346" s="27"/>
      <c r="AX346" s="27"/>
      <c r="AY346" s="27"/>
    </row>
    <row r="347" customFormat="false" ht="15.75" hidden="false" customHeight="true" outlineLevel="0" collapsed="false">
      <c r="A347" s="22" t="n">
        <v>343</v>
      </c>
      <c r="B347" s="23" t="s">
        <v>3097</v>
      </c>
      <c r="C347" s="22" t="s">
        <v>3098</v>
      </c>
      <c r="D347" s="22" t="s">
        <v>3099</v>
      </c>
      <c r="E347" s="22" t="s">
        <v>57</v>
      </c>
      <c r="F347" s="22" t="s">
        <v>107</v>
      </c>
      <c r="G347" s="22" t="s">
        <v>59</v>
      </c>
      <c r="H347" s="22" t="s">
        <v>96</v>
      </c>
      <c r="I347" s="22"/>
      <c r="J347" s="22" t="s">
        <v>61</v>
      </c>
      <c r="K347" s="22" t="s">
        <v>3100</v>
      </c>
      <c r="L347" s="22" t="s">
        <v>62</v>
      </c>
      <c r="M347" s="22" t="s">
        <v>63</v>
      </c>
      <c r="N347" s="22" t="s">
        <v>3101</v>
      </c>
      <c r="O347" s="22" t="s">
        <v>3102</v>
      </c>
      <c r="P347" s="22" t="s">
        <v>3103</v>
      </c>
      <c r="Q347" s="22"/>
      <c r="R347" s="22" t="s">
        <v>3104</v>
      </c>
      <c r="S347" s="22" t="s">
        <v>61</v>
      </c>
      <c r="T347" s="22"/>
      <c r="U347" s="22" t="s">
        <v>3105</v>
      </c>
      <c r="V347" s="22" t="s">
        <v>70</v>
      </c>
      <c r="W347" s="22" t="s">
        <v>71</v>
      </c>
      <c r="X347" s="25" t="n">
        <v>43101</v>
      </c>
      <c r="Y347" s="25" t="n">
        <v>45658</v>
      </c>
      <c r="Z347" s="22" t="s">
        <v>72</v>
      </c>
      <c r="AA347" s="22" t="s">
        <v>74</v>
      </c>
      <c r="AB347" s="22" t="s">
        <v>74</v>
      </c>
      <c r="AC347" s="22"/>
      <c r="AD347" s="22" t="n">
        <v>0</v>
      </c>
      <c r="AE347" s="22"/>
      <c r="AF347" s="22"/>
      <c r="AG347" s="22" t="s">
        <v>75</v>
      </c>
      <c r="AH347" s="22"/>
      <c r="AI347" s="22" t="n">
        <v>10</v>
      </c>
      <c r="AJ347" s="22" t="n">
        <v>20</v>
      </c>
      <c r="AK347" s="22" t="s">
        <v>61</v>
      </c>
      <c r="AL347" s="26" t="n">
        <v>35769</v>
      </c>
      <c r="AM347" s="26" t="n">
        <v>45006.5569414005</v>
      </c>
      <c r="AN347" s="25" t="n">
        <v>45006.5582291667</v>
      </c>
      <c r="AO347" s="22" t="n">
        <v>6</v>
      </c>
      <c r="AP347" s="22" t="n">
        <v>30</v>
      </c>
      <c r="AQ347" s="22" t="s">
        <v>0</v>
      </c>
      <c r="AR347" s="27" t="s">
        <v>680</v>
      </c>
      <c r="AS347" s="27" t="s">
        <v>78</v>
      </c>
      <c r="AT347" s="27"/>
      <c r="AU347" s="27"/>
      <c r="AV347" s="27"/>
      <c r="AW347" s="27"/>
      <c r="AX347" s="27"/>
      <c r="AY347" s="27"/>
    </row>
    <row r="348" customFormat="false" ht="15.75" hidden="false" customHeight="true" outlineLevel="0" collapsed="false">
      <c r="A348" s="22" t="n">
        <v>344</v>
      </c>
      <c r="B348" s="23" t="s">
        <v>3106</v>
      </c>
      <c r="C348" s="22" t="s">
        <v>3107</v>
      </c>
      <c r="D348" s="22" t="s">
        <v>3108</v>
      </c>
      <c r="E348" s="22" t="s">
        <v>81</v>
      </c>
      <c r="F348" s="22" t="s">
        <v>107</v>
      </c>
      <c r="G348" s="22" t="s">
        <v>59</v>
      </c>
      <c r="H348" s="22" t="s">
        <v>96</v>
      </c>
      <c r="I348" s="22"/>
      <c r="J348" s="22" t="s">
        <v>61</v>
      </c>
      <c r="K348" s="22" t="s">
        <v>3109</v>
      </c>
      <c r="L348" s="22" t="s">
        <v>62</v>
      </c>
      <c r="M348" s="22" t="s">
        <v>63</v>
      </c>
      <c r="N348" s="22" t="s">
        <v>3110</v>
      </c>
      <c r="O348" s="22" t="s">
        <v>3111</v>
      </c>
      <c r="P348" s="22" t="s">
        <v>3112</v>
      </c>
      <c r="Q348" s="22" t="s">
        <v>3113</v>
      </c>
      <c r="R348" s="22" t="s">
        <v>3114</v>
      </c>
      <c r="S348" s="22" t="s">
        <v>61</v>
      </c>
      <c r="T348" s="22"/>
      <c r="U348" s="22" t="s">
        <v>672</v>
      </c>
      <c r="V348" s="22" t="s">
        <v>70</v>
      </c>
      <c r="W348" s="22" t="s">
        <v>71</v>
      </c>
      <c r="X348" s="25" t="n">
        <v>43862</v>
      </c>
      <c r="Y348" s="25" t="n">
        <v>45597</v>
      </c>
      <c r="Z348" s="22" t="s">
        <v>72</v>
      </c>
      <c r="AA348" s="22" t="s">
        <v>91</v>
      </c>
      <c r="AB348" s="22" t="s">
        <v>74</v>
      </c>
      <c r="AC348" s="22"/>
      <c r="AD348" s="22" t="n">
        <v>0</v>
      </c>
      <c r="AE348" s="22"/>
      <c r="AF348" s="22"/>
      <c r="AG348" s="22" t="s">
        <v>75</v>
      </c>
      <c r="AH348" s="22"/>
      <c r="AI348" s="22" t="n">
        <v>10</v>
      </c>
      <c r="AJ348" s="22" t="n">
        <v>20</v>
      </c>
      <c r="AK348" s="22" t="s">
        <v>61</v>
      </c>
      <c r="AL348" s="26" t="n">
        <v>35924</v>
      </c>
      <c r="AM348" s="26" t="n">
        <v>45002.4572869792</v>
      </c>
      <c r="AN348" s="25" t="n">
        <v>45002.5498032407</v>
      </c>
      <c r="AO348" s="22" t="n">
        <v>7</v>
      </c>
      <c r="AP348" s="22" t="n">
        <v>30</v>
      </c>
      <c r="AQ348" s="22" t="s">
        <v>1</v>
      </c>
      <c r="AR348" s="34" t="s">
        <v>680</v>
      </c>
      <c r="AS348" s="27" t="s">
        <v>206</v>
      </c>
      <c r="AT348" s="28" t="n">
        <v>45057.5416666667</v>
      </c>
      <c r="AU348" s="27" t="s">
        <v>220</v>
      </c>
      <c r="AV348" s="27"/>
      <c r="AW348" s="27"/>
      <c r="AX348" s="27"/>
      <c r="AY348" s="27"/>
    </row>
    <row r="349" customFormat="false" ht="15.75" hidden="false" customHeight="true" outlineLevel="0" collapsed="false">
      <c r="A349" s="22" t="n">
        <v>345</v>
      </c>
      <c r="B349" s="23" t="s">
        <v>3115</v>
      </c>
      <c r="C349" s="22"/>
      <c r="D349" s="22" t="s">
        <v>3116</v>
      </c>
      <c r="E349" s="22" t="s">
        <v>81</v>
      </c>
      <c r="F349" s="22" t="s">
        <v>107</v>
      </c>
      <c r="G349" s="22" t="s">
        <v>59</v>
      </c>
      <c r="H349" s="22" t="s">
        <v>96</v>
      </c>
      <c r="I349" s="22"/>
      <c r="J349" s="22" t="s">
        <v>61</v>
      </c>
      <c r="K349" s="22" t="s">
        <v>3117</v>
      </c>
      <c r="L349" s="22" t="s">
        <v>62</v>
      </c>
      <c r="M349" s="22" t="s">
        <v>63</v>
      </c>
      <c r="N349" s="22" t="s">
        <v>3118</v>
      </c>
      <c r="O349" s="22" t="s">
        <v>179</v>
      </c>
      <c r="P349" s="22" t="s">
        <v>3119</v>
      </c>
      <c r="Q349" s="22"/>
      <c r="R349" s="22" t="s">
        <v>3120</v>
      </c>
      <c r="S349" s="22" t="s">
        <v>61</v>
      </c>
      <c r="T349" s="22"/>
      <c r="U349" s="22" t="s">
        <v>3121</v>
      </c>
      <c r="V349" s="22" t="s">
        <v>70</v>
      </c>
      <c r="W349" s="22" t="s">
        <v>71</v>
      </c>
      <c r="X349" s="25" t="n">
        <v>43101</v>
      </c>
      <c r="Y349" s="25" t="n">
        <v>45444</v>
      </c>
      <c r="Z349" s="22" t="s">
        <v>72</v>
      </c>
      <c r="AA349" s="22" t="s">
        <v>149</v>
      </c>
      <c r="AB349" s="22" t="s">
        <v>74</v>
      </c>
      <c r="AC349" s="22"/>
      <c r="AD349" s="22" t="n">
        <v>0</v>
      </c>
      <c r="AE349" s="22"/>
      <c r="AF349" s="22"/>
      <c r="AG349" s="22" t="s">
        <v>75</v>
      </c>
      <c r="AH349" s="22"/>
      <c r="AI349" s="22" t="n">
        <v>10</v>
      </c>
      <c r="AJ349" s="22" t="n">
        <v>20</v>
      </c>
      <c r="AK349" s="22" t="s">
        <v>76</v>
      </c>
      <c r="AL349" s="26" t="n">
        <v>36113</v>
      </c>
      <c r="AM349" s="26" t="n">
        <v>45005.7199389583</v>
      </c>
      <c r="AN349" s="25" t="n">
        <v>45005.7212037037</v>
      </c>
      <c r="AO349" s="22" t="n">
        <v>8</v>
      </c>
      <c r="AP349" s="22" t="n">
        <v>30</v>
      </c>
      <c r="AQ349" s="22" t="s">
        <v>1</v>
      </c>
      <c r="AR349" s="27" t="s">
        <v>3122</v>
      </c>
      <c r="AS349" s="27" t="s">
        <v>206</v>
      </c>
      <c r="AT349" s="28" t="n">
        <v>45057.5416666667</v>
      </c>
      <c r="AU349" s="27" t="s">
        <v>220</v>
      </c>
      <c r="AV349" s="27"/>
      <c r="AW349" s="27"/>
      <c r="AX349" s="27"/>
      <c r="AY349" s="27"/>
    </row>
    <row r="350" customFormat="false" ht="15.75" hidden="false" customHeight="true" outlineLevel="0" collapsed="false">
      <c r="A350" s="22" t="n">
        <v>346</v>
      </c>
      <c r="B350" s="23" t="s">
        <v>3123</v>
      </c>
      <c r="C350" s="22"/>
      <c r="D350" s="22" t="s">
        <v>3124</v>
      </c>
      <c r="E350" s="22" t="s">
        <v>57</v>
      </c>
      <c r="F350" s="22" t="s">
        <v>107</v>
      </c>
      <c r="G350" s="22" t="s">
        <v>59</v>
      </c>
      <c r="H350" s="22" t="s">
        <v>96</v>
      </c>
      <c r="I350" s="22"/>
      <c r="J350" s="22" t="s">
        <v>61</v>
      </c>
      <c r="K350" s="22" t="s">
        <v>3125</v>
      </c>
      <c r="L350" s="22" t="s">
        <v>62</v>
      </c>
      <c r="M350" s="22" t="s">
        <v>63</v>
      </c>
      <c r="N350" s="22" t="s">
        <v>3126</v>
      </c>
      <c r="O350" s="22" t="s">
        <v>2146</v>
      </c>
      <c r="P350" s="22" t="s">
        <v>3127</v>
      </c>
      <c r="Q350" s="22"/>
      <c r="R350" s="22" t="s">
        <v>3128</v>
      </c>
      <c r="S350" s="22" t="s">
        <v>61</v>
      </c>
      <c r="T350" s="22"/>
      <c r="U350" s="22" t="s">
        <v>302</v>
      </c>
      <c r="V350" s="22" t="s">
        <v>70</v>
      </c>
      <c r="W350" s="22" t="s">
        <v>71</v>
      </c>
      <c r="X350" s="25" t="n">
        <v>44197</v>
      </c>
      <c r="Y350" s="25" t="n">
        <v>46204</v>
      </c>
      <c r="Z350" s="22" t="s">
        <v>72</v>
      </c>
      <c r="AA350" s="22" t="s">
        <v>149</v>
      </c>
      <c r="AB350" s="22" t="s">
        <v>74</v>
      </c>
      <c r="AC350" s="22"/>
      <c r="AD350" s="22" t="n">
        <v>0</v>
      </c>
      <c r="AE350" s="22"/>
      <c r="AF350" s="22"/>
      <c r="AG350" s="22" t="s">
        <v>75</v>
      </c>
      <c r="AH350" s="22"/>
      <c r="AI350" s="22" t="n">
        <v>10</v>
      </c>
      <c r="AJ350" s="22" t="n">
        <v>20</v>
      </c>
      <c r="AK350" s="22" t="s">
        <v>61</v>
      </c>
      <c r="AL350" s="26" t="n">
        <v>36353</v>
      </c>
      <c r="AM350" s="26" t="n">
        <v>45001.0367394444</v>
      </c>
      <c r="AN350" s="25" t="n">
        <v>45001.0431944444</v>
      </c>
      <c r="AO350" s="22" t="n">
        <v>5</v>
      </c>
      <c r="AP350" s="22" t="n">
        <v>30</v>
      </c>
      <c r="AQ350" s="22" t="s">
        <v>1</v>
      </c>
      <c r="AR350" s="27" t="s">
        <v>3122</v>
      </c>
      <c r="AS350" s="27" t="s">
        <v>206</v>
      </c>
      <c r="AT350" s="28" t="n">
        <v>45057.5416666667</v>
      </c>
      <c r="AU350" s="27" t="s">
        <v>220</v>
      </c>
      <c r="AV350" s="27"/>
      <c r="AW350" s="27"/>
      <c r="AX350" s="27"/>
      <c r="AY350" s="27"/>
    </row>
    <row r="351" customFormat="false" ht="15.75" hidden="false" customHeight="true" outlineLevel="0" collapsed="false">
      <c r="A351" s="22" t="n">
        <v>347</v>
      </c>
      <c r="B351" s="23" t="s">
        <v>3129</v>
      </c>
      <c r="C351" s="22" t="s">
        <v>3130</v>
      </c>
      <c r="D351" s="22" t="s">
        <v>3131</v>
      </c>
      <c r="E351" s="22" t="s">
        <v>81</v>
      </c>
      <c r="F351" s="22" t="s">
        <v>107</v>
      </c>
      <c r="G351" s="22" t="s">
        <v>59</v>
      </c>
      <c r="H351" s="22" t="s">
        <v>60</v>
      </c>
      <c r="I351" s="22"/>
      <c r="J351" s="22" t="s">
        <v>61</v>
      </c>
      <c r="K351" s="22" t="s">
        <v>3132</v>
      </c>
      <c r="L351" s="22" t="s">
        <v>62</v>
      </c>
      <c r="M351" s="22" t="s">
        <v>3133</v>
      </c>
      <c r="N351" s="22" t="s">
        <v>3134</v>
      </c>
      <c r="O351" s="22" t="s">
        <v>3135</v>
      </c>
      <c r="P351" s="22" t="s">
        <v>3136</v>
      </c>
      <c r="Q351" s="22"/>
      <c r="R351" s="22" t="s">
        <v>3137</v>
      </c>
      <c r="S351" s="22" t="s">
        <v>61</v>
      </c>
      <c r="T351" s="22"/>
      <c r="U351" s="22" t="s">
        <v>3138</v>
      </c>
      <c r="V351" s="22" t="s">
        <v>70</v>
      </c>
      <c r="W351" s="22" t="s">
        <v>71</v>
      </c>
      <c r="X351" s="25" t="n">
        <v>43466</v>
      </c>
      <c r="Y351" s="25" t="n">
        <v>45261</v>
      </c>
      <c r="Z351" s="22" t="s">
        <v>72</v>
      </c>
      <c r="AA351" s="22" t="s">
        <v>91</v>
      </c>
      <c r="AB351" s="22" t="s">
        <v>74</v>
      </c>
      <c r="AC351" s="22"/>
      <c r="AD351" s="22" t="n">
        <v>0</v>
      </c>
      <c r="AE351" s="22"/>
      <c r="AF351" s="22"/>
      <c r="AG351" s="22" t="s">
        <v>75</v>
      </c>
      <c r="AH351" s="22"/>
      <c r="AI351" s="22" t="n">
        <v>10</v>
      </c>
      <c r="AJ351" s="22" t="n">
        <v>20</v>
      </c>
      <c r="AK351" s="22" t="s">
        <v>61</v>
      </c>
      <c r="AL351" s="26" t="n">
        <v>36628</v>
      </c>
      <c r="AM351" s="26" t="n">
        <v>45000.6461708102</v>
      </c>
      <c r="AN351" s="25" t="n">
        <v>45000.6480787037</v>
      </c>
      <c r="AO351" s="22" t="n">
        <v>9</v>
      </c>
      <c r="AP351" s="22" t="n">
        <v>30</v>
      </c>
      <c r="AQ351" s="22" t="s">
        <v>1</v>
      </c>
      <c r="AR351" s="27" t="s">
        <v>3139</v>
      </c>
      <c r="AS351" s="27" t="s">
        <v>1315</v>
      </c>
      <c r="AT351" s="27"/>
      <c r="AU351" s="27"/>
      <c r="AV351" s="27"/>
      <c r="AW351" s="27"/>
      <c r="AX351" s="27"/>
      <c r="AY351" s="27"/>
    </row>
    <row r="352" customFormat="false" ht="15.75" hidden="false" customHeight="true" outlineLevel="0" collapsed="false">
      <c r="A352" s="22" t="n">
        <v>348</v>
      </c>
      <c r="B352" s="23" t="s">
        <v>3140</v>
      </c>
      <c r="C352" s="22" t="s">
        <v>3141</v>
      </c>
      <c r="D352" s="22" t="s">
        <v>3142</v>
      </c>
      <c r="E352" s="22" t="s">
        <v>81</v>
      </c>
      <c r="F352" s="22" t="s">
        <v>107</v>
      </c>
      <c r="G352" s="22" t="s">
        <v>59</v>
      </c>
      <c r="H352" s="22" t="s">
        <v>96</v>
      </c>
      <c r="I352" s="22"/>
      <c r="J352" s="22" t="s">
        <v>61</v>
      </c>
      <c r="K352" s="22" t="s">
        <v>3143</v>
      </c>
      <c r="L352" s="22" t="s">
        <v>2775</v>
      </c>
      <c r="M352" s="22" t="s">
        <v>3144</v>
      </c>
      <c r="N352" s="22" t="s">
        <v>3145</v>
      </c>
      <c r="O352" s="22" t="s">
        <v>3146</v>
      </c>
      <c r="P352" s="22" t="s">
        <v>3147</v>
      </c>
      <c r="Q352" s="22" t="s">
        <v>3148</v>
      </c>
      <c r="R352" s="22" t="s">
        <v>3149</v>
      </c>
      <c r="S352" s="22" t="s">
        <v>61</v>
      </c>
      <c r="T352" s="22"/>
      <c r="U352" s="22" t="s">
        <v>3150</v>
      </c>
      <c r="V352" s="22" t="s">
        <v>70</v>
      </c>
      <c r="W352" s="22" t="s">
        <v>71</v>
      </c>
      <c r="X352" s="25" t="n">
        <v>43862</v>
      </c>
      <c r="Y352" s="25" t="n">
        <v>45627</v>
      </c>
      <c r="Z352" s="22" t="s">
        <v>72</v>
      </c>
      <c r="AA352" s="22" t="s">
        <v>91</v>
      </c>
      <c r="AB352" s="22" t="s">
        <v>74</v>
      </c>
      <c r="AC352" s="22"/>
      <c r="AD352" s="22" t="n">
        <v>0</v>
      </c>
      <c r="AE352" s="22"/>
      <c r="AF352" s="22"/>
      <c r="AG352" s="22" t="s">
        <v>75</v>
      </c>
      <c r="AH352" s="22"/>
      <c r="AI352" s="22" t="n">
        <v>10</v>
      </c>
      <c r="AJ352" s="22" t="n">
        <v>20</v>
      </c>
      <c r="AK352" s="22" t="s">
        <v>61</v>
      </c>
      <c r="AL352" s="26" t="n">
        <v>36683</v>
      </c>
      <c r="AM352" s="26" t="n">
        <v>45000.6796124074</v>
      </c>
      <c r="AN352" s="25" t="n">
        <v>45005.5813310185</v>
      </c>
      <c r="AO352" s="22" t="n">
        <v>7</v>
      </c>
      <c r="AP352" s="22" t="n">
        <v>30</v>
      </c>
      <c r="AQ352" s="22" t="s">
        <v>1</v>
      </c>
      <c r="AR352" s="27" t="s">
        <v>3139</v>
      </c>
      <c r="AS352" s="27" t="s">
        <v>206</v>
      </c>
      <c r="AT352" s="28" t="n">
        <v>45057.5416666667</v>
      </c>
      <c r="AU352" s="27" t="s">
        <v>220</v>
      </c>
      <c r="AV352" s="27"/>
      <c r="AW352" s="27"/>
      <c r="AX352" s="27"/>
      <c r="AY352" s="27"/>
    </row>
    <row r="353" customFormat="false" ht="15.75" hidden="false" customHeight="true" outlineLevel="0" collapsed="false">
      <c r="A353" s="22" t="n">
        <v>349</v>
      </c>
      <c r="B353" s="23" t="s">
        <v>3151</v>
      </c>
      <c r="C353" s="22" t="s">
        <v>3152</v>
      </c>
      <c r="D353" s="22" t="s">
        <v>3153</v>
      </c>
      <c r="E353" s="22" t="s">
        <v>81</v>
      </c>
      <c r="F353" s="22" t="s">
        <v>107</v>
      </c>
      <c r="G353" s="22" t="s">
        <v>59</v>
      </c>
      <c r="H353" s="22" t="s">
        <v>96</v>
      </c>
      <c r="I353" s="22"/>
      <c r="J353" s="22" t="s">
        <v>61</v>
      </c>
      <c r="K353" s="22" t="s">
        <v>1160</v>
      </c>
      <c r="L353" s="22" t="s">
        <v>62</v>
      </c>
      <c r="M353" s="22" t="s">
        <v>1161</v>
      </c>
      <c r="N353" s="22" t="s">
        <v>3154</v>
      </c>
      <c r="O353" s="22" t="s">
        <v>3155</v>
      </c>
      <c r="P353" s="22" t="s">
        <v>3156</v>
      </c>
      <c r="Q353" s="22"/>
      <c r="R353" s="22" t="s">
        <v>3157</v>
      </c>
      <c r="S353" s="22" t="s">
        <v>61</v>
      </c>
      <c r="T353" s="22"/>
      <c r="U353" s="22" t="s">
        <v>3158</v>
      </c>
      <c r="V353" s="22" t="s">
        <v>70</v>
      </c>
      <c r="W353" s="22" t="s">
        <v>71</v>
      </c>
      <c r="X353" s="25" t="n">
        <v>43862</v>
      </c>
      <c r="Y353" s="25" t="n">
        <v>45992</v>
      </c>
      <c r="Z353" s="22" t="s">
        <v>72</v>
      </c>
      <c r="AA353" s="22" t="s">
        <v>91</v>
      </c>
      <c r="AB353" s="22" t="s">
        <v>74</v>
      </c>
      <c r="AC353" s="22"/>
      <c r="AD353" s="22" t="n">
        <v>0</v>
      </c>
      <c r="AE353" s="22"/>
      <c r="AF353" s="22"/>
      <c r="AG353" s="22" t="s">
        <v>75</v>
      </c>
      <c r="AH353" s="22"/>
      <c r="AI353" s="22" t="n">
        <v>10</v>
      </c>
      <c r="AJ353" s="22" t="n">
        <v>20</v>
      </c>
      <c r="AK353" s="22" t="s">
        <v>76</v>
      </c>
      <c r="AL353" s="26" t="n">
        <v>36765</v>
      </c>
      <c r="AM353" s="26" t="n">
        <v>45000.8549626505</v>
      </c>
      <c r="AN353" s="25" t="n">
        <v>45007.7483680556</v>
      </c>
      <c r="AO353" s="22" t="n">
        <v>7</v>
      </c>
      <c r="AP353" s="22" t="n">
        <v>30</v>
      </c>
      <c r="AQ353" s="22" t="s">
        <v>1</v>
      </c>
      <c r="AR353" s="27" t="s">
        <v>3139</v>
      </c>
      <c r="AS353" s="27" t="s">
        <v>206</v>
      </c>
      <c r="AT353" s="28" t="n">
        <v>45057.5416666667</v>
      </c>
      <c r="AU353" s="27" t="s">
        <v>220</v>
      </c>
      <c r="AV353" s="27"/>
      <c r="AW353" s="27"/>
      <c r="AX353" s="27"/>
      <c r="AY353" s="27"/>
    </row>
    <row r="354" customFormat="false" ht="15.75" hidden="false" customHeight="true" outlineLevel="0" collapsed="false">
      <c r="A354" s="22" t="n">
        <v>350</v>
      </c>
      <c r="B354" s="23" t="s">
        <v>3159</v>
      </c>
      <c r="C354" s="22"/>
      <c r="D354" s="22" t="s">
        <v>3160</v>
      </c>
      <c r="E354" s="22" t="s">
        <v>81</v>
      </c>
      <c r="F354" s="22" t="s">
        <v>107</v>
      </c>
      <c r="G354" s="22" t="s">
        <v>59</v>
      </c>
      <c r="H354" s="22" t="s">
        <v>96</v>
      </c>
      <c r="I354" s="22"/>
      <c r="J354" s="22" t="s">
        <v>61</v>
      </c>
      <c r="K354" s="22" t="s">
        <v>3161</v>
      </c>
      <c r="L354" s="22" t="s">
        <v>62</v>
      </c>
      <c r="M354" s="22" t="s">
        <v>63</v>
      </c>
      <c r="N354" s="22" t="s">
        <v>3162</v>
      </c>
      <c r="O354" s="22" t="s">
        <v>3163</v>
      </c>
      <c r="P354" s="22" t="s">
        <v>3164</v>
      </c>
      <c r="Q354" s="22" t="s">
        <v>3165</v>
      </c>
      <c r="R354" s="22" t="s">
        <v>3166</v>
      </c>
      <c r="S354" s="22" t="s">
        <v>61</v>
      </c>
      <c r="T354" s="22"/>
      <c r="U354" s="22" t="s">
        <v>3167</v>
      </c>
      <c r="V354" s="22" t="s">
        <v>70</v>
      </c>
      <c r="W354" s="22" t="s">
        <v>71</v>
      </c>
      <c r="X354" s="25" t="n">
        <v>43466</v>
      </c>
      <c r="Y354" s="25" t="n">
        <v>45292</v>
      </c>
      <c r="Z354" s="22" t="s">
        <v>72</v>
      </c>
      <c r="AA354" s="22" t="s">
        <v>149</v>
      </c>
      <c r="AB354" s="22" t="s">
        <v>74</v>
      </c>
      <c r="AC354" s="22"/>
      <c r="AD354" s="22" t="n">
        <v>0</v>
      </c>
      <c r="AE354" s="22"/>
      <c r="AF354" s="22"/>
      <c r="AG354" s="22" t="s">
        <v>75</v>
      </c>
      <c r="AH354" s="22"/>
      <c r="AI354" s="22" t="n">
        <v>10</v>
      </c>
      <c r="AJ354" s="22" t="n">
        <v>20</v>
      </c>
      <c r="AK354" s="22" t="s">
        <v>61</v>
      </c>
      <c r="AL354" s="26" t="n">
        <v>36940</v>
      </c>
      <c r="AM354" s="26" t="n">
        <v>45000.7503153009</v>
      </c>
      <c r="AN354" s="25" t="n">
        <v>45000.7542824074</v>
      </c>
      <c r="AO354" s="22" t="n">
        <v>7</v>
      </c>
      <c r="AP354" s="22" t="n">
        <v>30</v>
      </c>
      <c r="AQ354" s="22" t="s">
        <v>0</v>
      </c>
      <c r="AR354" s="27" t="s">
        <v>3139</v>
      </c>
      <c r="AS354" s="27" t="s">
        <v>206</v>
      </c>
      <c r="AT354" s="28" t="n">
        <v>45057.5416666667</v>
      </c>
      <c r="AU354" s="27" t="s">
        <v>78</v>
      </c>
      <c r="AV354" s="27"/>
      <c r="AW354" s="27"/>
      <c r="AX354" s="27"/>
      <c r="AY354" s="27"/>
    </row>
    <row r="355" customFormat="false" ht="15.75" hidden="false" customHeight="true" outlineLevel="0" collapsed="false">
      <c r="A355" s="22" t="n">
        <v>351</v>
      </c>
      <c r="B355" s="23" t="s">
        <v>3168</v>
      </c>
      <c r="C355" s="22"/>
      <c r="D355" s="22" t="s">
        <v>3169</v>
      </c>
      <c r="E355" s="22" t="s">
        <v>81</v>
      </c>
      <c r="F355" s="22" t="s">
        <v>107</v>
      </c>
      <c r="G355" s="22" t="s">
        <v>59</v>
      </c>
      <c r="H355" s="22" t="s">
        <v>96</v>
      </c>
      <c r="I355" s="22"/>
      <c r="J355" s="22" t="s">
        <v>61</v>
      </c>
      <c r="K355" s="22" t="s">
        <v>3170</v>
      </c>
      <c r="L355" s="22" t="s">
        <v>62</v>
      </c>
      <c r="M355" s="22" t="s">
        <v>84</v>
      </c>
      <c r="N355" s="22" t="s">
        <v>3171</v>
      </c>
      <c r="O355" s="22" t="s">
        <v>3172</v>
      </c>
      <c r="P355" s="22" t="s">
        <v>3173</v>
      </c>
      <c r="Q355" s="22" t="s">
        <v>3174</v>
      </c>
      <c r="R355" s="22" t="s">
        <v>3175</v>
      </c>
      <c r="S355" s="22" t="s">
        <v>61</v>
      </c>
      <c r="T355" s="22"/>
      <c r="U355" s="22" t="s">
        <v>3176</v>
      </c>
      <c r="V355" s="22" t="s">
        <v>70</v>
      </c>
      <c r="W355" s="22" t="s">
        <v>71</v>
      </c>
      <c r="X355" s="25" t="n">
        <v>44409</v>
      </c>
      <c r="Y355" s="25" t="n">
        <v>46235</v>
      </c>
      <c r="Z355" s="22" t="s">
        <v>72</v>
      </c>
      <c r="AA355" s="22" t="s">
        <v>149</v>
      </c>
      <c r="AB355" s="22" t="s">
        <v>74</v>
      </c>
      <c r="AC355" s="22"/>
      <c r="AD355" s="22" t="n">
        <v>0</v>
      </c>
      <c r="AE355" s="22"/>
      <c r="AF355" s="22"/>
      <c r="AG355" s="22" t="s">
        <v>75</v>
      </c>
      <c r="AH355" s="22"/>
      <c r="AI355" s="22" t="n">
        <v>10</v>
      </c>
      <c r="AJ355" s="22" t="n">
        <v>20</v>
      </c>
      <c r="AK355" s="22" t="s">
        <v>61</v>
      </c>
      <c r="AL355" s="26" t="n">
        <v>36975</v>
      </c>
      <c r="AM355" s="26" t="n">
        <v>45000.4155527199</v>
      </c>
      <c r="AN355" s="25" t="n">
        <v>45004.4789467593</v>
      </c>
      <c r="AO355" s="22" t="n">
        <v>5</v>
      </c>
      <c r="AP355" s="22" t="n">
        <v>30</v>
      </c>
      <c r="AQ355" s="22" t="s">
        <v>0</v>
      </c>
      <c r="AR355" s="27" t="s">
        <v>3139</v>
      </c>
      <c r="AS355" s="27" t="s">
        <v>206</v>
      </c>
      <c r="AT355" s="28" t="n">
        <v>45057.5416666667</v>
      </c>
      <c r="AU355" s="27" t="s">
        <v>1599</v>
      </c>
      <c r="AV355" s="27"/>
      <c r="AW355" s="27"/>
      <c r="AX355" s="27"/>
      <c r="AY355" s="27"/>
    </row>
    <row r="356" customFormat="false" ht="15.75" hidden="false" customHeight="true" outlineLevel="0" collapsed="false">
      <c r="A356" s="22" t="n">
        <v>352</v>
      </c>
      <c r="B356" s="23" t="s">
        <v>3177</v>
      </c>
      <c r="C356" s="22"/>
      <c r="D356" s="22" t="s">
        <v>3178</v>
      </c>
      <c r="E356" s="22" t="s">
        <v>81</v>
      </c>
      <c r="F356" s="22" t="s">
        <v>107</v>
      </c>
      <c r="G356" s="22" t="s">
        <v>59</v>
      </c>
      <c r="H356" s="22" t="s">
        <v>156</v>
      </c>
      <c r="I356" s="22"/>
      <c r="J356" s="22" t="s">
        <v>61</v>
      </c>
      <c r="K356" s="22" t="s">
        <v>3179</v>
      </c>
      <c r="L356" s="22" t="s">
        <v>62</v>
      </c>
      <c r="M356" s="22" t="s">
        <v>84</v>
      </c>
      <c r="N356" s="22" t="s">
        <v>3180</v>
      </c>
      <c r="O356" s="22" t="s">
        <v>3172</v>
      </c>
      <c r="P356" s="22" t="s">
        <v>3181</v>
      </c>
      <c r="Q356" s="22"/>
      <c r="R356" s="22" t="s">
        <v>3182</v>
      </c>
      <c r="S356" s="22" t="s">
        <v>61</v>
      </c>
      <c r="T356" s="22"/>
      <c r="U356" s="22" t="s">
        <v>479</v>
      </c>
      <c r="V356" s="22" t="s">
        <v>70</v>
      </c>
      <c r="W356" s="22" t="s">
        <v>71</v>
      </c>
      <c r="X356" s="25" t="n">
        <v>44409</v>
      </c>
      <c r="Y356" s="25" t="n">
        <v>46174</v>
      </c>
      <c r="Z356" s="22" t="s">
        <v>72</v>
      </c>
      <c r="AA356" s="22" t="s">
        <v>91</v>
      </c>
      <c r="AB356" s="22" t="s">
        <v>74</v>
      </c>
      <c r="AC356" s="22"/>
      <c r="AD356" s="22" t="n">
        <v>0</v>
      </c>
      <c r="AE356" s="22"/>
      <c r="AF356" s="22"/>
      <c r="AG356" s="22" t="s">
        <v>75</v>
      </c>
      <c r="AH356" s="22"/>
      <c r="AI356" s="22" t="n">
        <v>10</v>
      </c>
      <c r="AJ356" s="22" t="n">
        <v>20</v>
      </c>
      <c r="AK356" s="22" t="s">
        <v>61</v>
      </c>
      <c r="AL356" s="26" t="n">
        <v>37218</v>
      </c>
      <c r="AM356" s="26" t="n">
        <v>45004.751966713</v>
      </c>
      <c r="AN356" s="25" t="n">
        <v>45004.9317708333</v>
      </c>
      <c r="AO356" s="22" t="n">
        <v>5</v>
      </c>
      <c r="AP356" s="22" t="n">
        <v>30</v>
      </c>
      <c r="AQ356" s="22" t="s">
        <v>1</v>
      </c>
      <c r="AR356" s="27" t="s">
        <v>3139</v>
      </c>
      <c r="AS356" s="27" t="s">
        <v>206</v>
      </c>
      <c r="AT356" s="27" t="s">
        <v>3054</v>
      </c>
      <c r="AU356" s="27" t="s">
        <v>1031</v>
      </c>
      <c r="AV356" s="27"/>
      <c r="AW356" s="27"/>
      <c r="AX356" s="27"/>
      <c r="AY356" s="27"/>
    </row>
    <row r="357" customFormat="false" ht="15.75" hidden="false" customHeight="true" outlineLevel="0" collapsed="false">
      <c r="A357" s="22" t="n">
        <v>353</v>
      </c>
      <c r="B357" s="23" t="s">
        <v>3183</v>
      </c>
      <c r="C357" s="22" t="s">
        <v>3184</v>
      </c>
      <c r="D357" s="22" t="s">
        <v>3185</v>
      </c>
      <c r="E357" s="22" t="s">
        <v>81</v>
      </c>
      <c r="F357" s="22" t="s">
        <v>107</v>
      </c>
      <c r="G357" s="22" t="s">
        <v>59</v>
      </c>
      <c r="H357" s="22" t="s">
        <v>96</v>
      </c>
      <c r="I357" s="22"/>
      <c r="J357" s="22" t="s">
        <v>61</v>
      </c>
      <c r="K357" s="22" t="s">
        <v>3186</v>
      </c>
      <c r="L357" s="22" t="s">
        <v>62</v>
      </c>
      <c r="M357" s="22" t="s">
        <v>63</v>
      </c>
      <c r="N357" s="22" t="s">
        <v>3187</v>
      </c>
      <c r="O357" s="22" t="s">
        <v>3188</v>
      </c>
      <c r="P357" s="22" t="s">
        <v>3189</v>
      </c>
      <c r="Q357" s="22"/>
      <c r="R357" s="22" t="s">
        <v>3190</v>
      </c>
      <c r="S357" s="22" t="s">
        <v>61</v>
      </c>
      <c r="T357" s="22"/>
      <c r="U357" s="22" t="s">
        <v>261</v>
      </c>
      <c r="V357" s="22" t="s">
        <v>70</v>
      </c>
      <c r="W357" s="22" t="s">
        <v>71</v>
      </c>
      <c r="X357" s="25" t="n">
        <v>44044</v>
      </c>
      <c r="Y357" s="25" t="n">
        <v>45809</v>
      </c>
      <c r="Z357" s="22" t="s">
        <v>72</v>
      </c>
      <c r="AA357" s="22" t="s">
        <v>91</v>
      </c>
      <c r="AB357" s="22" t="s">
        <v>74</v>
      </c>
      <c r="AC357" s="22"/>
      <c r="AD357" s="22" t="n">
        <v>0</v>
      </c>
      <c r="AE357" s="22"/>
      <c r="AF357" s="22"/>
      <c r="AG357" s="22" t="s">
        <v>75</v>
      </c>
      <c r="AH357" s="22"/>
      <c r="AI357" s="22" t="n">
        <v>10</v>
      </c>
      <c r="AJ357" s="22" t="n">
        <v>20</v>
      </c>
      <c r="AK357" s="22" t="s">
        <v>76</v>
      </c>
      <c r="AL357" s="26" t="n">
        <v>37230</v>
      </c>
      <c r="AM357" s="26" t="n">
        <v>45000.6055692708</v>
      </c>
      <c r="AN357" s="25" t="n">
        <v>45000.6069097222</v>
      </c>
      <c r="AO357" s="22" t="n">
        <v>6</v>
      </c>
      <c r="AP357" s="22" t="n">
        <v>30</v>
      </c>
      <c r="AQ357" s="22" t="s">
        <v>1</v>
      </c>
      <c r="AR357" s="27" t="s">
        <v>3139</v>
      </c>
      <c r="AS357" s="27" t="s">
        <v>206</v>
      </c>
      <c r="AT357" s="28" t="n">
        <v>45057.5416666667</v>
      </c>
      <c r="AU357" s="27" t="s">
        <v>206</v>
      </c>
      <c r="AV357" s="27"/>
      <c r="AW357" s="27"/>
      <c r="AX357" s="27"/>
      <c r="AY357" s="27"/>
    </row>
    <row r="358" customFormat="false" ht="15.75" hidden="false" customHeight="true" outlineLevel="0" collapsed="false">
      <c r="A358" s="22" t="n">
        <v>354</v>
      </c>
      <c r="B358" s="23" t="s">
        <v>3191</v>
      </c>
      <c r="C358" s="22"/>
      <c r="D358" s="22" t="s">
        <v>3192</v>
      </c>
      <c r="E358" s="22" t="s">
        <v>57</v>
      </c>
      <c r="F358" s="22" t="s">
        <v>107</v>
      </c>
      <c r="G358" s="22" t="s">
        <v>59</v>
      </c>
      <c r="H358" s="22" t="s">
        <v>327</v>
      </c>
      <c r="I358" s="22"/>
      <c r="J358" s="22" t="s">
        <v>61</v>
      </c>
      <c r="K358" s="22" t="s">
        <v>3193</v>
      </c>
      <c r="L358" s="22" t="s">
        <v>62</v>
      </c>
      <c r="M358" s="22" t="s">
        <v>84</v>
      </c>
      <c r="N358" s="22" t="s">
        <v>3194</v>
      </c>
      <c r="O358" s="22" t="s">
        <v>465</v>
      </c>
      <c r="P358" s="22" t="s">
        <v>3195</v>
      </c>
      <c r="Q358" s="22"/>
      <c r="R358" s="22" t="s">
        <v>3196</v>
      </c>
      <c r="S358" s="22" t="s">
        <v>61</v>
      </c>
      <c r="T358" s="22"/>
      <c r="U358" s="22" t="s">
        <v>3197</v>
      </c>
      <c r="V358" s="22" t="s">
        <v>70</v>
      </c>
      <c r="W358" s="22" t="s">
        <v>71</v>
      </c>
      <c r="X358" s="25" t="n">
        <v>43831</v>
      </c>
      <c r="Y358" s="25" t="n">
        <v>45992</v>
      </c>
      <c r="Z358" s="22" t="s">
        <v>72</v>
      </c>
      <c r="AA358" s="22" t="s">
        <v>91</v>
      </c>
      <c r="AB358" s="22" t="s">
        <v>74</v>
      </c>
      <c r="AC358" s="22"/>
      <c r="AD358" s="22" t="n">
        <v>0</v>
      </c>
      <c r="AE358" s="22"/>
      <c r="AF358" s="22"/>
      <c r="AG358" s="22" t="s">
        <v>75</v>
      </c>
      <c r="AH358" s="22"/>
      <c r="AI358" s="22" t="n">
        <v>10</v>
      </c>
      <c r="AJ358" s="22" t="n">
        <v>20</v>
      </c>
      <c r="AK358" s="22" t="s">
        <v>61</v>
      </c>
      <c r="AL358" s="26" t="n">
        <v>37269</v>
      </c>
      <c r="AM358" s="26" t="n">
        <v>45000.4087926157</v>
      </c>
      <c r="AN358" s="25" t="n">
        <v>45000.6371180556</v>
      </c>
      <c r="AO358" s="22" t="n">
        <v>5</v>
      </c>
      <c r="AP358" s="22" t="n">
        <v>30</v>
      </c>
      <c r="AQ358" s="22" t="s">
        <v>0</v>
      </c>
      <c r="AR358" s="42" t="s">
        <v>3139</v>
      </c>
      <c r="AS358" s="27" t="s">
        <v>78</v>
      </c>
      <c r="AT358" s="27"/>
      <c r="AU358" s="27"/>
      <c r="AV358" s="27"/>
      <c r="AW358" s="27"/>
      <c r="AX358" s="27"/>
      <c r="AY358" s="27"/>
    </row>
    <row r="359" customFormat="false" ht="15.75" hidden="false" customHeight="true" outlineLevel="0" collapsed="false">
      <c r="A359" s="22" t="n">
        <v>355</v>
      </c>
      <c r="B359" s="23" t="s">
        <v>3198</v>
      </c>
      <c r="C359" s="22"/>
      <c r="D359" s="22" t="s">
        <v>3199</v>
      </c>
      <c r="E359" s="22" t="s">
        <v>81</v>
      </c>
      <c r="F359" s="22" t="s">
        <v>188</v>
      </c>
      <c r="G359" s="22" t="s">
        <v>59</v>
      </c>
      <c r="H359" s="22" t="s">
        <v>60</v>
      </c>
      <c r="I359" s="22"/>
      <c r="J359" s="22" t="s">
        <v>61</v>
      </c>
      <c r="K359" s="22" t="s">
        <v>2080</v>
      </c>
      <c r="L359" s="22" t="s">
        <v>62</v>
      </c>
      <c r="M359" s="22" t="s">
        <v>3200</v>
      </c>
      <c r="N359" s="22" t="s">
        <v>3201</v>
      </c>
      <c r="O359" s="22" t="s">
        <v>3202</v>
      </c>
      <c r="P359" s="22" t="s">
        <v>3203</v>
      </c>
      <c r="Q359" s="22"/>
      <c r="R359" s="22" t="s">
        <v>3204</v>
      </c>
      <c r="S359" s="22" t="s">
        <v>61</v>
      </c>
      <c r="T359" s="22"/>
      <c r="U359" s="22" t="s">
        <v>3205</v>
      </c>
      <c r="V359" s="22" t="s">
        <v>70</v>
      </c>
      <c r="W359" s="22" t="s">
        <v>71</v>
      </c>
      <c r="X359" s="25" t="n">
        <v>43831</v>
      </c>
      <c r="Y359" s="25" t="n">
        <v>45658</v>
      </c>
      <c r="Z359" s="22" t="s">
        <v>72</v>
      </c>
      <c r="AA359" s="22" t="s">
        <v>91</v>
      </c>
      <c r="AB359" s="22" t="s">
        <v>74</v>
      </c>
      <c r="AC359" s="22"/>
      <c r="AD359" s="22" t="n">
        <v>0</v>
      </c>
      <c r="AE359" s="22"/>
      <c r="AF359" s="22"/>
      <c r="AG359" s="22" t="s">
        <v>75</v>
      </c>
      <c r="AH359" s="22"/>
      <c r="AI359" s="22" t="n">
        <v>10</v>
      </c>
      <c r="AJ359" s="22" t="n">
        <v>20</v>
      </c>
      <c r="AK359" s="22" t="s">
        <v>61</v>
      </c>
      <c r="AL359" s="26" t="n">
        <v>37318</v>
      </c>
      <c r="AM359" s="26" t="n">
        <v>45005.6230192824</v>
      </c>
      <c r="AN359" s="25" t="n">
        <v>45005.6240625</v>
      </c>
      <c r="AO359" s="22" t="n">
        <v>7</v>
      </c>
      <c r="AP359" s="22" t="n">
        <v>30</v>
      </c>
      <c r="AQ359" s="22" t="s">
        <v>1</v>
      </c>
      <c r="AR359" s="54" t="s">
        <v>3139</v>
      </c>
      <c r="AS359" s="27" t="s">
        <v>3206</v>
      </c>
      <c r="AT359" s="27"/>
      <c r="AU359" s="27"/>
      <c r="AV359" s="27"/>
      <c r="AW359" s="27"/>
      <c r="AX359" s="27"/>
      <c r="AY359" s="27"/>
    </row>
    <row r="360" customFormat="false" ht="15.75" hidden="false" customHeight="true" outlineLevel="0" collapsed="false">
      <c r="A360" s="22" t="n">
        <v>356</v>
      </c>
      <c r="B360" s="23" t="s">
        <v>3207</v>
      </c>
      <c r="C360" s="22"/>
      <c r="D360" s="22" t="s">
        <v>3208</v>
      </c>
      <c r="E360" s="22" t="s">
        <v>57</v>
      </c>
      <c r="F360" s="22" t="s">
        <v>107</v>
      </c>
      <c r="G360" s="22" t="s">
        <v>59</v>
      </c>
      <c r="H360" s="22" t="s">
        <v>60</v>
      </c>
      <c r="I360" s="22"/>
      <c r="J360" s="22" t="s">
        <v>61</v>
      </c>
      <c r="K360" s="22" t="s">
        <v>3209</v>
      </c>
      <c r="L360" s="22" t="s">
        <v>62</v>
      </c>
      <c r="M360" s="22" t="s">
        <v>84</v>
      </c>
      <c r="N360" s="22" t="s">
        <v>3210</v>
      </c>
      <c r="O360" s="22" t="s">
        <v>3211</v>
      </c>
      <c r="P360" s="22" t="s">
        <v>3212</v>
      </c>
      <c r="Q360" s="22"/>
      <c r="R360" s="22" t="s">
        <v>3213</v>
      </c>
      <c r="S360" s="22" t="s">
        <v>61</v>
      </c>
      <c r="T360" s="22"/>
      <c r="U360" s="22" t="s">
        <v>3214</v>
      </c>
      <c r="V360" s="22" t="s">
        <v>70</v>
      </c>
      <c r="W360" s="22" t="s">
        <v>71</v>
      </c>
      <c r="X360" s="25" t="n">
        <v>44348</v>
      </c>
      <c r="Y360" s="25" t="n">
        <v>45992</v>
      </c>
      <c r="Z360" s="22" t="s">
        <v>72</v>
      </c>
      <c r="AA360" s="22" t="s">
        <v>149</v>
      </c>
      <c r="AB360" s="22" t="s">
        <v>74</v>
      </c>
      <c r="AC360" s="22"/>
      <c r="AD360" s="22" t="n">
        <v>0</v>
      </c>
      <c r="AE360" s="22"/>
      <c r="AF360" s="22"/>
      <c r="AG360" s="22" t="s">
        <v>75</v>
      </c>
      <c r="AH360" s="22"/>
      <c r="AI360" s="22" t="n">
        <v>10</v>
      </c>
      <c r="AJ360" s="22" t="n">
        <v>20</v>
      </c>
      <c r="AK360" s="22" t="s">
        <v>76</v>
      </c>
      <c r="AL360" s="26" t="n">
        <v>37407</v>
      </c>
      <c r="AM360" s="26" t="n">
        <v>45005.640488669</v>
      </c>
      <c r="AN360" s="25" t="n">
        <v>45007.5996990741</v>
      </c>
      <c r="AO360" s="22" t="n">
        <v>5</v>
      </c>
      <c r="AP360" s="22" t="n">
        <v>30</v>
      </c>
      <c r="AQ360" s="22" t="s">
        <v>0</v>
      </c>
      <c r="AR360" s="27" t="s">
        <v>3215</v>
      </c>
      <c r="AS360" s="27" t="s">
        <v>206</v>
      </c>
      <c r="AT360" s="28" t="n">
        <v>45057.5416666667</v>
      </c>
      <c r="AU360" s="27" t="s">
        <v>78</v>
      </c>
      <c r="AV360" s="27"/>
      <c r="AW360" s="27"/>
      <c r="AX360" s="27"/>
      <c r="AY360" s="27"/>
    </row>
    <row r="361" customFormat="false" ht="15.75" hidden="false" customHeight="true" outlineLevel="0" collapsed="false">
      <c r="A361" s="22" t="n">
        <v>357</v>
      </c>
      <c r="B361" s="23" t="s">
        <v>3216</v>
      </c>
      <c r="C361" s="22" t="s">
        <v>3217</v>
      </c>
      <c r="D361" s="22" t="s">
        <v>3218</v>
      </c>
      <c r="E361" s="22" t="s">
        <v>81</v>
      </c>
      <c r="F361" s="22" t="s">
        <v>107</v>
      </c>
      <c r="G361" s="22" t="s">
        <v>59</v>
      </c>
      <c r="H361" s="22" t="s">
        <v>96</v>
      </c>
      <c r="I361" s="22"/>
      <c r="J361" s="22" t="s">
        <v>61</v>
      </c>
      <c r="K361" s="22" t="s">
        <v>3219</v>
      </c>
      <c r="L361" s="22" t="s">
        <v>62</v>
      </c>
      <c r="M361" s="22" t="s">
        <v>63</v>
      </c>
      <c r="N361" s="22" t="s">
        <v>3220</v>
      </c>
      <c r="O361" s="22" t="s">
        <v>3221</v>
      </c>
      <c r="P361" s="22" t="s">
        <v>3222</v>
      </c>
      <c r="Q361" s="22"/>
      <c r="R361" s="22" t="s">
        <v>3223</v>
      </c>
      <c r="S361" s="22" t="s">
        <v>61</v>
      </c>
      <c r="T361" s="22"/>
      <c r="U361" s="22" t="s">
        <v>3224</v>
      </c>
      <c r="V361" s="22" t="s">
        <v>70</v>
      </c>
      <c r="W361" s="22" t="s">
        <v>71</v>
      </c>
      <c r="X361" s="25" t="n">
        <v>44562</v>
      </c>
      <c r="Y361" s="25" t="n">
        <v>46357</v>
      </c>
      <c r="Z361" s="22" t="s">
        <v>72</v>
      </c>
      <c r="AA361" s="22" t="s">
        <v>91</v>
      </c>
      <c r="AB361" s="22" t="s">
        <v>74</v>
      </c>
      <c r="AC361" s="22"/>
      <c r="AD361" s="22" t="n">
        <v>0</v>
      </c>
      <c r="AE361" s="22"/>
      <c r="AF361" s="22"/>
      <c r="AG361" s="22" t="s">
        <v>75</v>
      </c>
      <c r="AH361" s="22"/>
      <c r="AI361" s="22" t="n">
        <v>10</v>
      </c>
      <c r="AJ361" s="22" t="n">
        <v>20</v>
      </c>
      <c r="AK361" s="22" t="s">
        <v>76</v>
      </c>
      <c r="AL361" s="26" t="n">
        <v>37469</v>
      </c>
      <c r="AM361" s="26" t="n">
        <v>45001.5706999074</v>
      </c>
      <c r="AN361" s="25" t="n">
        <v>45001.5783796296</v>
      </c>
      <c r="AO361" s="22" t="n">
        <v>5</v>
      </c>
      <c r="AP361" s="22" t="n">
        <v>30</v>
      </c>
      <c r="AQ361" s="22" t="s">
        <v>3225</v>
      </c>
      <c r="AR361" s="27" t="s">
        <v>3215</v>
      </c>
      <c r="AS361" s="27" t="s">
        <v>443</v>
      </c>
      <c r="AT361" s="28" t="n">
        <v>45057.5416666667</v>
      </c>
      <c r="AU361" s="27" t="s">
        <v>220</v>
      </c>
      <c r="AV361" s="27"/>
      <c r="AW361" s="27"/>
      <c r="AX361" s="27"/>
      <c r="AY361" s="27"/>
    </row>
    <row r="362" customFormat="false" ht="15.75" hidden="false" customHeight="true" outlineLevel="0" collapsed="false">
      <c r="A362" s="22" t="n">
        <v>358</v>
      </c>
      <c r="B362" s="23" t="s">
        <v>3226</v>
      </c>
      <c r="C362" s="22" t="s">
        <v>3227</v>
      </c>
      <c r="D362" s="22" t="s">
        <v>3228</v>
      </c>
      <c r="E362" s="22" t="s">
        <v>81</v>
      </c>
      <c r="F362" s="22" t="s">
        <v>107</v>
      </c>
      <c r="G362" s="22" t="s">
        <v>59</v>
      </c>
      <c r="H362" s="22" t="s">
        <v>60</v>
      </c>
      <c r="I362" s="22"/>
      <c r="J362" s="22" t="s">
        <v>61</v>
      </c>
      <c r="K362" s="22" t="s">
        <v>3229</v>
      </c>
      <c r="L362" s="22" t="s">
        <v>62</v>
      </c>
      <c r="M362" s="22" t="s">
        <v>557</v>
      </c>
      <c r="N362" s="22" t="s">
        <v>3230</v>
      </c>
      <c r="O362" s="22" t="s">
        <v>3231</v>
      </c>
      <c r="P362" s="22" t="s">
        <v>3232</v>
      </c>
      <c r="Q362" s="22" t="s">
        <v>3233</v>
      </c>
      <c r="R362" s="22" t="s">
        <v>3234</v>
      </c>
      <c r="S362" s="22" t="s">
        <v>61</v>
      </c>
      <c r="T362" s="22"/>
      <c r="U362" s="22" t="s">
        <v>3235</v>
      </c>
      <c r="V362" s="22" t="s">
        <v>70</v>
      </c>
      <c r="W362" s="22" t="s">
        <v>71</v>
      </c>
      <c r="X362" s="25" t="n">
        <v>44409</v>
      </c>
      <c r="Y362" s="25" t="n">
        <v>46235</v>
      </c>
      <c r="Z362" s="22" t="s">
        <v>72</v>
      </c>
      <c r="AA362" s="22" t="s">
        <v>149</v>
      </c>
      <c r="AB362" s="22" t="s">
        <v>74</v>
      </c>
      <c r="AC362" s="22"/>
      <c r="AD362" s="22" t="n">
        <v>0</v>
      </c>
      <c r="AE362" s="22"/>
      <c r="AF362" s="22"/>
      <c r="AG362" s="22" t="s">
        <v>75</v>
      </c>
      <c r="AH362" s="22"/>
      <c r="AI362" s="22" t="n">
        <v>10</v>
      </c>
      <c r="AJ362" s="22" t="n">
        <v>20</v>
      </c>
      <c r="AK362" s="22" t="s">
        <v>61</v>
      </c>
      <c r="AL362" s="26" t="n">
        <v>37469</v>
      </c>
      <c r="AM362" s="26" t="n">
        <v>45005.7773383218</v>
      </c>
      <c r="AN362" s="25" t="n">
        <v>45005.7788773148</v>
      </c>
      <c r="AO362" s="22" t="n">
        <v>5</v>
      </c>
      <c r="AP362" s="22" t="n">
        <v>30</v>
      </c>
      <c r="AQ362" s="55" t="s">
        <v>3225</v>
      </c>
      <c r="AR362" s="27" t="s">
        <v>3215</v>
      </c>
      <c r="AS362" s="27" t="s">
        <v>3236</v>
      </c>
      <c r="AT362" s="28" t="n">
        <v>45057.5416666667</v>
      </c>
      <c r="AU362" s="27" t="s">
        <v>3236</v>
      </c>
      <c r="AV362" s="27"/>
      <c r="AW362" s="27"/>
      <c r="AX362" s="27"/>
      <c r="AY362" s="27"/>
    </row>
    <row r="363" customFormat="false" ht="15.75" hidden="false" customHeight="true" outlineLevel="0" collapsed="false">
      <c r="A363" s="22" t="n">
        <v>359</v>
      </c>
      <c r="B363" s="23" t="s">
        <v>3237</v>
      </c>
      <c r="C363" s="22"/>
      <c r="D363" s="22" t="s">
        <v>3238</v>
      </c>
      <c r="E363" s="22" t="s">
        <v>57</v>
      </c>
      <c r="F363" s="22" t="s">
        <v>107</v>
      </c>
      <c r="G363" s="22" t="s">
        <v>59</v>
      </c>
      <c r="H363" s="22" t="s">
        <v>156</v>
      </c>
      <c r="I363" s="22"/>
      <c r="J363" s="22" t="s">
        <v>61</v>
      </c>
      <c r="K363" s="22" t="s">
        <v>3239</v>
      </c>
      <c r="L363" s="22" t="s">
        <v>62</v>
      </c>
      <c r="M363" s="22" t="s">
        <v>63</v>
      </c>
      <c r="N363" s="22" t="s">
        <v>3240</v>
      </c>
      <c r="O363" s="22" t="s">
        <v>3241</v>
      </c>
      <c r="P363" s="22" t="s">
        <v>3242</v>
      </c>
      <c r="Q363" s="22" t="s">
        <v>3243</v>
      </c>
      <c r="R363" s="22" t="s">
        <v>3244</v>
      </c>
      <c r="S363" s="22" t="s">
        <v>61</v>
      </c>
      <c r="T363" s="22"/>
      <c r="U363" s="22" t="s">
        <v>3245</v>
      </c>
      <c r="V363" s="22" t="s">
        <v>70</v>
      </c>
      <c r="W363" s="22" t="s">
        <v>71</v>
      </c>
      <c r="X363" s="25" t="n">
        <v>44197</v>
      </c>
      <c r="Y363" s="25" t="n">
        <v>45992</v>
      </c>
      <c r="Z363" s="22" t="s">
        <v>72</v>
      </c>
      <c r="AA363" s="22" t="s">
        <v>149</v>
      </c>
      <c r="AB363" s="22" t="s">
        <v>74</v>
      </c>
      <c r="AC363" s="22"/>
      <c r="AD363" s="22" t="n">
        <v>0</v>
      </c>
      <c r="AE363" s="22"/>
      <c r="AF363" s="22"/>
      <c r="AG363" s="22" t="s">
        <v>75</v>
      </c>
      <c r="AH363" s="22"/>
      <c r="AI363" s="22" t="n">
        <v>10</v>
      </c>
      <c r="AJ363" s="22" t="n">
        <v>20</v>
      </c>
      <c r="AK363" s="22" t="s">
        <v>61</v>
      </c>
      <c r="AL363" s="26" t="n">
        <v>37512</v>
      </c>
      <c r="AM363" s="26" t="n">
        <v>45000.5373032639</v>
      </c>
      <c r="AN363" s="25" t="n">
        <v>45001.5857986111</v>
      </c>
      <c r="AO363" s="22" t="n">
        <v>5</v>
      </c>
      <c r="AP363" s="22" t="n">
        <v>30</v>
      </c>
      <c r="AQ363" s="22" t="s">
        <v>1</v>
      </c>
      <c r="AR363" s="27" t="s">
        <v>3215</v>
      </c>
      <c r="AS363" s="27" t="s">
        <v>206</v>
      </c>
      <c r="AT363" s="28" t="n">
        <v>45057.5416666667</v>
      </c>
      <c r="AU363" s="27" t="s">
        <v>220</v>
      </c>
      <c r="AV363" s="27"/>
      <c r="AW363" s="27"/>
      <c r="AX363" s="27"/>
      <c r="AY363" s="27"/>
    </row>
    <row r="364" customFormat="false" ht="15.75" hidden="false" customHeight="true" outlineLevel="0" collapsed="false">
      <c r="A364" s="22" t="n">
        <v>360</v>
      </c>
      <c r="B364" s="23" t="s">
        <v>3246</v>
      </c>
      <c r="C364" s="22" t="s">
        <v>3247</v>
      </c>
      <c r="D364" s="22" t="s">
        <v>3248</v>
      </c>
      <c r="E364" s="22" t="s">
        <v>81</v>
      </c>
      <c r="F364" s="22" t="s">
        <v>107</v>
      </c>
      <c r="G364" s="22" t="s">
        <v>59</v>
      </c>
      <c r="H364" s="22" t="s">
        <v>156</v>
      </c>
      <c r="I364" s="22"/>
      <c r="J364" s="22" t="s">
        <v>61</v>
      </c>
      <c r="K364" s="22" t="s">
        <v>3249</v>
      </c>
      <c r="L364" s="22" t="s">
        <v>62</v>
      </c>
      <c r="M364" s="22" t="s">
        <v>557</v>
      </c>
      <c r="N364" s="22" t="s">
        <v>3250</v>
      </c>
      <c r="O364" s="22" t="s">
        <v>418</v>
      </c>
      <c r="P364" s="22" t="s">
        <v>3251</v>
      </c>
      <c r="Q364" s="22"/>
      <c r="R364" s="22" t="s">
        <v>3252</v>
      </c>
      <c r="S364" s="22" t="s">
        <v>61</v>
      </c>
      <c r="T364" s="22"/>
      <c r="U364" s="22" t="s">
        <v>3253</v>
      </c>
      <c r="V364" s="22" t="s">
        <v>70</v>
      </c>
      <c r="W364" s="22" t="s">
        <v>71</v>
      </c>
      <c r="X364" s="25" t="n">
        <v>43831</v>
      </c>
      <c r="Y364" s="25" t="n">
        <v>45627</v>
      </c>
      <c r="Z364" s="22" t="s">
        <v>72</v>
      </c>
      <c r="AA364" s="22" t="s">
        <v>91</v>
      </c>
      <c r="AB364" s="22" t="s">
        <v>74</v>
      </c>
      <c r="AC364" s="22"/>
      <c r="AD364" s="22" t="n">
        <v>0</v>
      </c>
      <c r="AE364" s="22"/>
      <c r="AF364" s="22"/>
      <c r="AG364" s="22" t="s">
        <v>75</v>
      </c>
      <c r="AH364" s="22"/>
      <c r="AI364" s="22" t="n">
        <v>10</v>
      </c>
      <c r="AJ364" s="22" t="n">
        <v>20</v>
      </c>
      <c r="AK364" s="22" t="s">
        <v>76</v>
      </c>
      <c r="AL364" s="26" t="n">
        <v>37572</v>
      </c>
      <c r="AM364" s="26" t="n">
        <v>45009.3531823495</v>
      </c>
      <c r="AN364" s="25" t="n">
        <v>45009.3547106482</v>
      </c>
      <c r="AO364" s="22" t="n">
        <v>7</v>
      </c>
      <c r="AP364" s="22" t="n">
        <v>30</v>
      </c>
      <c r="AQ364" s="22" t="s">
        <v>1</v>
      </c>
      <c r="AR364" s="27" t="s">
        <v>3215</v>
      </c>
      <c r="AS364" s="27" t="s">
        <v>206</v>
      </c>
      <c r="AT364" s="28" t="n">
        <v>45057.5416666667</v>
      </c>
      <c r="AU364" s="27" t="s">
        <v>220</v>
      </c>
      <c r="AV364" s="27"/>
      <c r="AW364" s="27"/>
      <c r="AX364" s="27"/>
      <c r="AY364" s="27"/>
    </row>
    <row r="365" customFormat="false" ht="15.75" hidden="false" customHeight="true" outlineLevel="0" collapsed="false">
      <c r="A365" s="22" t="n">
        <v>361</v>
      </c>
      <c r="B365" s="23" t="s">
        <v>3254</v>
      </c>
      <c r="C365" s="22" t="s">
        <v>3255</v>
      </c>
      <c r="D365" s="22" t="s">
        <v>3256</v>
      </c>
      <c r="E365" s="22" t="s">
        <v>81</v>
      </c>
      <c r="F365" s="22" t="s">
        <v>107</v>
      </c>
      <c r="G365" s="22" t="s">
        <v>59</v>
      </c>
      <c r="H365" s="22" t="s">
        <v>327</v>
      </c>
      <c r="I365" s="22"/>
      <c r="J365" s="22" t="s">
        <v>61</v>
      </c>
      <c r="K365" s="22" t="s">
        <v>3257</v>
      </c>
      <c r="L365" s="22" t="s">
        <v>62</v>
      </c>
      <c r="M365" s="22" t="s">
        <v>365</v>
      </c>
      <c r="N365" s="22" t="s">
        <v>3258</v>
      </c>
      <c r="O365" s="22" t="s">
        <v>3259</v>
      </c>
      <c r="P365" s="22" t="s">
        <v>3260</v>
      </c>
      <c r="Q365" s="22"/>
      <c r="R365" s="22" t="s">
        <v>3261</v>
      </c>
      <c r="S365" s="22" t="s">
        <v>61</v>
      </c>
      <c r="T365" s="22"/>
      <c r="U365" s="22" t="s">
        <v>672</v>
      </c>
      <c r="V365" s="22" t="s">
        <v>70</v>
      </c>
      <c r="W365" s="22" t="s">
        <v>71</v>
      </c>
      <c r="X365" s="25" t="n">
        <v>44228</v>
      </c>
      <c r="Y365" s="25" t="n">
        <v>45992</v>
      </c>
      <c r="Z365" s="22" t="s">
        <v>72</v>
      </c>
      <c r="AA365" s="22" t="s">
        <v>74</v>
      </c>
      <c r="AB365" s="22" t="s">
        <v>74</v>
      </c>
      <c r="AC365" s="22"/>
      <c r="AD365" s="22" t="n">
        <v>0</v>
      </c>
      <c r="AE365" s="22"/>
      <c r="AF365" s="22"/>
      <c r="AG365" s="22" t="s">
        <v>75</v>
      </c>
      <c r="AH365" s="22"/>
      <c r="AI365" s="22" t="n">
        <v>10</v>
      </c>
      <c r="AJ365" s="22" t="n">
        <v>20</v>
      </c>
      <c r="AK365" s="22" t="s">
        <v>61</v>
      </c>
      <c r="AL365" s="26" t="n">
        <v>37688</v>
      </c>
      <c r="AM365" s="26" t="n">
        <v>45000.5312556713</v>
      </c>
      <c r="AN365" s="25" t="n">
        <v>45000.5325925926</v>
      </c>
      <c r="AO365" s="22" t="n">
        <v>5</v>
      </c>
      <c r="AP365" s="22" t="n">
        <v>30</v>
      </c>
      <c r="AQ365" s="22" t="s">
        <v>0</v>
      </c>
      <c r="AR365" s="27" t="s">
        <v>3215</v>
      </c>
      <c r="AS365" s="27" t="s">
        <v>78</v>
      </c>
      <c r="AT365" s="27"/>
      <c r="AU365" s="27"/>
      <c r="AV365" s="27"/>
      <c r="AW365" s="27"/>
      <c r="AX365" s="27"/>
      <c r="AY365" s="27"/>
    </row>
    <row r="366" customFormat="false" ht="15.75" hidden="false" customHeight="true" outlineLevel="0" collapsed="false">
      <c r="A366" s="22" t="n">
        <v>362</v>
      </c>
      <c r="B366" s="23" t="s">
        <v>3262</v>
      </c>
      <c r="C366" s="22" t="s">
        <v>3263</v>
      </c>
      <c r="D366" s="22" t="s">
        <v>3264</v>
      </c>
      <c r="E366" s="22" t="s">
        <v>57</v>
      </c>
      <c r="F366" s="22" t="s">
        <v>107</v>
      </c>
      <c r="G366" s="22" t="s">
        <v>59</v>
      </c>
      <c r="H366" s="22" t="s">
        <v>60</v>
      </c>
      <c r="I366" s="22"/>
      <c r="J366" s="22" t="s">
        <v>61</v>
      </c>
      <c r="K366" s="22" t="s">
        <v>3265</v>
      </c>
      <c r="L366" s="22" t="s">
        <v>62</v>
      </c>
      <c r="M366" s="22" t="s">
        <v>84</v>
      </c>
      <c r="N366" s="22" t="s">
        <v>3266</v>
      </c>
      <c r="O366" s="22" t="s">
        <v>1518</v>
      </c>
      <c r="P366" s="22" t="s">
        <v>3267</v>
      </c>
      <c r="Q366" s="22" t="s">
        <v>3268</v>
      </c>
      <c r="R366" s="22" t="s">
        <v>3269</v>
      </c>
      <c r="S366" s="22" t="s">
        <v>61</v>
      </c>
      <c r="T366" s="22"/>
      <c r="U366" s="22" t="s">
        <v>3270</v>
      </c>
      <c r="V366" s="22" t="s">
        <v>70</v>
      </c>
      <c r="W366" s="22" t="s">
        <v>71</v>
      </c>
      <c r="X366" s="25" t="n">
        <v>44287</v>
      </c>
      <c r="Y366" s="25" t="n">
        <v>45992</v>
      </c>
      <c r="Z366" s="22" t="s">
        <v>72</v>
      </c>
      <c r="AA366" s="22" t="s">
        <v>91</v>
      </c>
      <c r="AB366" s="22" t="s">
        <v>74</v>
      </c>
      <c r="AC366" s="22"/>
      <c r="AD366" s="22" t="n">
        <v>0</v>
      </c>
      <c r="AE366" s="22"/>
      <c r="AF366" s="22"/>
      <c r="AG366" s="22" t="s">
        <v>75</v>
      </c>
      <c r="AH366" s="22"/>
      <c r="AI366" s="22" t="n">
        <v>10</v>
      </c>
      <c r="AJ366" s="22" t="n">
        <v>20</v>
      </c>
      <c r="AK366" s="22" t="s">
        <v>76</v>
      </c>
      <c r="AL366" s="26" t="n">
        <v>37776</v>
      </c>
      <c r="AM366" s="26" t="n">
        <v>45000.9677871644</v>
      </c>
      <c r="AN366" s="25" t="n">
        <v>45005.3416666667</v>
      </c>
      <c r="AO366" s="22" t="n">
        <v>5</v>
      </c>
      <c r="AP366" s="22" t="n">
        <v>30</v>
      </c>
      <c r="AQ366" s="22" t="s">
        <v>0</v>
      </c>
      <c r="AR366" s="27" t="s">
        <v>3215</v>
      </c>
      <c r="AS366" s="27" t="s">
        <v>78</v>
      </c>
      <c r="AT366" s="27"/>
      <c r="AU366" s="27"/>
      <c r="AV366" s="27"/>
      <c r="AW366" s="27"/>
      <c r="AX366" s="27"/>
      <c r="AY366" s="27"/>
    </row>
    <row r="367" customFormat="false" ht="15.75" hidden="false" customHeight="true" outlineLevel="0" collapsed="false">
      <c r="A367" s="22" t="n">
        <v>363</v>
      </c>
      <c r="B367" s="23" t="s">
        <v>3271</v>
      </c>
      <c r="C367" s="22"/>
      <c r="D367" s="22" t="s">
        <v>3272</v>
      </c>
      <c r="E367" s="22" t="s">
        <v>81</v>
      </c>
      <c r="F367" s="22" t="s">
        <v>107</v>
      </c>
      <c r="G367" s="22" t="s">
        <v>59</v>
      </c>
      <c r="H367" s="22" t="s">
        <v>96</v>
      </c>
      <c r="I367" s="22"/>
      <c r="J367" s="22" t="s">
        <v>61</v>
      </c>
      <c r="K367" s="22" t="s">
        <v>3273</v>
      </c>
      <c r="L367" s="22" t="s">
        <v>62</v>
      </c>
      <c r="M367" s="22" t="s">
        <v>3274</v>
      </c>
      <c r="N367" s="22" t="s">
        <v>3275</v>
      </c>
      <c r="O367" s="22" t="s">
        <v>213</v>
      </c>
      <c r="P367" s="22" t="s">
        <v>3276</v>
      </c>
      <c r="Q367" s="22" t="s">
        <v>3277</v>
      </c>
      <c r="R367" s="22" t="s">
        <v>3278</v>
      </c>
      <c r="S367" s="22" t="s">
        <v>61</v>
      </c>
      <c r="T367" s="22"/>
      <c r="U367" s="22" t="s">
        <v>1660</v>
      </c>
      <c r="V367" s="22" t="s">
        <v>70</v>
      </c>
      <c r="W367" s="22" t="s">
        <v>71</v>
      </c>
      <c r="X367" s="25" t="n">
        <v>44562</v>
      </c>
      <c r="Y367" s="25" t="n">
        <v>46357</v>
      </c>
      <c r="Z367" s="22" t="s">
        <v>72</v>
      </c>
      <c r="AA367" s="22" t="s">
        <v>91</v>
      </c>
      <c r="AB367" s="22" t="s">
        <v>74</v>
      </c>
      <c r="AC367" s="22"/>
      <c r="AD367" s="22" t="n">
        <v>0</v>
      </c>
      <c r="AE367" s="22"/>
      <c r="AF367" s="22"/>
      <c r="AG367" s="22" t="s">
        <v>75</v>
      </c>
      <c r="AH367" s="22"/>
      <c r="AI367" s="22" t="n">
        <v>10</v>
      </c>
      <c r="AJ367" s="22" t="n">
        <v>20</v>
      </c>
      <c r="AK367" s="22" t="s">
        <v>61</v>
      </c>
      <c r="AL367" s="26" t="n">
        <v>37824</v>
      </c>
      <c r="AM367" s="26" t="n">
        <v>45000.586964375</v>
      </c>
      <c r="AN367" s="25" t="n">
        <v>45000.6047569444</v>
      </c>
      <c r="AO367" s="22" t="n">
        <v>5</v>
      </c>
      <c r="AP367" s="22" t="n">
        <v>30</v>
      </c>
      <c r="AQ367" s="22" t="s">
        <v>1</v>
      </c>
      <c r="AR367" s="27" t="s">
        <v>3215</v>
      </c>
      <c r="AS367" s="27" t="s">
        <v>563</v>
      </c>
      <c r="AT367" s="27" t="s">
        <v>3054</v>
      </c>
      <c r="AU367" s="27" t="s">
        <v>1031</v>
      </c>
      <c r="AV367" s="27"/>
      <c r="AW367" s="27"/>
      <c r="AX367" s="27"/>
      <c r="AY367" s="27"/>
    </row>
    <row r="368" customFormat="false" ht="15.75" hidden="false" customHeight="true" outlineLevel="0" collapsed="false">
      <c r="A368" s="22" t="n">
        <v>364</v>
      </c>
      <c r="B368" s="23" t="s">
        <v>3279</v>
      </c>
      <c r="C368" s="22"/>
      <c r="D368" s="22" t="s">
        <v>3280</v>
      </c>
      <c r="E368" s="22" t="s">
        <v>81</v>
      </c>
      <c r="F368" s="22" t="s">
        <v>107</v>
      </c>
      <c r="G368" s="22" t="s">
        <v>59</v>
      </c>
      <c r="H368" s="22" t="s">
        <v>96</v>
      </c>
      <c r="I368" s="22"/>
      <c r="J368" s="22" t="s">
        <v>61</v>
      </c>
      <c r="K368" s="22" t="s">
        <v>235</v>
      </c>
      <c r="L368" s="22" t="s">
        <v>62</v>
      </c>
      <c r="M368" s="22" t="s">
        <v>84</v>
      </c>
      <c r="N368" s="22" t="s">
        <v>3281</v>
      </c>
      <c r="O368" s="22" t="s">
        <v>237</v>
      </c>
      <c r="P368" s="22" t="s">
        <v>3282</v>
      </c>
      <c r="Q368" s="22"/>
      <c r="R368" s="22" t="s">
        <v>3283</v>
      </c>
      <c r="S368" s="22" t="s">
        <v>61</v>
      </c>
      <c r="T368" s="22"/>
      <c r="U368" s="22" t="s">
        <v>3284</v>
      </c>
      <c r="V368" s="22" t="s">
        <v>70</v>
      </c>
      <c r="W368" s="22" t="s">
        <v>71</v>
      </c>
      <c r="X368" s="25" t="n">
        <v>44256</v>
      </c>
      <c r="Y368" s="25" t="n">
        <v>45717</v>
      </c>
      <c r="Z368" s="22" t="s">
        <v>72</v>
      </c>
      <c r="AA368" s="22" t="s">
        <v>91</v>
      </c>
      <c r="AB368" s="22" t="s">
        <v>74</v>
      </c>
      <c r="AC368" s="22"/>
      <c r="AD368" s="22" t="n">
        <v>0</v>
      </c>
      <c r="AE368" s="22"/>
      <c r="AF368" s="22"/>
      <c r="AG368" s="22" t="s">
        <v>75</v>
      </c>
      <c r="AH368" s="22"/>
      <c r="AI368" s="22" t="n">
        <v>10</v>
      </c>
      <c r="AJ368" s="22" t="n">
        <v>20</v>
      </c>
      <c r="AK368" s="22" t="s">
        <v>61</v>
      </c>
      <c r="AL368" s="26" t="n">
        <v>37897</v>
      </c>
      <c r="AM368" s="26" t="n">
        <v>45007.8488011921</v>
      </c>
      <c r="AN368" s="25" t="n">
        <v>45008.6268171296</v>
      </c>
      <c r="AO368" s="22" t="n">
        <v>5</v>
      </c>
      <c r="AP368" s="22" t="n">
        <v>30</v>
      </c>
      <c r="AQ368" s="22" t="s">
        <v>0</v>
      </c>
      <c r="AR368" s="42" t="s">
        <v>3215</v>
      </c>
      <c r="AS368" s="27" t="s">
        <v>78</v>
      </c>
      <c r="AT368" s="27"/>
      <c r="AU368" s="27"/>
      <c r="AV368" s="27"/>
      <c r="AW368" s="27"/>
      <c r="AX368" s="27"/>
      <c r="AY368" s="27"/>
    </row>
    <row r="369" customFormat="false" ht="15.75" hidden="false" customHeight="true" outlineLevel="0" collapsed="false">
      <c r="A369" s="22" t="n">
        <v>365</v>
      </c>
      <c r="B369" s="23" t="s">
        <v>3285</v>
      </c>
      <c r="C369" s="22" t="s">
        <v>3286</v>
      </c>
      <c r="D369" s="22" t="s">
        <v>3287</v>
      </c>
      <c r="E369" s="22" t="s">
        <v>57</v>
      </c>
      <c r="F369" s="22" t="s">
        <v>107</v>
      </c>
      <c r="G369" s="22" t="s">
        <v>59</v>
      </c>
      <c r="H369" s="22" t="s">
        <v>96</v>
      </c>
      <c r="I369" s="22"/>
      <c r="J369" s="22" t="s">
        <v>61</v>
      </c>
      <c r="K369" s="22" t="s">
        <v>3288</v>
      </c>
      <c r="L369" s="22" t="s">
        <v>62</v>
      </c>
      <c r="M369" s="22" t="s">
        <v>63</v>
      </c>
      <c r="N369" s="22" t="s">
        <v>3289</v>
      </c>
      <c r="O369" s="22" t="s">
        <v>2922</v>
      </c>
      <c r="P369" s="22" t="s">
        <v>3290</v>
      </c>
      <c r="Q369" s="22"/>
      <c r="R369" s="22" t="s">
        <v>3291</v>
      </c>
      <c r="S369" s="22" t="s">
        <v>61</v>
      </c>
      <c r="T369" s="22"/>
      <c r="U369" s="22" t="s">
        <v>2124</v>
      </c>
      <c r="V369" s="22" t="s">
        <v>70</v>
      </c>
      <c r="W369" s="22" t="s">
        <v>71</v>
      </c>
      <c r="X369" s="25" t="n">
        <v>44197</v>
      </c>
      <c r="Y369" s="25" t="n">
        <v>46357</v>
      </c>
      <c r="Z369" s="22" t="s">
        <v>72</v>
      </c>
      <c r="AA369" s="22" t="s">
        <v>149</v>
      </c>
      <c r="AB369" s="22" t="s">
        <v>74</v>
      </c>
      <c r="AC369" s="22"/>
      <c r="AD369" s="22" t="n">
        <v>0</v>
      </c>
      <c r="AE369" s="22"/>
      <c r="AF369" s="22"/>
      <c r="AG369" s="22" t="s">
        <v>75</v>
      </c>
      <c r="AH369" s="22"/>
      <c r="AI369" s="22" t="n">
        <v>10</v>
      </c>
      <c r="AJ369" s="22" t="n">
        <v>20</v>
      </c>
      <c r="AK369" s="22" t="s">
        <v>61</v>
      </c>
      <c r="AL369" s="26" t="n">
        <v>37930</v>
      </c>
      <c r="AM369" s="26" t="n">
        <v>45009.477006412</v>
      </c>
      <c r="AN369" s="25" t="n">
        <v>45009.4782291667</v>
      </c>
      <c r="AO369" s="22" t="n">
        <v>5</v>
      </c>
      <c r="AP369" s="22" t="n">
        <v>30</v>
      </c>
      <c r="AQ369" s="22" t="s">
        <v>1</v>
      </c>
      <c r="AR369" s="27" t="s">
        <v>3215</v>
      </c>
      <c r="AS369" s="27" t="s">
        <v>206</v>
      </c>
      <c r="AT369" s="27" t="s">
        <v>2444</v>
      </c>
      <c r="AU369" s="27" t="s">
        <v>1031</v>
      </c>
      <c r="AV369" s="27"/>
      <c r="AW369" s="27"/>
      <c r="AX369" s="27"/>
      <c r="AY369" s="27"/>
    </row>
    <row r="370" customFormat="false" ht="15.75" hidden="false" customHeight="true" outlineLevel="0" collapsed="false">
      <c r="A370" s="22" t="n">
        <v>366</v>
      </c>
      <c r="B370" s="23" t="s">
        <v>3292</v>
      </c>
      <c r="C370" s="22"/>
      <c r="D370" s="22" t="s">
        <v>3293</v>
      </c>
      <c r="E370" s="22" t="s">
        <v>81</v>
      </c>
      <c r="F370" s="22" t="s">
        <v>107</v>
      </c>
      <c r="G370" s="22" t="s">
        <v>59</v>
      </c>
      <c r="H370" s="22" t="s">
        <v>96</v>
      </c>
      <c r="I370" s="22"/>
      <c r="J370" s="22" t="s">
        <v>61</v>
      </c>
      <c r="K370" s="22" t="s">
        <v>3294</v>
      </c>
      <c r="L370" s="22" t="s">
        <v>3295</v>
      </c>
      <c r="M370" s="22" t="s">
        <v>3296</v>
      </c>
      <c r="N370" s="22" t="s">
        <v>3297</v>
      </c>
      <c r="O370" s="22" t="s">
        <v>3298</v>
      </c>
      <c r="P370" s="22" t="s">
        <v>3299</v>
      </c>
      <c r="Q370" s="22"/>
      <c r="R370" s="22" t="s">
        <v>3300</v>
      </c>
      <c r="S370" s="22" t="s">
        <v>61</v>
      </c>
      <c r="T370" s="22"/>
      <c r="U370" s="22" t="s">
        <v>3301</v>
      </c>
      <c r="V370" s="22" t="s">
        <v>70</v>
      </c>
      <c r="W370" s="22" t="s">
        <v>71</v>
      </c>
      <c r="X370" s="25" t="n">
        <v>44958</v>
      </c>
      <c r="Y370" s="25" t="n">
        <v>45261</v>
      </c>
      <c r="Z370" s="22" t="s">
        <v>72</v>
      </c>
      <c r="AA370" s="22" t="s">
        <v>91</v>
      </c>
      <c r="AB370" s="22" t="s">
        <v>74</v>
      </c>
      <c r="AC370" s="22"/>
      <c r="AD370" s="22" t="n">
        <v>0</v>
      </c>
      <c r="AE370" s="22"/>
      <c r="AF370" s="22"/>
      <c r="AG370" s="22" t="s">
        <v>75</v>
      </c>
      <c r="AH370" s="22"/>
      <c r="AI370" s="22" t="n">
        <v>10</v>
      </c>
      <c r="AJ370" s="22" t="n">
        <v>20</v>
      </c>
      <c r="AK370" s="22" t="s">
        <v>61</v>
      </c>
      <c r="AL370" s="26" t="n">
        <v>38890</v>
      </c>
      <c r="AM370" s="26" t="n">
        <v>45000.9426061921</v>
      </c>
      <c r="AN370" s="25" t="n">
        <v>45000.9446296296</v>
      </c>
      <c r="AO370" s="22" t="n">
        <v>5</v>
      </c>
      <c r="AP370" s="22" t="n">
        <v>30</v>
      </c>
      <c r="AQ370" s="22" t="s">
        <v>1</v>
      </c>
      <c r="AR370" s="27" t="s">
        <v>3302</v>
      </c>
      <c r="AS370" s="27" t="s">
        <v>206</v>
      </c>
      <c r="AT370" s="27" t="s">
        <v>2444</v>
      </c>
      <c r="AU370" s="27" t="s">
        <v>1031</v>
      </c>
      <c r="AV370" s="27"/>
      <c r="AW370" s="27"/>
      <c r="AX370" s="27"/>
      <c r="AY370" s="27"/>
    </row>
    <row r="371" customFormat="false" ht="15.75" hidden="false" customHeight="true" outlineLevel="0" collapsed="false">
      <c r="A371" s="22" t="n">
        <v>367</v>
      </c>
      <c r="B371" s="23" t="s">
        <v>3303</v>
      </c>
      <c r="C371" s="22"/>
      <c r="D371" s="22" t="s">
        <v>3304</v>
      </c>
      <c r="E371" s="22" t="s">
        <v>57</v>
      </c>
      <c r="F371" s="22" t="s">
        <v>82</v>
      </c>
      <c r="G371" s="22" t="s">
        <v>59</v>
      </c>
      <c r="H371" s="22" t="s">
        <v>96</v>
      </c>
      <c r="I371" s="22"/>
      <c r="J371" s="22" t="s">
        <v>61</v>
      </c>
      <c r="K371" s="22" t="s">
        <v>1993</v>
      </c>
      <c r="L371" s="22" t="s">
        <v>62</v>
      </c>
      <c r="M371" s="22" t="s">
        <v>84</v>
      </c>
      <c r="N371" s="22" t="s">
        <v>3305</v>
      </c>
      <c r="O371" s="22" t="s">
        <v>1995</v>
      </c>
      <c r="P371" s="22" t="s">
        <v>3306</v>
      </c>
      <c r="Q371" s="22"/>
      <c r="R371" s="22" t="s">
        <v>3307</v>
      </c>
      <c r="S371" s="22" t="s">
        <v>61</v>
      </c>
      <c r="T371" s="22"/>
      <c r="U371" s="22" t="s">
        <v>204</v>
      </c>
      <c r="V371" s="22" t="s">
        <v>70</v>
      </c>
      <c r="W371" s="22" t="s">
        <v>71</v>
      </c>
      <c r="X371" s="25" t="n">
        <v>44228</v>
      </c>
      <c r="Y371" s="25" t="n">
        <v>45992</v>
      </c>
      <c r="Z371" s="22" t="s">
        <v>72</v>
      </c>
      <c r="AA371" s="22" t="s">
        <v>149</v>
      </c>
      <c r="AB371" s="22" t="s">
        <v>74</v>
      </c>
      <c r="AC371" s="22"/>
      <c r="AD371" s="22" t="n">
        <v>0</v>
      </c>
      <c r="AE371" s="22"/>
      <c r="AF371" s="22"/>
      <c r="AG371" s="22" t="s">
        <v>75</v>
      </c>
      <c r="AH371" s="22"/>
      <c r="AI371" s="22" t="n">
        <v>10</v>
      </c>
      <c r="AJ371" s="22" t="n">
        <v>10</v>
      </c>
      <c r="AK371" s="22" t="s">
        <v>76</v>
      </c>
      <c r="AL371" s="26" t="n">
        <v>34978</v>
      </c>
      <c r="AM371" s="26" t="n">
        <v>45000.6779438426</v>
      </c>
      <c r="AN371" s="25" t="n">
        <v>45000.6838657407</v>
      </c>
      <c r="AO371" s="22" t="n">
        <v>5</v>
      </c>
      <c r="AP371" s="22" t="n">
        <v>20</v>
      </c>
      <c r="AQ371" s="22" t="s">
        <v>0</v>
      </c>
      <c r="AR371" s="27" t="s">
        <v>3308</v>
      </c>
      <c r="AS371" s="27" t="s">
        <v>78</v>
      </c>
      <c r="AT371" s="27"/>
      <c r="AU371" s="27"/>
      <c r="AV371" s="27"/>
      <c r="AW371" s="27"/>
      <c r="AX371" s="27"/>
      <c r="AY371" s="27"/>
    </row>
    <row r="372" customFormat="false" ht="15.75" hidden="false" customHeight="true" outlineLevel="0" collapsed="false">
      <c r="A372" s="22" t="n">
        <v>368</v>
      </c>
      <c r="B372" s="23" t="s">
        <v>3309</v>
      </c>
      <c r="C372" s="22" t="s">
        <v>3310</v>
      </c>
      <c r="D372" s="22" t="s">
        <v>3311</v>
      </c>
      <c r="E372" s="22" t="s">
        <v>81</v>
      </c>
      <c r="F372" s="22" t="s">
        <v>107</v>
      </c>
      <c r="G372" s="22" t="s">
        <v>59</v>
      </c>
      <c r="H372" s="22" t="s">
        <v>156</v>
      </c>
      <c r="I372" s="22"/>
      <c r="J372" s="22" t="s">
        <v>61</v>
      </c>
      <c r="K372" s="22" t="s">
        <v>3312</v>
      </c>
      <c r="L372" s="22" t="s">
        <v>62</v>
      </c>
      <c r="M372" s="22" t="s">
        <v>63</v>
      </c>
      <c r="N372" s="22" t="s">
        <v>3313</v>
      </c>
      <c r="O372" s="22" t="s">
        <v>669</v>
      </c>
      <c r="P372" s="22" t="s">
        <v>3314</v>
      </c>
      <c r="Q372" s="22"/>
      <c r="R372" s="22" t="s">
        <v>3315</v>
      </c>
      <c r="S372" s="22" t="s">
        <v>61</v>
      </c>
      <c r="T372" s="22"/>
      <c r="U372" s="22" t="s">
        <v>906</v>
      </c>
      <c r="V372" s="22" t="s">
        <v>70</v>
      </c>
      <c r="W372" s="22" t="s">
        <v>71</v>
      </c>
      <c r="X372" s="25" t="n">
        <v>44409</v>
      </c>
      <c r="Y372" s="25" t="n">
        <v>45992</v>
      </c>
      <c r="Z372" s="22" t="s">
        <v>72</v>
      </c>
      <c r="AA372" s="22" t="s">
        <v>149</v>
      </c>
      <c r="AB372" s="22" t="s">
        <v>74</v>
      </c>
      <c r="AC372" s="22"/>
      <c r="AD372" s="22" t="n">
        <v>0</v>
      </c>
      <c r="AE372" s="22"/>
      <c r="AF372" s="22"/>
      <c r="AG372" s="22" t="s">
        <v>75</v>
      </c>
      <c r="AH372" s="22"/>
      <c r="AI372" s="22" t="n">
        <v>10</v>
      </c>
      <c r="AJ372" s="22" t="n">
        <v>10</v>
      </c>
      <c r="AK372" s="22" t="s">
        <v>76</v>
      </c>
      <c r="AL372" s="26" t="n">
        <v>36074</v>
      </c>
      <c r="AM372" s="26" t="n">
        <v>45005.5457814005</v>
      </c>
      <c r="AN372" s="25" t="n">
        <v>45005.5469791667</v>
      </c>
      <c r="AO372" s="22" t="n">
        <v>5</v>
      </c>
      <c r="AP372" s="22" t="n">
        <v>20</v>
      </c>
      <c r="AQ372" s="22" t="s">
        <v>1</v>
      </c>
      <c r="AR372" s="27" t="s">
        <v>3308</v>
      </c>
      <c r="AS372" s="27" t="s">
        <v>206</v>
      </c>
      <c r="AT372" s="27" t="s">
        <v>2444</v>
      </c>
      <c r="AU372" s="27" t="s">
        <v>1031</v>
      </c>
      <c r="AV372" s="27"/>
      <c r="AW372" s="27"/>
      <c r="AX372" s="27"/>
      <c r="AY372" s="27"/>
    </row>
    <row r="373" customFormat="false" ht="15.75" hidden="false" customHeight="true" outlineLevel="0" collapsed="false">
      <c r="A373" s="22" t="n">
        <v>369</v>
      </c>
      <c r="B373" s="23" t="s">
        <v>3316</v>
      </c>
      <c r="C373" s="22"/>
      <c r="D373" s="22" t="s">
        <v>3317</v>
      </c>
      <c r="E373" s="22" t="s">
        <v>57</v>
      </c>
      <c r="F373" s="22" t="s">
        <v>107</v>
      </c>
      <c r="G373" s="22" t="s">
        <v>59</v>
      </c>
      <c r="H373" s="22" t="s">
        <v>60</v>
      </c>
      <c r="I373" s="22"/>
      <c r="J373" s="22" t="s">
        <v>61</v>
      </c>
      <c r="K373" s="22" t="s">
        <v>3318</v>
      </c>
      <c r="L373" s="22" t="s">
        <v>713</v>
      </c>
      <c r="M373" s="22" t="s">
        <v>3319</v>
      </c>
      <c r="N373" s="22" t="s">
        <v>3320</v>
      </c>
      <c r="O373" s="22" t="s">
        <v>3321</v>
      </c>
      <c r="P373" s="22" t="s">
        <v>3322</v>
      </c>
      <c r="Q373" s="22" t="s">
        <v>3323</v>
      </c>
      <c r="R373" s="22" t="s">
        <v>3324</v>
      </c>
      <c r="S373" s="22" t="s">
        <v>61</v>
      </c>
      <c r="T373" s="22"/>
      <c r="U373" s="22" t="s">
        <v>3325</v>
      </c>
      <c r="V373" s="22" t="s">
        <v>70</v>
      </c>
      <c r="W373" s="22" t="s">
        <v>71</v>
      </c>
      <c r="X373" s="25" t="n">
        <v>44256</v>
      </c>
      <c r="Y373" s="25" t="n">
        <v>46023</v>
      </c>
      <c r="Z373" s="22" t="s">
        <v>72</v>
      </c>
      <c r="AA373" s="22" t="s">
        <v>149</v>
      </c>
      <c r="AB373" s="22" t="s">
        <v>74</v>
      </c>
      <c r="AC373" s="22"/>
      <c r="AD373" s="22" t="n">
        <v>0</v>
      </c>
      <c r="AE373" s="22"/>
      <c r="AF373" s="22"/>
      <c r="AG373" s="22" t="s">
        <v>75</v>
      </c>
      <c r="AH373" s="22"/>
      <c r="AI373" s="22" t="n">
        <v>10</v>
      </c>
      <c r="AJ373" s="22" t="n">
        <v>10</v>
      </c>
      <c r="AK373" s="22" t="s">
        <v>61</v>
      </c>
      <c r="AL373" s="26" t="n">
        <v>36825</v>
      </c>
      <c r="AM373" s="26" t="n">
        <v>45009.4465958565</v>
      </c>
      <c r="AN373" s="25" t="n">
        <v>45009.4480324074</v>
      </c>
      <c r="AO373" s="22" t="n">
        <v>5</v>
      </c>
      <c r="AP373" s="22" t="n">
        <v>20</v>
      </c>
      <c r="AQ373" s="22" t="s">
        <v>1</v>
      </c>
      <c r="AR373" s="27" t="s">
        <v>3308</v>
      </c>
      <c r="AS373" s="27" t="s">
        <v>563</v>
      </c>
      <c r="AT373" s="27" t="s">
        <v>2444</v>
      </c>
      <c r="AU373" s="27" t="s">
        <v>1031</v>
      </c>
      <c r="AV373" s="27"/>
      <c r="AW373" s="27"/>
      <c r="AX373" s="27"/>
      <c r="AY373" s="27"/>
    </row>
    <row r="374" customFormat="false" ht="15.75" hidden="false" customHeight="true" outlineLevel="0" collapsed="false">
      <c r="A374" s="22" t="n">
        <v>370</v>
      </c>
      <c r="B374" s="23" t="s">
        <v>3326</v>
      </c>
      <c r="C374" s="22"/>
      <c r="D374" s="22" t="s">
        <v>3327</v>
      </c>
      <c r="E374" s="22" t="s">
        <v>81</v>
      </c>
      <c r="F374" s="22" t="s">
        <v>107</v>
      </c>
      <c r="G374" s="22" t="s">
        <v>59</v>
      </c>
      <c r="H374" s="22" t="s">
        <v>60</v>
      </c>
      <c r="I374" s="22"/>
      <c r="J374" s="22" t="s">
        <v>61</v>
      </c>
      <c r="K374" s="22" t="s">
        <v>961</v>
      </c>
      <c r="L374" s="22" t="s">
        <v>62</v>
      </c>
      <c r="M374" s="22" t="s">
        <v>63</v>
      </c>
      <c r="N374" s="22" t="s">
        <v>3328</v>
      </c>
      <c r="O374" s="22" t="s">
        <v>963</v>
      </c>
      <c r="P374" s="22" t="s">
        <v>3329</v>
      </c>
      <c r="Q374" s="22" t="s">
        <v>3330</v>
      </c>
      <c r="R374" s="22" t="s">
        <v>3331</v>
      </c>
      <c r="S374" s="22" t="s">
        <v>61</v>
      </c>
      <c r="T374" s="22"/>
      <c r="U374" s="22" t="s">
        <v>1660</v>
      </c>
      <c r="V374" s="22" t="s">
        <v>70</v>
      </c>
      <c r="W374" s="22" t="s">
        <v>71</v>
      </c>
      <c r="X374" s="25" t="n">
        <v>43862</v>
      </c>
      <c r="Y374" s="25" t="n">
        <v>45627</v>
      </c>
      <c r="Z374" s="22" t="s">
        <v>72</v>
      </c>
      <c r="AA374" s="22" t="s">
        <v>74</v>
      </c>
      <c r="AB374" s="22" t="s">
        <v>74</v>
      </c>
      <c r="AC374" s="22"/>
      <c r="AD374" s="22" t="n">
        <v>0</v>
      </c>
      <c r="AE374" s="22"/>
      <c r="AF374" s="22"/>
      <c r="AG374" s="22" t="s">
        <v>75</v>
      </c>
      <c r="AH374" s="22"/>
      <c r="AI374" s="22" t="n">
        <v>10</v>
      </c>
      <c r="AJ374" s="22" t="n">
        <v>10</v>
      </c>
      <c r="AK374" s="22" t="s">
        <v>61</v>
      </c>
      <c r="AL374" s="26" t="n">
        <v>36916</v>
      </c>
      <c r="AM374" s="26" t="n">
        <v>45008.9267571065</v>
      </c>
      <c r="AN374" s="25" t="n">
        <v>45008.9304513889</v>
      </c>
      <c r="AO374" s="22" t="n">
        <v>7</v>
      </c>
      <c r="AP374" s="22" t="n">
        <v>20</v>
      </c>
      <c r="AQ374" s="22" t="s">
        <v>0</v>
      </c>
      <c r="AR374" s="27" t="s">
        <v>3308</v>
      </c>
      <c r="AS374" s="27" t="s">
        <v>78</v>
      </c>
      <c r="AT374" s="27"/>
      <c r="AU374" s="27"/>
      <c r="AV374" s="27"/>
      <c r="AW374" s="27"/>
      <c r="AX374" s="27"/>
      <c r="AY374" s="27"/>
    </row>
    <row r="375" customFormat="false" ht="15.75" hidden="false" customHeight="true" outlineLevel="0" collapsed="false">
      <c r="A375" s="22" t="n">
        <v>371</v>
      </c>
      <c r="B375" s="23" t="s">
        <v>3332</v>
      </c>
      <c r="C375" s="22" t="s">
        <v>3333</v>
      </c>
      <c r="D375" s="22" t="s">
        <v>3334</v>
      </c>
      <c r="E375" s="22" t="s">
        <v>81</v>
      </c>
      <c r="F375" s="22" t="s">
        <v>107</v>
      </c>
      <c r="G375" s="22" t="s">
        <v>59</v>
      </c>
      <c r="H375" s="22" t="s">
        <v>156</v>
      </c>
      <c r="I375" s="22"/>
      <c r="J375" s="22" t="s">
        <v>61</v>
      </c>
      <c r="K375" s="22" t="s">
        <v>3335</v>
      </c>
      <c r="L375" s="22" t="s">
        <v>62</v>
      </c>
      <c r="M375" s="22" t="s">
        <v>63</v>
      </c>
      <c r="N375" s="22" t="s">
        <v>3336</v>
      </c>
      <c r="O375" s="22" t="s">
        <v>1143</v>
      </c>
      <c r="P375" s="22" t="s">
        <v>3337</v>
      </c>
      <c r="Q375" s="22"/>
      <c r="R375" s="22" t="s">
        <v>3338</v>
      </c>
      <c r="S375" s="22" t="s">
        <v>61</v>
      </c>
      <c r="T375" s="22"/>
      <c r="U375" s="22" t="s">
        <v>3339</v>
      </c>
      <c r="V375" s="22" t="s">
        <v>70</v>
      </c>
      <c r="W375" s="22" t="s">
        <v>71</v>
      </c>
      <c r="X375" s="25" t="n">
        <v>43831</v>
      </c>
      <c r="Y375" s="25" t="n">
        <v>45627</v>
      </c>
      <c r="Z375" s="22" t="s">
        <v>72</v>
      </c>
      <c r="AA375" s="22" t="s">
        <v>91</v>
      </c>
      <c r="AB375" s="22" t="s">
        <v>74</v>
      </c>
      <c r="AC375" s="22"/>
      <c r="AD375" s="22" t="n">
        <v>0</v>
      </c>
      <c r="AE375" s="22"/>
      <c r="AF375" s="22"/>
      <c r="AG375" s="22" t="s">
        <v>75</v>
      </c>
      <c r="AH375" s="22"/>
      <c r="AI375" s="22" t="n">
        <v>10</v>
      </c>
      <c r="AJ375" s="22" t="n">
        <v>10</v>
      </c>
      <c r="AK375" s="22" t="s">
        <v>61</v>
      </c>
      <c r="AL375" s="26" t="n">
        <v>37022</v>
      </c>
      <c r="AM375" s="26" t="n">
        <v>45000.896310787</v>
      </c>
      <c r="AN375" s="25" t="n">
        <v>45007.8891550926</v>
      </c>
      <c r="AO375" s="22" t="n">
        <v>7</v>
      </c>
      <c r="AP375" s="22" t="n">
        <v>20</v>
      </c>
      <c r="AQ375" s="22" t="s">
        <v>0</v>
      </c>
      <c r="AR375" s="27" t="s">
        <v>3308</v>
      </c>
      <c r="AS375" s="27" t="s">
        <v>78</v>
      </c>
      <c r="AT375" s="27"/>
      <c r="AU375" s="27"/>
      <c r="AV375" s="27"/>
      <c r="AW375" s="27"/>
      <c r="AX375" s="27"/>
      <c r="AY375" s="27"/>
    </row>
    <row r="376" customFormat="false" ht="15.75" hidden="false" customHeight="true" outlineLevel="0" collapsed="false">
      <c r="A376" s="22" t="n">
        <v>372</v>
      </c>
      <c r="B376" s="23" t="s">
        <v>3340</v>
      </c>
      <c r="C376" s="22" t="s">
        <v>3341</v>
      </c>
      <c r="D376" s="22" t="s">
        <v>3342</v>
      </c>
      <c r="E376" s="22" t="s">
        <v>57</v>
      </c>
      <c r="F376" s="22" t="s">
        <v>107</v>
      </c>
      <c r="G376" s="22" t="s">
        <v>59</v>
      </c>
      <c r="H376" s="22" t="s">
        <v>96</v>
      </c>
      <c r="I376" s="22"/>
      <c r="J376" s="22" t="s">
        <v>61</v>
      </c>
      <c r="K376" s="22" t="s">
        <v>3343</v>
      </c>
      <c r="L376" s="22" t="s">
        <v>62</v>
      </c>
      <c r="M376" s="22" t="s">
        <v>84</v>
      </c>
      <c r="N376" s="22" t="s">
        <v>3344</v>
      </c>
      <c r="O376" s="22" t="s">
        <v>3345</v>
      </c>
      <c r="P376" s="22" t="s">
        <v>3346</v>
      </c>
      <c r="Q376" s="22" t="s">
        <v>3347</v>
      </c>
      <c r="R376" s="22" t="s">
        <v>3348</v>
      </c>
      <c r="S376" s="22" t="s">
        <v>61</v>
      </c>
      <c r="T376" s="22"/>
      <c r="U376" s="22" t="s">
        <v>3349</v>
      </c>
      <c r="V376" s="22" t="s">
        <v>70</v>
      </c>
      <c r="W376" s="22" t="s">
        <v>71</v>
      </c>
      <c r="X376" s="25" t="n">
        <v>43862</v>
      </c>
      <c r="Y376" s="25" t="n">
        <v>45627</v>
      </c>
      <c r="Z376" s="22" t="s">
        <v>72</v>
      </c>
      <c r="AA376" s="22" t="s">
        <v>149</v>
      </c>
      <c r="AB376" s="22" t="s">
        <v>74</v>
      </c>
      <c r="AC376" s="22"/>
      <c r="AD376" s="22" t="n">
        <v>0</v>
      </c>
      <c r="AE376" s="22"/>
      <c r="AF376" s="22"/>
      <c r="AG376" s="22" t="s">
        <v>75</v>
      </c>
      <c r="AH376" s="22"/>
      <c r="AI376" s="22" t="n">
        <v>10</v>
      </c>
      <c r="AJ376" s="22" t="n">
        <v>10</v>
      </c>
      <c r="AK376" s="22" t="s">
        <v>61</v>
      </c>
      <c r="AL376" s="26" t="n">
        <v>37062</v>
      </c>
      <c r="AM376" s="26" t="n">
        <v>45008.9231773495</v>
      </c>
      <c r="AN376" s="25" t="n">
        <v>45008.9254513889</v>
      </c>
      <c r="AO376" s="22" t="n">
        <v>7</v>
      </c>
      <c r="AP376" s="22" t="n">
        <v>20</v>
      </c>
      <c r="AQ376" s="22" t="s">
        <v>1</v>
      </c>
      <c r="AR376" s="27" t="s">
        <v>3308</v>
      </c>
      <c r="AS376" s="27" t="s">
        <v>206</v>
      </c>
      <c r="AT376" s="27" t="s">
        <v>2444</v>
      </c>
      <c r="AU376" s="27" t="s">
        <v>1031</v>
      </c>
      <c r="AV376" s="27"/>
      <c r="AW376" s="27"/>
      <c r="AX376" s="27"/>
      <c r="AY376" s="27"/>
    </row>
    <row r="377" customFormat="false" ht="15.75" hidden="false" customHeight="true" outlineLevel="0" collapsed="false">
      <c r="A377" s="22" t="n">
        <v>373</v>
      </c>
      <c r="B377" s="23" t="s">
        <v>3350</v>
      </c>
      <c r="C377" s="22"/>
      <c r="D377" s="22" t="s">
        <v>3351</v>
      </c>
      <c r="E377" s="22" t="s">
        <v>81</v>
      </c>
      <c r="F377" s="22" t="s">
        <v>107</v>
      </c>
      <c r="G377" s="22" t="s">
        <v>59</v>
      </c>
      <c r="H377" s="22" t="s">
        <v>60</v>
      </c>
      <c r="I377" s="22"/>
      <c r="J377" s="22" t="s">
        <v>61</v>
      </c>
      <c r="K377" s="22" t="s">
        <v>3352</v>
      </c>
      <c r="L377" s="22" t="s">
        <v>62</v>
      </c>
      <c r="M377" s="22" t="s">
        <v>63</v>
      </c>
      <c r="N377" s="22" t="s">
        <v>3353</v>
      </c>
      <c r="O377" s="22" t="s">
        <v>3354</v>
      </c>
      <c r="P377" s="22" t="s">
        <v>3355</v>
      </c>
      <c r="Q377" s="22"/>
      <c r="R377" s="22" t="s">
        <v>3356</v>
      </c>
      <c r="S377" s="22" t="s">
        <v>61</v>
      </c>
      <c r="T377" s="22"/>
      <c r="U377" s="22" t="s">
        <v>3357</v>
      </c>
      <c r="V377" s="22" t="s">
        <v>70</v>
      </c>
      <c r="W377" s="22" t="s">
        <v>71</v>
      </c>
      <c r="X377" s="25" t="n">
        <v>43497</v>
      </c>
      <c r="Y377" s="25" t="n">
        <v>45627</v>
      </c>
      <c r="Z377" s="22" t="s">
        <v>72</v>
      </c>
      <c r="AA377" s="22" t="s">
        <v>91</v>
      </c>
      <c r="AB377" s="22" t="s">
        <v>74</v>
      </c>
      <c r="AC377" s="22"/>
      <c r="AD377" s="22" t="n">
        <v>0</v>
      </c>
      <c r="AE377" s="22"/>
      <c r="AF377" s="22"/>
      <c r="AG377" s="22" t="s">
        <v>75</v>
      </c>
      <c r="AH377" s="22"/>
      <c r="AI377" s="22" t="n">
        <v>10</v>
      </c>
      <c r="AJ377" s="22" t="n">
        <v>10</v>
      </c>
      <c r="AK377" s="22" t="s">
        <v>61</v>
      </c>
      <c r="AL377" s="26" t="n">
        <v>37575</v>
      </c>
      <c r="AM377" s="26" t="n">
        <v>45006.842360544</v>
      </c>
      <c r="AN377" s="25" t="n">
        <v>45009.3465625</v>
      </c>
      <c r="AO377" s="22" t="n">
        <v>7</v>
      </c>
      <c r="AP377" s="22" t="n">
        <v>20</v>
      </c>
      <c r="AQ377" s="22" t="s">
        <v>1</v>
      </c>
      <c r="AR377" s="27" t="s">
        <v>3308</v>
      </c>
      <c r="AS377" s="27" t="s">
        <v>206</v>
      </c>
      <c r="AT377" s="27" t="s">
        <v>2444</v>
      </c>
      <c r="AU377" s="27" t="s">
        <v>1031</v>
      </c>
      <c r="AV377" s="27"/>
      <c r="AW377" s="27"/>
      <c r="AX377" s="27"/>
      <c r="AY377" s="27"/>
    </row>
    <row r="378" customFormat="false" ht="15.75" hidden="false" customHeight="true" outlineLevel="0" collapsed="false">
      <c r="A378" s="22" t="n">
        <v>374</v>
      </c>
      <c r="B378" s="23" t="s">
        <v>3358</v>
      </c>
      <c r="C378" s="22" t="s">
        <v>3359</v>
      </c>
      <c r="D378" s="22" t="s">
        <v>3360</v>
      </c>
      <c r="E378" s="22" t="s">
        <v>81</v>
      </c>
      <c r="F378" s="22" t="s">
        <v>107</v>
      </c>
      <c r="G378" s="22" t="s">
        <v>59</v>
      </c>
      <c r="H378" s="22" t="s">
        <v>96</v>
      </c>
      <c r="I378" s="22"/>
      <c r="J378" s="22" t="s">
        <v>61</v>
      </c>
      <c r="K378" s="22" t="s">
        <v>3361</v>
      </c>
      <c r="L378" s="22" t="s">
        <v>62</v>
      </c>
      <c r="M378" s="22" t="s">
        <v>2013</v>
      </c>
      <c r="N378" s="22" t="s">
        <v>3362</v>
      </c>
      <c r="O378" s="22" t="s">
        <v>832</v>
      </c>
      <c r="P378" s="22" t="s">
        <v>3363</v>
      </c>
      <c r="Q378" s="22"/>
      <c r="R378" s="22" t="s">
        <v>3364</v>
      </c>
      <c r="S378" s="22" t="s">
        <v>61</v>
      </c>
      <c r="T378" s="22"/>
      <c r="U378" s="22" t="s">
        <v>3365</v>
      </c>
      <c r="V378" s="22" t="s">
        <v>70</v>
      </c>
      <c r="W378" s="22" t="s">
        <v>71</v>
      </c>
      <c r="X378" s="25" t="n">
        <v>43466</v>
      </c>
      <c r="Y378" s="25" t="n">
        <v>45261</v>
      </c>
      <c r="Z378" s="22" t="s">
        <v>72</v>
      </c>
      <c r="AA378" s="22" t="s">
        <v>91</v>
      </c>
      <c r="AB378" s="22" t="s">
        <v>74</v>
      </c>
      <c r="AC378" s="22"/>
      <c r="AD378" s="22" t="n">
        <v>0</v>
      </c>
      <c r="AE378" s="22"/>
      <c r="AF378" s="22"/>
      <c r="AG378" s="22" t="s">
        <v>75</v>
      </c>
      <c r="AH378" s="22"/>
      <c r="AI378" s="22" t="n">
        <v>10</v>
      </c>
      <c r="AJ378" s="22" t="n">
        <v>0</v>
      </c>
      <c r="AK378" s="22" t="s">
        <v>61</v>
      </c>
      <c r="AL378" s="26" t="n">
        <v>36720</v>
      </c>
      <c r="AM378" s="26" t="n">
        <v>45007.4265613194</v>
      </c>
      <c r="AN378" s="25" t="n">
        <v>45007.4323263889</v>
      </c>
      <c r="AO378" s="22" t="n">
        <v>9</v>
      </c>
      <c r="AP378" s="22" t="n">
        <v>10</v>
      </c>
      <c r="AQ378" s="22" t="s">
        <v>1</v>
      </c>
      <c r="AR378" s="27" t="s">
        <v>3308</v>
      </c>
      <c r="AS378" s="27" t="s">
        <v>206</v>
      </c>
      <c r="AT378" s="27" t="s">
        <v>2444</v>
      </c>
      <c r="AU378" s="27" t="s">
        <v>1031</v>
      </c>
      <c r="AV378" s="27"/>
      <c r="AW378" s="27"/>
      <c r="AX378" s="27"/>
      <c r="AY378" s="27"/>
    </row>
    <row r="379" customFormat="false" ht="15.75" hidden="false" customHeight="true" outlineLevel="0" collapsed="false">
      <c r="A379" s="22" t="n">
        <v>375</v>
      </c>
      <c r="B379" s="23" t="s">
        <v>3366</v>
      </c>
      <c r="C379" s="22"/>
      <c r="D379" s="22" t="s">
        <v>3367</v>
      </c>
      <c r="E379" s="22" t="s">
        <v>81</v>
      </c>
      <c r="F379" s="22" t="s">
        <v>107</v>
      </c>
      <c r="G379" s="22" t="s">
        <v>59</v>
      </c>
      <c r="H379" s="22" t="s">
        <v>96</v>
      </c>
      <c r="I379" s="22"/>
      <c r="J379" s="22" t="s">
        <v>61</v>
      </c>
      <c r="K379" s="22" t="s">
        <v>3368</v>
      </c>
      <c r="L379" s="22" t="s">
        <v>62</v>
      </c>
      <c r="M379" s="22" t="s">
        <v>3369</v>
      </c>
      <c r="N379" s="22" t="s">
        <v>3370</v>
      </c>
      <c r="O379" s="22" t="s">
        <v>3371</v>
      </c>
      <c r="P379" s="22" t="s">
        <v>3372</v>
      </c>
      <c r="Q379" s="22"/>
      <c r="R379" s="22" t="s">
        <v>3373</v>
      </c>
      <c r="S379" s="22" t="s">
        <v>61</v>
      </c>
      <c r="T379" s="22"/>
      <c r="U379" s="22" t="s">
        <v>3374</v>
      </c>
      <c r="V379" s="22" t="s">
        <v>70</v>
      </c>
      <c r="W379" s="22" t="s">
        <v>71</v>
      </c>
      <c r="X379" s="25" t="n">
        <v>44197</v>
      </c>
      <c r="Y379" s="25" t="n">
        <v>45992</v>
      </c>
      <c r="Z379" s="22" t="s">
        <v>72</v>
      </c>
      <c r="AA379" s="22" t="s">
        <v>91</v>
      </c>
      <c r="AB379" s="22" t="s">
        <v>74</v>
      </c>
      <c r="AC379" s="22"/>
      <c r="AD379" s="22" t="n">
        <v>0</v>
      </c>
      <c r="AE379" s="22"/>
      <c r="AF379" s="22"/>
      <c r="AG379" s="22" t="s">
        <v>75</v>
      </c>
      <c r="AH379" s="22"/>
      <c r="AI379" s="22" t="n">
        <v>10</v>
      </c>
      <c r="AJ379" s="22" t="n">
        <v>0</v>
      </c>
      <c r="AK379" s="22" t="s">
        <v>61</v>
      </c>
      <c r="AL379" s="26" t="n">
        <v>37582</v>
      </c>
      <c r="AM379" s="26" t="n">
        <v>45000.5944386921</v>
      </c>
      <c r="AN379" s="25" t="n">
        <v>45000.5988194444</v>
      </c>
      <c r="AO379" s="22" t="n">
        <v>5</v>
      </c>
      <c r="AP379" s="22" t="n">
        <v>10</v>
      </c>
      <c r="AQ379" s="22" t="s">
        <v>0</v>
      </c>
      <c r="AR379" s="27" t="s">
        <v>3308</v>
      </c>
      <c r="AS379" s="27" t="s">
        <v>78</v>
      </c>
      <c r="AT379" s="56"/>
      <c r="AU379" s="56"/>
      <c r="AV379" s="27"/>
      <c r="AW379" s="27"/>
      <c r="AX379" s="27"/>
      <c r="AY379" s="27"/>
    </row>
    <row r="380" customFormat="false" ht="15.75" hidden="false" customHeight="true" outlineLevel="0" collapsed="false">
      <c r="A380" s="57"/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9"/>
      <c r="AM380" s="59"/>
      <c r="AN380" s="57"/>
      <c r="AO380" s="57"/>
      <c r="AP380" s="57"/>
      <c r="AQ380" s="57"/>
      <c r="AR380" s="58"/>
      <c r="AS380" s="58"/>
      <c r="AT380" s="58"/>
      <c r="AU380" s="58"/>
      <c r="AV380" s="58"/>
      <c r="AW380" s="58"/>
      <c r="AX380" s="58"/>
      <c r="AY380" s="58"/>
    </row>
    <row r="381" customFormat="false" ht="15.75" hidden="false" customHeight="true" outlineLevel="0" collapsed="false">
      <c r="A381" s="57"/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9"/>
      <c r="AM381" s="59"/>
      <c r="AN381" s="57"/>
      <c r="AO381" s="57"/>
      <c r="AP381" s="57"/>
      <c r="AQ381" s="57"/>
      <c r="AR381" s="58"/>
      <c r="AS381" s="58"/>
      <c r="AT381" s="58"/>
      <c r="AU381" s="58"/>
      <c r="AV381" s="58"/>
      <c r="AW381" s="58"/>
      <c r="AX381" s="58"/>
      <c r="AY381" s="58"/>
    </row>
    <row r="382" customFormat="false" ht="15.75" hidden="false" customHeight="true" outlineLevel="0" collapsed="false">
      <c r="A382" s="57"/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9"/>
      <c r="AM382" s="59"/>
      <c r="AN382" s="57"/>
      <c r="AO382" s="57"/>
      <c r="AP382" s="57"/>
      <c r="AQ382" s="57"/>
      <c r="AR382" s="58"/>
      <c r="AS382" s="58"/>
      <c r="AT382" s="58"/>
      <c r="AU382" s="58"/>
      <c r="AV382" s="58"/>
      <c r="AW382" s="58"/>
      <c r="AX382" s="58"/>
      <c r="AY382" s="58"/>
    </row>
    <row r="383" customFormat="false" ht="15.75" hidden="false" customHeight="true" outlineLevel="0" collapsed="false">
      <c r="A383" s="57"/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9"/>
      <c r="AM383" s="59"/>
      <c r="AN383" s="57"/>
      <c r="AO383" s="57"/>
      <c r="AP383" s="57"/>
      <c r="AQ383" s="57"/>
      <c r="AR383" s="58"/>
      <c r="AS383" s="58"/>
      <c r="AT383" s="58"/>
      <c r="AU383" s="58"/>
      <c r="AV383" s="58"/>
      <c r="AW383" s="58"/>
      <c r="AX383" s="58"/>
      <c r="AY383" s="58"/>
    </row>
    <row r="384" customFormat="false" ht="15.75" hidden="false" customHeight="true" outlineLevel="0" collapsed="false">
      <c r="A384" s="57"/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9"/>
      <c r="AM384" s="59"/>
      <c r="AN384" s="57"/>
      <c r="AO384" s="57"/>
      <c r="AP384" s="57"/>
      <c r="AQ384" s="57"/>
      <c r="AR384" s="58"/>
      <c r="AS384" s="58"/>
      <c r="AT384" s="58"/>
      <c r="AU384" s="58"/>
      <c r="AV384" s="58"/>
      <c r="AW384" s="58"/>
      <c r="AX384" s="58"/>
      <c r="AY384" s="58"/>
    </row>
    <row r="385" customFormat="false" ht="15.75" hidden="false" customHeight="true" outlineLevel="0" collapsed="false">
      <c r="A385" s="57"/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9"/>
      <c r="AM385" s="59"/>
      <c r="AN385" s="57"/>
      <c r="AO385" s="57"/>
      <c r="AP385" s="57"/>
      <c r="AQ385" s="57"/>
      <c r="AR385" s="58"/>
      <c r="AS385" s="58"/>
      <c r="AT385" s="58"/>
      <c r="AU385" s="58"/>
      <c r="AV385" s="58"/>
      <c r="AW385" s="58"/>
      <c r="AX385" s="58"/>
      <c r="AY385" s="58"/>
    </row>
    <row r="386" customFormat="false" ht="15.75" hidden="false" customHeight="true" outlineLevel="0" collapsed="false">
      <c r="A386" s="57"/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9"/>
      <c r="AM386" s="59"/>
      <c r="AN386" s="57"/>
      <c r="AO386" s="57"/>
      <c r="AP386" s="57"/>
      <c r="AQ386" s="57"/>
      <c r="AR386" s="58"/>
      <c r="AS386" s="58"/>
      <c r="AT386" s="58"/>
      <c r="AU386" s="58"/>
      <c r="AV386" s="58"/>
      <c r="AW386" s="58"/>
      <c r="AX386" s="58"/>
      <c r="AY386" s="58"/>
    </row>
    <row r="387" customFormat="false" ht="15.75" hidden="false" customHeight="true" outlineLevel="0" collapsed="false">
      <c r="A387" s="57"/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9"/>
      <c r="AM387" s="59"/>
      <c r="AN387" s="57"/>
      <c r="AO387" s="57"/>
      <c r="AP387" s="57"/>
      <c r="AQ387" s="57"/>
      <c r="AR387" s="58"/>
      <c r="AS387" s="58"/>
      <c r="AT387" s="58"/>
      <c r="AU387" s="58"/>
      <c r="AV387" s="58"/>
      <c r="AW387" s="58"/>
      <c r="AX387" s="58"/>
      <c r="AY387" s="58"/>
    </row>
    <row r="388" customFormat="false" ht="15.75" hidden="false" customHeight="true" outlineLevel="0" collapsed="false">
      <c r="A388" s="57"/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9"/>
      <c r="AM388" s="59"/>
      <c r="AN388" s="57"/>
      <c r="AO388" s="57"/>
      <c r="AP388" s="57"/>
      <c r="AQ388" s="57"/>
      <c r="AR388" s="58"/>
      <c r="AS388" s="58"/>
      <c r="AT388" s="58"/>
      <c r="AU388" s="58"/>
      <c r="AV388" s="58"/>
      <c r="AW388" s="58"/>
      <c r="AX388" s="58"/>
      <c r="AY388" s="58"/>
    </row>
    <row r="389" customFormat="false" ht="15.75" hidden="false" customHeight="true" outlineLevel="0" collapsed="false">
      <c r="A389" s="57"/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9"/>
      <c r="AM389" s="59"/>
      <c r="AN389" s="57"/>
      <c r="AO389" s="57"/>
      <c r="AP389" s="57"/>
      <c r="AQ389" s="57"/>
      <c r="AR389" s="58"/>
      <c r="AS389" s="58"/>
      <c r="AT389" s="58"/>
      <c r="AU389" s="58"/>
      <c r="AV389" s="58"/>
      <c r="AW389" s="58"/>
      <c r="AX389" s="58"/>
      <c r="AY389" s="58"/>
    </row>
    <row r="390" customFormat="false" ht="15.75" hidden="false" customHeight="true" outlineLevel="0" collapsed="false">
      <c r="A390" s="57"/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9"/>
      <c r="AM390" s="59"/>
      <c r="AN390" s="57"/>
      <c r="AO390" s="57"/>
      <c r="AP390" s="57"/>
      <c r="AQ390" s="57"/>
      <c r="AR390" s="58"/>
      <c r="AS390" s="58"/>
      <c r="AT390" s="58"/>
      <c r="AU390" s="58"/>
      <c r="AV390" s="58"/>
      <c r="AW390" s="58"/>
      <c r="AX390" s="58"/>
      <c r="AY390" s="58"/>
    </row>
    <row r="391" customFormat="false" ht="15.75" hidden="false" customHeight="true" outlineLevel="0" collapsed="false">
      <c r="A391" s="57"/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9"/>
      <c r="AM391" s="59"/>
      <c r="AN391" s="57"/>
      <c r="AO391" s="57"/>
      <c r="AP391" s="57"/>
      <c r="AQ391" s="57"/>
      <c r="AR391" s="58"/>
      <c r="AS391" s="58"/>
      <c r="AT391" s="58"/>
      <c r="AU391" s="58"/>
      <c r="AV391" s="58"/>
      <c r="AW391" s="58"/>
      <c r="AX391" s="58"/>
      <c r="AY391" s="58"/>
    </row>
    <row r="392" customFormat="false" ht="15.75" hidden="false" customHeight="true" outlineLevel="0" collapsed="false">
      <c r="A392" s="57"/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9"/>
      <c r="AM392" s="59"/>
      <c r="AN392" s="57"/>
      <c r="AO392" s="57"/>
      <c r="AP392" s="57"/>
      <c r="AQ392" s="57"/>
      <c r="AR392" s="58"/>
      <c r="AS392" s="58"/>
      <c r="AT392" s="58"/>
      <c r="AU392" s="58"/>
      <c r="AV392" s="58"/>
      <c r="AW392" s="58"/>
      <c r="AX392" s="58"/>
      <c r="AY392" s="58"/>
    </row>
    <row r="393" customFormat="false" ht="15.75" hidden="false" customHeight="true" outlineLevel="0" collapsed="false">
      <c r="A393" s="57"/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9"/>
      <c r="AM393" s="59"/>
      <c r="AN393" s="57"/>
      <c r="AO393" s="57"/>
      <c r="AP393" s="57"/>
      <c r="AQ393" s="57"/>
      <c r="AR393" s="58"/>
      <c r="AS393" s="58"/>
      <c r="AT393" s="58"/>
      <c r="AU393" s="58"/>
      <c r="AV393" s="58"/>
      <c r="AW393" s="58"/>
      <c r="AX393" s="58"/>
      <c r="AY393" s="58"/>
    </row>
    <row r="394" customFormat="false" ht="15.75" hidden="false" customHeight="true" outlineLevel="0" collapsed="false">
      <c r="A394" s="57"/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9"/>
      <c r="AM394" s="59"/>
      <c r="AN394" s="57"/>
      <c r="AO394" s="57"/>
      <c r="AP394" s="57"/>
      <c r="AQ394" s="57"/>
      <c r="AR394" s="58"/>
      <c r="AS394" s="58"/>
      <c r="AT394" s="58"/>
      <c r="AU394" s="58"/>
      <c r="AV394" s="58"/>
      <c r="AW394" s="58"/>
      <c r="AX394" s="58"/>
      <c r="AY394" s="58"/>
    </row>
    <row r="395" customFormat="false" ht="15.75" hidden="false" customHeight="true" outlineLevel="0" collapsed="false">
      <c r="A395" s="57"/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9"/>
      <c r="AM395" s="59"/>
      <c r="AN395" s="57"/>
      <c r="AO395" s="57"/>
      <c r="AP395" s="57"/>
      <c r="AQ395" s="57"/>
      <c r="AR395" s="58"/>
      <c r="AS395" s="58"/>
      <c r="AT395" s="58"/>
      <c r="AU395" s="58"/>
      <c r="AV395" s="58"/>
      <c r="AW395" s="58"/>
      <c r="AX395" s="58"/>
      <c r="AY395" s="58"/>
    </row>
    <row r="396" customFormat="false" ht="15.75" hidden="false" customHeight="true" outlineLevel="0" collapsed="false">
      <c r="A396" s="57"/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9"/>
      <c r="AM396" s="59"/>
      <c r="AN396" s="57"/>
      <c r="AO396" s="57"/>
      <c r="AP396" s="57"/>
      <c r="AQ396" s="57"/>
      <c r="AR396" s="58"/>
      <c r="AS396" s="58"/>
      <c r="AT396" s="58"/>
      <c r="AU396" s="58"/>
      <c r="AV396" s="58"/>
      <c r="AW396" s="58"/>
      <c r="AX396" s="58"/>
      <c r="AY396" s="58"/>
    </row>
    <row r="397" customFormat="false" ht="15.75" hidden="false" customHeight="true" outlineLevel="0" collapsed="false">
      <c r="A397" s="57"/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9"/>
      <c r="AM397" s="59"/>
      <c r="AN397" s="57"/>
      <c r="AO397" s="57"/>
      <c r="AP397" s="57"/>
      <c r="AQ397" s="57"/>
      <c r="AR397" s="58"/>
      <c r="AS397" s="58"/>
      <c r="AT397" s="58"/>
      <c r="AU397" s="58"/>
      <c r="AV397" s="58"/>
      <c r="AW397" s="58"/>
      <c r="AX397" s="58"/>
      <c r="AY397" s="58"/>
    </row>
    <row r="398" customFormat="false" ht="15.75" hidden="false" customHeight="true" outlineLevel="0" collapsed="false">
      <c r="A398" s="57"/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9"/>
      <c r="AM398" s="59"/>
      <c r="AN398" s="57"/>
      <c r="AO398" s="57"/>
      <c r="AP398" s="57"/>
      <c r="AQ398" s="57"/>
      <c r="AR398" s="58"/>
      <c r="AS398" s="58"/>
      <c r="AT398" s="58"/>
      <c r="AU398" s="58"/>
      <c r="AV398" s="58"/>
      <c r="AW398" s="58"/>
      <c r="AX398" s="58"/>
      <c r="AY398" s="58"/>
    </row>
    <row r="399" customFormat="false" ht="15.75" hidden="false" customHeight="true" outlineLevel="0" collapsed="false">
      <c r="A399" s="57"/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9"/>
      <c r="AM399" s="59"/>
      <c r="AN399" s="57"/>
      <c r="AO399" s="57"/>
      <c r="AP399" s="57"/>
      <c r="AQ399" s="57"/>
      <c r="AR399" s="58"/>
      <c r="AS399" s="58"/>
      <c r="AT399" s="58"/>
      <c r="AU399" s="58"/>
      <c r="AV399" s="58"/>
      <c r="AW399" s="58"/>
      <c r="AX399" s="58"/>
      <c r="AY399" s="58"/>
    </row>
    <row r="400" customFormat="false" ht="15.75" hidden="false" customHeight="true" outlineLevel="0" collapsed="false">
      <c r="A400" s="57"/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9"/>
      <c r="AM400" s="59"/>
      <c r="AN400" s="57"/>
      <c r="AO400" s="57"/>
      <c r="AP400" s="57"/>
      <c r="AQ400" s="57"/>
      <c r="AR400" s="58"/>
      <c r="AS400" s="58"/>
      <c r="AT400" s="58"/>
      <c r="AU400" s="58"/>
      <c r="AV400" s="58"/>
      <c r="AW400" s="58"/>
      <c r="AX400" s="58"/>
      <c r="AY400" s="58"/>
    </row>
    <row r="401" customFormat="false" ht="15.75" hidden="false" customHeight="true" outlineLevel="0" collapsed="false">
      <c r="A401" s="57"/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9"/>
      <c r="AM401" s="59"/>
      <c r="AN401" s="57"/>
      <c r="AO401" s="57"/>
      <c r="AP401" s="57"/>
      <c r="AQ401" s="57"/>
      <c r="AR401" s="58"/>
      <c r="AS401" s="58"/>
      <c r="AT401" s="58"/>
      <c r="AU401" s="58"/>
      <c r="AV401" s="58"/>
      <c r="AW401" s="58"/>
      <c r="AX401" s="58"/>
      <c r="AY401" s="58"/>
    </row>
    <row r="402" customFormat="false" ht="15.75" hidden="false" customHeight="true" outlineLevel="0" collapsed="false">
      <c r="A402" s="57"/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9"/>
      <c r="AM402" s="59"/>
      <c r="AN402" s="57"/>
      <c r="AO402" s="57"/>
      <c r="AP402" s="57"/>
      <c r="AQ402" s="57"/>
      <c r="AR402" s="58"/>
      <c r="AS402" s="58"/>
      <c r="AT402" s="58"/>
      <c r="AU402" s="58"/>
      <c r="AV402" s="58"/>
      <c r="AW402" s="58"/>
      <c r="AX402" s="58"/>
      <c r="AY402" s="58"/>
    </row>
    <row r="403" customFormat="false" ht="15.75" hidden="false" customHeight="true" outlineLevel="0" collapsed="false">
      <c r="A403" s="57"/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9"/>
      <c r="AM403" s="59"/>
      <c r="AN403" s="57"/>
      <c r="AO403" s="57"/>
      <c r="AP403" s="57"/>
      <c r="AQ403" s="57"/>
      <c r="AR403" s="58"/>
      <c r="AS403" s="58"/>
      <c r="AT403" s="58"/>
      <c r="AU403" s="58"/>
      <c r="AV403" s="58"/>
      <c r="AW403" s="58"/>
      <c r="AX403" s="58"/>
      <c r="AY403" s="58"/>
    </row>
    <row r="404" customFormat="false" ht="15.75" hidden="false" customHeight="true" outlineLevel="0" collapsed="false">
      <c r="A404" s="57"/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9"/>
      <c r="AM404" s="59"/>
      <c r="AN404" s="57"/>
      <c r="AO404" s="57"/>
      <c r="AP404" s="57"/>
      <c r="AQ404" s="57"/>
      <c r="AR404" s="58"/>
      <c r="AS404" s="58"/>
      <c r="AT404" s="58"/>
      <c r="AU404" s="58"/>
      <c r="AV404" s="58"/>
      <c r="AW404" s="58"/>
      <c r="AX404" s="58"/>
      <c r="AY404" s="58"/>
    </row>
    <row r="405" customFormat="false" ht="15.75" hidden="false" customHeight="true" outlineLevel="0" collapsed="false">
      <c r="A405" s="57"/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9"/>
      <c r="AM405" s="59"/>
      <c r="AN405" s="57"/>
      <c r="AO405" s="57"/>
      <c r="AP405" s="57"/>
      <c r="AQ405" s="57"/>
      <c r="AR405" s="58"/>
      <c r="AS405" s="58"/>
      <c r="AT405" s="58"/>
      <c r="AU405" s="58"/>
      <c r="AV405" s="58"/>
      <c r="AW405" s="58"/>
      <c r="AX405" s="58"/>
      <c r="AY405" s="58"/>
    </row>
    <row r="406" customFormat="false" ht="15.75" hidden="false" customHeight="true" outlineLevel="0" collapsed="false">
      <c r="A406" s="57"/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9"/>
      <c r="AM406" s="59"/>
      <c r="AN406" s="57"/>
      <c r="AO406" s="57"/>
      <c r="AP406" s="57"/>
      <c r="AQ406" s="57"/>
      <c r="AR406" s="58"/>
      <c r="AS406" s="58"/>
      <c r="AT406" s="58"/>
      <c r="AU406" s="58"/>
      <c r="AV406" s="58"/>
      <c r="AW406" s="58"/>
      <c r="AX406" s="58"/>
      <c r="AY406" s="58"/>
    </row>
    <row r="407" customFormat="false" ht="15.75" hidden="false" customHeight="true" outlineLevel="0" collapsed="false">
      <c r="A407" s="57"/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9"/>
      <c r="AM407" s="59"/>
      <c r="AN407" s="57"/>
      <c r="AO407" s="57"/>
      <c r="AP407" s="57"/>
      <c r="AQ407" s="57"/>
      <c r="AR407" s="58"/>
      <c r="AS407" s="58"/>
      <c r="AT407" s="58"/>
      <c r="AU407" s="58"/>
      <c r="AV407" s="58"/>
      <c r="AW407" s="58"/>
      <c r="AX407" s="58"/>
      <c r="AY407" s="58"/>
    </row>
    <row r="408" customFormat="false" ht="15.75" hidden="false" customHeight="true" outlineLevel="0" collapsed="false">
      <c r="A408" s="57"/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9"/>
      <c r="AM408" s="59"/>
      <c r="AN408" s="57"/>
      <c r="AO408" s="57"/>
      <c r="AP408" s="57"/>
      <c r="AQ408" s="57"/>
      <c r="AR408" s="58"/>
      <c r="AS408" s="58"/>
      <c r="AT408" s="58"/>
      <c r="AU408" s="58"/>
      <c r="AV408" s="58"/>
      <c r="AW408" s="58"/>
      <c r="AX408" s="58"/>
      <c r="AY408" s="58"/>
    </row>
    <row r="409" customFormat="false" ht="15.75" hidden="false" customHeight="true" outlineLevel="0" collapsed="false">
      <c r="A409" s="57"/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9"/>
      <c r="AM409" s="59"/>
      <c r="AN409" s="57"/>
      <c r="AO409" s="57"/>
      <c r="AP409" s="57"/>
      <c r="AQ409" s="57"/>
      <c r="AR409" s="58"/>
      <c r="AS409" s="58"/>
      <c r="AT409" s="58"/>
      <c r="AU409" s="58"/>
      <c r="AV409" s="58"/>
      <c r="AW409" s="58"/>
      <c r="AX409" s="58"/>
      <c r="AY409" s="58"/>
    </row>
    <row r="410" customFormat="false" ht="15.75" hidden="false" customHeight="true" outlineLevel="0" collapsed="false">
      <c r="A410" s="57"/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9"/>
      <c r="AM410" s="59"/>
      <c r="AN410" s="57"/>
      <c r="AO410" s="57"/>
      <c r="AP410" s="57"/>
      <c r="AQ410" s="57"/>
      <c r="AR410" s="58"/>
      <c r="AS410" s="58"/>
      <c r="AT410" s="58"/>
      <c r="AU410" s="58"/>
      <c r="AV410" s="58"/>
      <c r="AW410" s="58"/>
      <c r="AX410" s="58"/>
      <c r="AY410" s="58"/>
    </row>
    <row r="411" customFormat="false" ht="15.75" hidden="false" customHeight="true" outlineLevel="0" collapsed="false">
      <c r="A411" s="57"/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9"/>
      <c r="AM411" s="59"/>
      <c r="AN411" s="57"/>
      <c r="AO411" s="57"/>
      <c r="AP411" s="57"/>
      <c r="AQ411" s="57"/>
      <c r="AR411" s="58"/>
      <c r="AS411" s="58"/>
      <c r="AT411" s="58"/>
      <c r="AU411" s="58"/>
      <c r="AV411" s="58"/>
      <c r="AW411" s="58"/>
      <c r="AX411" s="58"/>
      <c r="AY411" s="58"/>
    </row>
    <row r="412" customFormat="false" ht="15.75" hidden="false" customHeight="true" outlineLevel="0" collapsed="false">
      <c r="A412" s="57"/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9"/>
      <c r="AM412" s="59"/>
      <c r="AN412" s="57"/>
      <c r="AO412" s="57"/>
      <c r="AP412" s="57"/>
      <c r="AQ412" s="57"/>
      <c r="AR412" s="58"/>
      <c r="AS412" s="58"/>
      <c r="AT412" s="58"/>
      <c r="AU412" s="58"/>
      <c r="AV412" s="58"/>
      <c r="AW412" s="58"/>
      <c r="AX412" s="58"/>
      <c r="AY412" s="58"/>
    </row>
    <row r="413" customFormat="false" ht="15.75" hidden="false" customHeight="true" outlineLevel="0" collapsed="false">
      <c r="A413" s="60"/>
      <c r="B413" s="61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2"/>
      <c r="AM413" s="62"/>
      <c r="AN413" s="60"/>
      <c r="AO413" s="60"/>
      <c r="AP413" s="60"/>
      <c r="AQ413" s="60"/>
      <c r="AR413" s="61"/>
      <c r="AS413" s="61"/>
      <c r="AT413" s="61"/>
      <c r="AU413" s="61"/>
      <c r="AV413" s="61"/>
      <c r="AW413" s="61"/>
      <c r="AX413" s="61"/>
      <c r="AY413" s="61"/>
    </row>
    <row r="414" customFormat="false" ht="15.75" hidden="false" customHeight="true" outlineLevel="0" collapsed="false">
      <c r="A414" s="60"/>
      <c r="B414" s="61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2"/>
      <c r="AM414" s="62"/>
      <c r="AN414" s="60"/>
      <c r="AO414" s="60"/>
      <c r="AP414" s="60"/>
      <c r="AQ414" s="60"/>
      <c r="AR414" s="61"/>
      <c r="AS414" s="61"/>
      <c r="AT414" s="61"/>
      <c r="AU414" s="61"/>
      <c r="AV414" s="61"/>
      <c r="AW414" s="61"/>
      <c r="AX414" s="61"/>
      <c r="AY414" s="61"/>
    </row>
    <row r="415" customFormat="false" ht="15.75" hidden="false" customHeight="true" outlineLevel="0" collapsed="false">
      <c r="A415" s="60"/>
      <c r="B415" s="61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2"/>
      <c r="AM415" s="62"/>
      <c r="AN415" s="60"/>
      <c r="AO415" s="60"/>
      <c r="AP415" s="60"/>
      <c r="AQ415" s="60"/>
      <c r="AR415" s="61"/>
      <c r="AS415" s="61"/>
      <c r="AT415" s="61"/>
      <c r="AU415" s="61"/>
      <c r="AV415" s="61"/>
      <c r="AW415" s="61"/>
      <c r="AX415" s="61"/>
      <c r="AY415" s="61"/>
    </row>
    <row r="416" customFormat="false" ht="15.75" hidden="false" customHeight="true" outlineLevel="0" collapsed="false">
      <c r="A416" s="60"/>
      <c r="B416" s="61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2"/>
      <c r="AM416" s="62"/>
      <c r="AN416" s="60"/>
      <c r="AO416" s="60"/>
      <c r="AP416" s="60"/>
      <c r="AQ416" s="60"/>
      <c r="AR416" s="61"/>
      <c r="AS416" s="61"/>
      <c r="AT416" s="61"/>
      <c r="AU416" s="61"/>
      <c r="AV416" s="61"/>
      <c r="AW416" s="61"/>
      <c r="AX416" s="61"/>
      <c r="AY416" s="61"/>
    </row>
    <row r="417" customFormat="false" ht="15.75" hidden="false" customHeight="true" outlineLevel="0" collapsed="false">
      <c r="A417" s="60"/>
      <c r="B417" s="61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2"/>
      <c r="AM417" s="62"/>
      <c r="AN417" s="60"/>
      <c r="AO417" s="60"/>
      <c r="AP417" s="60"/>
      <c r="AQ417" s="60"/>
      <c r="AR417" s="61"/>
      <c r="AS417" s="61"/>
      <c r="AT417" s="61"/>
      <c r="AU417" s="61"/>
      <c r="AV417" s="61"/>
      <c r="AW417" s="61"/>
      <c r="AX417" s="61"/>
      <c r="AY417" s="61"/>
    </row>
    <row r="418" customFormat="false" ht="15.75" hidden="false" customHeight="true" outlineLevel="0" collapsed="false">
      <c r="A418" s="60"/>
      <c r="B418" s="61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2"/>
      <c r="AM418" s="62"/>
      <c r="AN418" s="60"/>
      <c r="AO418" s="60"/>
      <c r="AP418" s="60"/>
      <c r="AQ418" s="60"/>
      <c r="AR418" s="61"/>
      <c r="AS418" s="61"/>
      <c r="AT418" s="61"/>
      <c r="AU418" s="61"/>
      <c r="AV418" s="61"/>
      <c r="AW418" s="61"/>
      <c r="AX418" s="61"/>
      <c r="AY418" s="61"/>
    </row>
    <row r="419" customFormat="false" ht="15.75" hidden="false" customHeight="true" outlineLevel="0" collapsed="false">
      <c r="A419" s="60"/>
      <c r="B419" s="61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2"/>
      <c r="AM419" s="62"/>
      <c r="AN419" s="60"/>
      <c r="AO419" s="60"/>
      <c r="AP419" s="60"/>
      <c r="AQ419" s="60"/>
      <c r="AR419" s="61"/>
      <c r="AS419" s="61"/>
      <c r="AT419" s="61"/>
      <c r="AU419" s="61"/>
      <c r="AV419" s="61"/>
      <c r="AW419" s="61"/>
      <c r="AX419" s="61"/>
      <c r="AY419" s="61"/>
    </row>
    <row r="420" customFormat="false" ht="15.75" hidden="false" customHeight="true" outlineLevel="0" collapsed="false">
      <c r="A420" s="60"/>
      <c r="B420" s="61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2"/>
      <c r="AM420" s="62"/>
      <c r="AN420" s="60"/>
      <c r="AO420" s="60"/>
      <c r="AP420" s="60"/>
      <c r="AQ420" s="60"/>
      <c r="AR420" s="61"/>
      <c r="AS420" s="61"/>
      <c r="AT420" s="61"/>
      <c r="AU420" s="61"/>
      <c r="AV420" s="61"/>
      <c r="AW420" s="61"/>
      <c r="AX420" s="61"/>
      <c r="AY420" s="61"/>
    </row>
    <row r="421" customFormat="false" ht="15.75" hidden="false" customHeight="true" outlineLevel="0" collapsed="false">
      <c r="A421" s="60"/>
      <c r="B421" s="61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2"/>
      <c r="AM421" s="62"/>
      <c r="AN421" s="60"/>
      <c r="AO421" s="60"/>
      <c r="AP421" s="60"/>
      <c r="AQ421" s="60"/>
      <c r="AR421" s="61"/>
      <c r="AS421" s="61"/>
      <c r="AT421" s="61"/>
      <c r="AU421" s="61"/>
      <c r="AV421" s="61"/>
      <c r="AW421" s="61"/>
      <c r="AX421" s="61"/>
      <c r="AY421" s="61"/>
    </row>
    <row r="422" customFormat="false" ht="15.75" hidden="false" customHeight="true" outlineLevel="0" collapsed="false">
      <c r="A422" s="60"/>
      <c r="B422" s="61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2"/>
      <c r="AM422" s="62"/>
      <c r="AN422" s="60"/>
      <c r="AO422" s="60"/>
      <c r="AP422" s="60"/>
      <c r="AQ422" s="60"/>
      <c r="AR422" s="61"/>
      <c r="AS422" s="61"/>
      <c r="AT422" s="61"/>
      <c r="AU422" s="61"/>
      <c r="AV422" s="61"/>
      <c r="AW422" s="61"/>
      <c r="AX422" s="61"/>
      <c r="AY422" s="61"/>
    </row>
    <row r="423" customFormat="false" ht="15.75" hidden="false" customHeight="true" outlineLevel="0" collapsed="false">
      <c r="A423" s="60"/>
      <c r="B423" s="61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2"/>
      <c r="AM423" s="62"/>
      <c r="AN423" s="60"/>
      <c r="AO423" s="60"/>
      <c r="AP423" s="60"/>
      <c r="AQ423" s="60"/>
      <c r="AR423" s="61"/>
      <c r="AS423" s="61"/>
      <c r="AT423" s="61"/>
      <c r="AU423" s="61"/>
      <c r="AV423" s="61"/>
      <c r="AW423" s="61"/>
      <c r="AX423" s="61"/>
      <c r="AY423" s="61"/>
    </row>
    <row r="424" customFormat="false" ht="15.75" hidden="false" customHeight="true" outlineLevel="0" collapsed="false">
      <c r="A424" s="60"/>
      <c r="B424" s="61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2"/>
      <c r="AM424" s="62"/>
      <c r="AN424" s="60"/>
      <c r="AO424" s="60"/>
      <c r="AP424" s="60"/>
      <c r="AQ424" s="60"/>
      <c r="AR424" s="61"/>
      <c r="AS424" s="61"/>
      <c r="AT424" s="61"/>
      <c r="AU424" s="61"/>
      <c r="AV424" s="61"/>
      <c r="AW424" s="61"/>
      <c r="AX424" s="61"/>
      <c r="AY424" s="61"/>
    </row>
    <row r="425" customFormat="false" ht="15.75" hidden="false" customHeight="true" outlineLevel="0" collapsed="false">
      <c r="A425" s="60"/>
      <c r="B425" s="61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2"/>
      <c r="AM425" s="62"/>
      <c r="AN425" s="60"/>
      <c r="AO425" s="60"/>
      <c r="AP425" s="60"/>
      <c r="AQ425" s="60"/>
      <c r="AR425" s="61"/>
      <c r="AS425" s="61"/>
      <c r="AT425" s="61"/>
      <c r="AU425" s="61"/>
      <c r="AV425" s="61"/>
      <c r="AW425" s="61"/>
      <c r="AX425" s="61"/>
      <c r="AY425" s="61"/>
    </row>
    <row r="426" customFormat="false" ht="15.75" hidden="false" customHeight="true" outlineLevel="0" collapsed="false">
      <c r="A426" s="60"/>
      <c r="B426" s="61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2"/>
      <c r="AM426" s="62"/>
      <c r="AN426" s="60"/>
      <c r="AO426" s="60"/>
      <c r="AP426" s="60"/>
      <c r="AQ426" s="60"/>
      <c r="AR426" s="61"/>
      <c r="AS426" s="61"/>
      <c r="AT426" s="61"/>
      <c r="AU426" s="61"/>
      <c r="AV426" s="61"/>
      <c r="AW426" s="61"/>
      <c r="AX426" s="61"/>
      <c r="AY426" s="61"/>
    </row>
    <row r="427" customFormat="false" ht="15.75" hidden="false" customHeight="true" outlineLevel="0" collapsed="false">
      <c r="A427" s="60"/>
      <c r="B427" s="61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2"/>
      <c r="AM427" s="62"/>
      <c r="AN427" s="60"/>
      <c r="AO427" s="60"/>
      <c r="AP427" s="60"/>
      <c r="AQ427" s="60"/>
      <c r="AR427" s="61"/>
      <c r="AS427" s="61"/>
      <c r="AT427" s="61"/>
      <c r="AU427" s="61"/>
      <c r="AV427" s="61"/>
      <c r="AW427" s="61"/>
      <c r="AX427" s="61"/>
      <c r="AY427" s="61"/>
    </row>
    <row r="428" customFormat="false" ht="15.75" hidden="false" customHeight="true" outlineLevel="0" collapsed="false">
      <c r="A428" s="60"/>
      <c r="B428" s="61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2"/>
      <c r="AM428" s="62"/>
      <c r="AN428" s="60"/>
      <c r="AO428" s="60"/>
      <c r="AP428" s="60"/>
      <c r="AQ428" s="60"/>
      <c r="AR428" s="61"/>
      <c r="AS428" s="61"/>
      <c r="AT428" s="61"/>
      <c r="AU428" s="61"/>
      <c r="AV428" s="61"/>
      <c r="AW428" s="61"/>
      <c r="AX428" s="61"/>
      <c r="AY428" s="61"/>
    </row>
    <row r="429" customFormat="false" ht="15.75" hidden="false" customHeight="true" outlineLevel="0" collapsed="false">
      <c r="A429" s="60"/>
      <c r="B429" s="61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2"/>
      <c r="AM429" s="62"/>
      <c r="AN429" s="60"/>
      <c r="AO429" s="60"/>
      <c r="AP429" s="60"/>
      <c r="AQ429" s="60"/>
      <c r="AR429" s="61"/>
      <c r="AS429" s="61"/>
      <c r="AT429" s="61"/>
      <c r="AU429" s="61"/>
      <c r="AV429" s="61"/>
      <c r="AW429" s="61"/>
      <c r="AX429" s="61"/>
      <c r="AY429" s="61"/>
    </row>
    <row r="430" customFormat="false" ht="15.75" hidden="false" customHeight="true" outlineLevel="0" collapsed="false">
      <c r="A430" s="60"/>
      <c r="B430" s="61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2"/>
      <c r="AM430" s="62"/>
      <c r="AN430" s="60"/>
      <c r="AO430" s="60"/>
      <c r="AP430" s="60"/>
      <c r="AQ430" s="60"/>
      <c r="AR430" s="61"/>
      <c r="AS430" s="61"/>
      <c r="AT430" s="61"/>
      <c r="AU430" s="61"/>
      <c r="AV430" s="61"/>
      <c r="AW430" s="61"/>
      <c r="AX430" s="61"/>
      <c r="AY430" s="61"/>
    </row>
    <row r="431" customFormat="false" ht="15.75" hidden="false" customHeight="true" outlineLevel="0" collapsed="false">
      <c r="A431" s="60"/>
      <c r="B431" s="61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2"/>
      <c r="AM431" s="62"/>
      <c r="AN431" s="60"/>
      <c r="AO431" s="60"/>
      <c r="AP431" s="60"/>
      <c r="AQ431" s="60"/>
      <c r="AR431" s="61"/>
      <c r="AS431" s="61"/>
      <c r="AT431" s="61"/>
      <c r="AU431" s="61"/>
      <c r="AV431" s="61"/>
      <c r="AW431" s="61"/>
      <c r="AX431" s="61"/>
      <c r="AY431" s="61"/>
    </row>
    <row r="432" customFormat="false" ht="15.75" hidden="false" customHeight="true" outlineLevel="0" collapsed="false">
      <c r="A432" s="60"/>
      <c r="B432" s="61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2"/>
      <c r="AM432" s="62"/>
      <c r="AN432" s="60"/>
      <c r="AO432" s="60"/>
      <c r="AP432" s="60"/>
      <c r="AQ432" s="60"/>
      <c r="AR432" s="61"/>
      <c r="AS432" s="61"/>
      <c r="AT432" s="61"/>
      <c r="AU432" s="61"/>
      <c r="AV432" s="61"/>
      <c r="AW432" s="61"/>
      <c r="AX432" s="61"/>
      <c r="AY432" s="61"/>
    </row>
    <row r="433" customFormat="false" ht="15.75" hidden="false" customHeight="true" outlineLevel="0" collapsed="false">
      <c r="A433" s="60"/>
      <c r="B433" s="61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2"/>
      <c r="AM433" s="62"/>
      <c r="AN433" s="60"/>
      <c r="AO433" s="60"/>
      <c r="AP433" s="60"/>
      <c r="AQ433" s="60"/>
      <c r="AR433" s="61"/>
      <c r="AS433" s="61"/>
      <c r="AT433" s="61"/>
      <c r="AU433" s="61"/>
      <c r="AV433" s="61"/>
      <c r="AW433" s="61"/>
      <c r="AX433" s="61"/>
      <c r="AY433" s="61"/>
    </row>
    <row r="434" customFormat="false" ht="15.75" hidden="false" customHeight="true" outlineLevel="0" collapsed="false">
      <c r="A434" s="60"/>
      <c r="B434" s="61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2"/>
      <c r="AM434" s="62"/>
      <c r="AN434" s="60"/>
      <c r="AO434" s="60"/>
      <c r="AP434" s="60"/>
      <c r="AQ434" s="60"/>
      <c r="AR434" s="61"/>
      <c r="AS434" s="61"/>
      <c r="AT434" s="61"/>
      <c r="AU434" s="61"/>
      <c r="AV434" s="61"/>
      <c r="AW434" s="61"/>
      <c r="AX434" s="61"/>
      <c r="AY434" s="61"/>
    </row>
    <row r="435" customFormat="false" ht="15.75" hidden="false" customHeight="true" outlineLevel="0" collapsed="false">
      <c r="A435" s="60"/>
      <c r="B435" s="61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2"/>
      <c r="AM435" s="62"/>
      <c r="AN435" s="60"/>
      <c r="AO435" s="60"/>
      <c r="AP435" s="60"/>
      <c r="AQ435" s="60"/>
      <c r="AR435" s="61"/>
      <c r="AS435" s="61"/>
      <c r="AT435" s="61"/>
      <c r="AU435" s="61"/>
      <c r="AV435" s="61"/>
      <c r="AW435" s="61"/>
      <c r="AX435" s="61"/>
      <c r="AY435" s="61"/>
    </row>
    <row r="436" customFormat="false" ht="15.75" hidden="false" customHeight="true" outlineLevel="0" collapsed="false">
      <c r="A436" s="60"/>
      <c r="B436" s="61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2"/>
      <c r="AM436" s="62"/>
      <c r="AN436" s="60"/>
      <c r="AO436" s="60"/>
      <c r="AP436" s="60"/>
      <c r="AQ436" s="60"/>
      <c r="AR436" s="61"/>
      <c r="AS436" s="61"/>
      <c r="AT436" s="61"/>
      <c r="AU436" s="61"/>
      <c r="AV436" s="61"/>
      <c r="AW436" s="61"/>
      <c r="AX436" s="61"/>
      <c r="AY436" s="61"/>
    </row>
    <row r="437" customFormat="false" ht="15.75" hidden="false" customHeight="true" outlineLevel="0" collapsed="false">
      <c r="A437" s="60"/>
      <c r="B437" s="61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2"/>
      <c r="AM437" s="62"/>
      <c r="AN437" s="60"/>
      <c r="AO437" s="60"/>
      <c r="AP437" s="60"/>
      <c r="AQ437" s="60"/>
      <c r="AR437" s="61"/>
      <c r="AS437" s="61"/>
      <c r="AT437" s="61"/>
      <c r="AU437" s="61"/>
      <c r="AV437" s="61"/>
      <c r="AW437" s="61"/>
      <c r="AX437" s="61"/>
      <c r="AY437" s="61"/>
    </row>
    <row r="438" customFormat="false" ht="15.75" hidden="false" customHeight="true" outlineLevel="0" collapsed="false">
      <c r="A438" s="60"/>
      <c r="B438" s="61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2"/>
      <c r="AM438" s="62"/>
      <c r="AN438" s="60"/>
      <c r="AO438" s="60"/>
      <c r="AP438" s="60"/>
      <c r="AQ438" s="60"/>
      <c r="AR438" s="61"/>
      <c r="AS438" s="61"/>
      <c r="AT438" s="61"/>
      <c r="AU438" s="61"/>
      <c r="AV438" s="61"/>
      <c r="AW438" s="61"/>
      <c r="AX438" s="61"/>
      <c r="AY438" s="61"/>
    </row>
    <row r="439" customFormat="false" ht="15.75" hidden="false" customHeight="true" outlineLevel="0" collapsed="false">
      <c r="A439" s="60"/>
      <c r="B439" s="61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2"/>
      <c r="AM439" s="62"/>
      <c r="AN439" s="60"/>
      <c r="AO439" s="60"/>
      <c r="AP439" s="60"/>
      <c r="AQ439" s="60"/>
      <c r="AR439" s="61"/>
      <c r="AS439" s="61"/>
      <c r="AT439" s="61"/>
      <c r="AU439" s="61"/>
      <c r="AV439" s="61"/>
      <c r="AW439" s="61"/>
      <c r="AX439" s="61"/>
      <c r="AY439" s="61"/>
    </row>
    <row r="440" customFormat="false" ht="15.75" hidden="false" customHeight="true" outlineLevel="0" collapsed="false">
      <c r="A440" s="60"/>
      <c r="B440" s="61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2"/>
      <c r="AM440" s="62"/>
      <c r="AN440" s="60"/>
      <c r="AO440" s="60"/>
      <c r="AP440" s="60"/>
      <c r="AQ440" s="60"/>
      <c r="AR440" s="61"/>
      <c r="AS440" s="61"/>
      <c r="AT440" s="61"/>
      <c r="AU440" s="61"/>
      <c r="AV440" s="61"/>
      <c r="AW440" s="61"/>
      <c r="AX440" s="61"/>
      <c r="AY440" s="61"/>
    </row>
    <row r="441" customFormat="false" ht="15.75" hidden="false" customHeight="true" outlineLevel="0" collapsed="false">
      <c r="A441" s="60"/>
      <c r="B441" s="61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2"/>
      <c r="AM441" s="62"/>
      <c r="AN441" s="60"/>
      <c r="AO441" s="60"/>
      <c r="AP441" s="60"/>
      <c r="AQ441" s="60"/>
      <c r="AR441" s="61"/>
      <c r="AS441" s="61"/>
      <c r="AT441" s="61"/>
      <c r="AU441" s="61"/>
      <c r="AV441" s="61"/>
      <c r="AW441" s="61"/>
      <c r="AX441" s="61"/>
      <c r="AY441" s="61"/>
    </row>
    <row r="442" customFormat="false" ht="15.75" hidden="false" customHeight="true" outlineLevel="0" collapsed="false">
      <c r="A442" s="60"/>
      <c r="B442" s="61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2"/>
      <c r="AM442" s="62"/>
      <c r="AN442" s="60"/>
      <c r="AO442" s="60"/>
      <c r="AP442" s="60"/>
      <c r="AQ442" s="60"/>
      <c r="AR442" s="61"/>
      <c r="AS442" s="61"/>
      <c r="AT442" s="61"/>
      <c r="AU442" s="61"/>
      <c r="AV442" s="61"/>
      <c r="AW442" s="61"/>
      <c r="AX442" s="61"/>
      <c r="AY442" s="61"/>
    </row>
    <row r="443" customFormat="false" ht="15.75" hidden="false" customHeight="true" outlineLevel="0" collapsed="false">
      <c r="A443" s="60"/>
      <c r="B443" s="61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2"/>
      <c r="AM443" s="62"/>
      <c r="AN443" s="60"/>
      <c r="AO443" s="60"/>
      <c r="AP443" s="60"/>
      <c r="AQ443" s="60"/>
      <c r="AR443" s="61"/>
      <c r="AS443" s="61"/>
      <c r="AT443" s="61"/>
      <c r="AU443" s="61"/>
      <c r="AV443" s="61"/>
      <c r="AW443" s="61"/>
      <c r="AX443" s="61"/>
      <c r="AY443" s="61"/>
    </row>
    <row r="444" customFormat="false" ht="15.75" hidden="false" customHeight="true" outlineLevel="0" collapsed="false">
      <c r="A444" s="60"/>
      <c r="B444" s="61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2"/>
      <c r="AM444" s="62"/>
      <c r="AN444" s="60"/>
      <c r="AO444" s="60"/>
      <c r="AP444" s="60"/>
      <c r="AQ444" s="60"/>
      <c r="AR444" s="61"/>
      <c r="AS444" s="61"/>
      <c r="AT444" s="61"/>
      <c r="AU444" s="61"/>
      <c r="AV444" s="61"/>
      <c r="AW444" s="61"/>
      <c r="AX444" s="61"/>
      <c r="AY444" s="61"/>
    </row>
    <row r="445" customFormat="false" ht="15.75" hidden="false" customHeight="true" outlineLevel="0" collapsed="false">
      <c r="A445" s="60"/>
      <c r="B445" s="61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2"/>
      <c r="AM445" s="62"/>
      <c r="AN445" s="60"/>
      <c r="AO445" s="60"/>
      <c r="AP445" s="60"/>
      <c r="AQ445" s="60"/>
      <c r="AR445" s="61"/>
      <c r="AS445" s="61"/>
      <c r="AT445" s="61"/>
      <c r="AU445" s="61"/>
      <c r="AV445" s="61"/>
      <c r="AW445" s="61"/>
      <c r="AX445" s="61"/>
      <c r="AY445" s="61"/>
    </row>
    <row r="446" customFormat="false" ht="15.75" hidden="false" customHeight="true" outlineLevel="0" collapsed="false">
      <c r="A446" s="60"/>
      <c r="B446" s="61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2"/>
      <c r="AM446" s="62"/>
      <c r="AN446" s="60"/>
      <c r="AO446" s="60"/>
      <c r="AP446" s="60"/>
      <c r="AQ446" s="60"/>
      <c r="AR446" s="61"/>
      <c r="AS446" s="61"/>
      <c r="AT446" s="61"/>
      <c r="AU446" s="61"/>
      <c r="AV446" s="61"/>
      <c r="AW446" s="61"/>
      <c r="AX446" s="61"/>
      <c r="AY446" s="61"/>
    </row>
    <row r="447" customFormat="false" ht="15.75" hidden="false" customHeight="true" outlineLevel="0" collapsed="false">
      <c r="A447" s="60"/>
      <c r="B447" s="61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2"/>
      <c r="AM447" s="62"/>
      <c r="AN447" s="60"/>
      <c r="AO447" s="60"/>
      <c r="AP447" s="60"/>
      <c r="AQ447" s="60"/>
      <c r="AR447" s="61"/>
      <c r="AS447" s="61"/>
      <c r="AT447" s="61"/>
      <c r="AU447" s="61"/>
      <c r="AV447" s="61"/>
      <c r="AW447" s="61"/>
      <c r="AX447" s="61"/>
      <c r="AY447" s="61"/>
    </row>
    <row r="448" customFormat="false" ht="15.75" hidden="false" customHeight="true" outlineLevel="0" collapsed="false">
      <c r="A448" s="60"/>
      <c r="B448" s="61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2"/>
      <c r="AM448" s="62"/>
      <c r="AN448" s="60"/>
      <c r="AO448" s="60"/>
      <c r="AP448" s="60"/>
      <c r="AQ448" s="60"/>
      <c r="AR448" s="61"/>
      <c r="AS448" s="61"/>
      <c r="AT448" s="61"/>
      <c r="AU448" s="61"/>
      <c r="AV448" s="61"/>
      <c r="AW448" s="61"/>
      <c r="AX448" s="61"/>
      <c r="AY448" s="61"/>
    </row>
    <row r="449" customFormat="false" ht="15.75" hidden="false" customHeight="true" outlineLevel="0" collapsed="false">
      <c r="A449" s="60"/>
      <c r="B449" s="61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2"/>
      <c r="AM449" s="62"/>
      <c r="AN449" s="60"/>
      <c r="AO449" s="60"/>
      <c r="AP449" s="60"/>
      <c r="AQ449" s="60"/>
      <c r="AR449" s="61"/>
      <c r="AS449" s="61"/>
      <c r="AT449" s="61"/>
      <c r="AU449" s="61"/>
      <c r="AV449" s="61"/>
      <c r="AW449" s="61"/>
      <c r="AX449" s="61"/>
      <c r="AY449" s="61"/>
    </row>
    <row r="450" customFormat="false" ht="15.75" hidden="false" customHeight="true" outlineLevel="0" collapsed="false">
      <c r="A450" s="60"/>
      <c r="B450" s="61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2"/>
      <c r="AM450" s="62"/>
      <c r="AN450" s="60"/>
      <c r="AO450" s="60"/>
      <c r="AP450" s="60"/>
      <c r="AQ450" s="60"/>
      <c r="AR450" s="61"/>
      <c r="AS450" s="61"/>
      <c r="AT450" s="61"/>
      <c r="AU450" s="61"/>
      <c r="AV450" s="61"/>
      <c r="AW450" s="61"/>
      <c r="AX450" s="61"/>
      <c r="AY450" s="61"/>
    </row>
    <row r="451" customFormat="false" ht="15.75" hidden="false" customHeight="true" outlineLevel="0" collapsed="false">
      <c r="A451" s="60"/>
      <c r="B451" s="61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2"/>
      <c r="AM451" s="62"/>
      <c r="AN451" s="60"/>
      <c r="AO451" s="60"/>
      <c r="AP451" s="60"/>
      <c r="AQ451" s="60"/>
      <c r="AR451" s="61"/>
      <c r="AS451" s="61"/>
      <c r="AT451" s="61"/>
      <c r="AU451" s="61"/>
      <c r="AV451" s="61"/>
      <c r="AW451" s="61"/>
      <c r="AX451" s="61"/>
      <c r="AY451" s="61"/>
    </row>
    <row r="452" customFormat="false" ht="15.75" hidden="false" customHeight="true" outlineLevel="0" collapsed="false">
      <c r="A452" s="60"/>
      <c r="B452" s="61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2"/>
      <c r="AM452" s="62"/>
      <c r="AN452" s="60"/>
      <c r="AO452" s="60"/>
      <c r="AP452" s="60"/>
      <c r="AQ452" s="60"/>
      <c r="AR452" s="61"/>
      <c r="AS452" s="61"/>
      <c r="AT452" s="61"/>
      <c r="AU452" s="61"/>
      <c r="AV452" s="61"/>
      <c r="AW452" s="61"/>
      <c r="AX452" s="61"/>
      <c r="AY452" s="61"/>
    </row>
    <row r="453" customFormat="false" ht="15.75" hidden="false" customHeight="true" outlineLevel="0" collapsed="false">
      <c r="A453" s="60"/>
      <c r="B453" s="61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2"/>
      <c r="AM453" s="62"/>
      <c r="AN453" s="60"/>
      <c r="AO453" s="60"/>
      <c r="AP453" s="60"/>
      <c r="AQ453" s="60"/>
      <c r="AR453" s="61"/>
      <c r="AS453" s="61"/>
      <c r="AT453" s="61"/>
      <c r="AU453" s="61"/>
      <c r="AV453" s="61"/>
      <c r="AW453" s="61"/>
      <c r="AX453" s="61"/>
      <c r="AY453" s="61"/>
    </row>
    <row r="454" customFormat="false" ht="15.75" hidden="false" customHeight="true" outlineLevel="0" collapsed="false">
      <c r="A454" s="60"/>
      <c r="B454" s="61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2"/>
      <c r="AM454" s="62"/>
      <c r="AN454" s="60"/>
      <c r="AO454" s="60"/>
      <c r="AP454" s="60"/>
      <c r="AQ454" s="60"/>
      <c r="AR454" s="61"/>
      <c r="AS454" s="61"/>
      <c r="AT454" s="61"/>
      <c r="AU454" s="61"/>
      <c r="AV454" s="61"/>
      <c r="AW454" s="61"/>
      <c r="AX454" s="61"/>
      <c r="AY454" s="61"/>
    </row>
    <row r="455" customFormat="false" ht="15.75" hidden="false" customHeight="true" outlineLevel="0" collapsed="false">
      <c r="A455" s="60"/>
      <c r="B455" s="61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2"/>
      <c r="AM455" s="62"/>
      <c r="AN455" s="60"/>
      <c r="AO455" s="60"/>
      <c r="AP455" s="60"/>
      <c r="AQ455" s="60"/>
      <c r="AR455" s="61"/>
      <c r="AS455" s="61"/>
      <c r="AT455" s="61"/>
      <c r="AU455" s="61"/>
      <c r="AV455" s="61"/>
      <c r="AW455" s="61"/>
      <c r="AX455" s="61"/>
      <c r="AY455" s="61"/>
    </row>
    <row r="456" customFormat="false" ht="15.75" hidden="false" customHeight="true" outlineLevel="0" collapsed="false">
      <c r="A456" s="60"/>
      <c r="B456" s="61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2"/>
      <c r="AM456" s="62"/>
      <c r="AN456" s="60"/>
      <c r="AO456" s="60"/>
      <c r="AP456" s="60"/>
      <c r="AQ456" s="60"/>
      <c r="AR456" s="61"/>
      <c r="AS456" s="61"/>
      <c r="AT456" s="61"/>
      <c r="AU456" s="61"/>
      <c r="AV456" s="61"/>
      <c r="AW456" s="61"/>
      <c r="AX456" s="61"/>
      <c r="AY456" s="61"/>
    </row>
    <row r="457" customFormat="false" ht="15.75" hidden="false" customHeight="true" outlineLevel="0" collapsed="false">
      <c r="A457" s="60"/>
      <c r="B457" s="61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2"/>
      <c r="AM457" s="62"/>
      <c r="AN457" s="60"/>
      <c r="AO457" s="60"/>
      <c r="AP457" s="60"/>
      <c r="AQ457" s="60"/>
      <c r="AR457" s="61"/>
      <c r="AS457" s="61"/>
      <c r="AT457" s="61"/>
      <c r="AU457" s="61"/>
      <c r="AV457" s="61"/>
      <c r="AW457" s="61"/>
      <c r="AX457" s="61"/>
      <c r="AY457" s="61"/>
    </row>
    <row r="458" customFormat="false" ht="15.75" hidden="false" customHeight="true" outlineLevel="0" collapsed="false">
      <c r="A458" s="60"/>
      <c r="B458" s="61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2"/>
      <c r="AM458" s="62"/>
      <c r="AN458" s="60"/>
      <c r="AO458" s="60"/>
      <c r="AP458" s="60"/>
      <c r="AQ458" s="60"/>
      <c r="AR458" s="61"/>
      <c r="AS458" s="61"/>
      <c r="AT458" s="61"/>
      <c r="AU458" s="61"/>
      <c r="AV458" s="61"/>
      <c r="AW458" s="61"/>
      <c r="AX458" s="61"/>
      <c r="AY458" s="61"/>
    </row>
    <row r="459" customFormat="false" ht="15.75" hidden="false" customHeight="true" outlineLevel="0" collapsed="false">
      <c r="A459" s="60"/>
      <c r="B459" s="61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2"/>
      <c r="AM459" s="62"/>
      <c r="AN459" s="60"/>
      <c r="AO459" s="60"/>
      <c r="AP459" s="60"/>
      <c r="AQ459" s="60"/>
      <c r="AR459" s="61"/>
      <c r="AS459" s="61"/>
      <c r="AT459" s="61"/>
      <c r="AU459" s="61"/>
      <c r="AV459" s="61"/>
      <c r="AW459" s="61"/>
      <c r="AX459" s="61"/>
      <c r="AY459" s="61"/>
    </row>
    <row r="460" customFormat="false" ht="15.75" hidden="false" customHeight="true" outlineLevel="0" collapsed="false">
      <c r="A460" s="60"/>
      <c r="B460" s="61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2"/>
      <c r="AM460" s="62"/>
      <c r="AN460" s="60"/>
      <c r="AO460" s="60"/>
      <c r="AP460" s="60"/>
      <c r="AQ460" s="60"/>
      <c r="AR460" s="61"/>
      <c r="AS460" s="61"/>
      <c r="AT460" s="61"/>
      <c r="AU460" s="61"/>
      <c r="AV460" s="61"/>
      <c r="AW460" s="61"/>
      <c r="AX460" s="61"/>
      <c r="AY460" s="61"/>
    </row>
    <row r="461" customFormat="false" ht="15.75" hidden="false" customHeight="true" outlineLevel="0" collapsed="false">
      <c r="A461" s="60"/>
      <c r="B461" s="61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2"/>
      <c r="AM461" s="62"/>
      <c r="AN461" s="60"/>
      <c r="AO461" s="60"/>
      <c r="AP461" s="60"/>
      <c r="AQ461" s="60"/>
      <c r="AR461" s="61"/>
      <c r="AS461" s="61"/>
      <c r="AT461" s="61"/>
      <c r="AU461" s="61"/>
      <c r="AV461" s="61"/>
      <c r="AW461" s="61"/>
      <c r="AX461" s="61"/>
      <c r="AY461" s="61"/>
    </row>
    <row r="462" customFormat="false" ht="15.75" hidden="false" customHeight="true" outlineLevel="0" collapsed="false">
      <c r="A462" s="60"/>
      <c r="B462" s="61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2"/>
      <c r="AM462" s="62"/>
      <c r="AN462" s="60"/>
      <c r="AO462" s="60"/>
      <c r="AP462" s="60"/>
      <c r="AQ462" s="60"/>
      <c r="AR462" s="61"/>
      <c r="AS462" s="61"/>
      <c r="AT462" s="61"/>
      <c r="AU462" s="61"/>
      <c r="AV462" s="61"/>
      <c r="AW462" s="61"/>
      <c r="AX462" s="61"/>
      <c r="AY462" s="61"/>
    </row>
    <row r="463" customFormat="false" ht="15.75" hidden="false" customHeight="true" outlineLevel="0" collapsed="false">
      <c r="A463" s="60"/>
      <c r="B463" s="61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2"/>
      <c r="AM463" s="62"/>
      <c r="AN463" s="60"/>
      <c r="AO463" s="60"/>
      <c r="AP463" s="60"/>
      <c r="AQ463" s="60"/>
      <c r="AR463" s="61"/>
      <c r="AS463" s="61"/>
      <c r="AT463" s="61"/>
      <c r="AU463" s="61"/>
      <c r="AV463" s="61"/>
      <c r="AW463" s="61"/>
      <c r="AX463" s="61"/>
      <c r="AY463" s="61"/>
    </row>
    <row r="464" customFormat="false" ht="15.75" hidden="false" customHeight="true" outlineLevel="0" collapsed="false">
      <c r="A464" s="60"/>
      <c r="B464" s="61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2"/>
      <c r="AM464" s="62"/>
      <c r="AN464" s="60"/>
      <c r="AO464" s="60"/>
      <c r="AP464" s="60"/>
      <c r="AQ464" s="60"/>
      <c r="AR464" s="61"/>
      <c r="AS464" s="61"/>
      <c r="AT464" s="61"/>
      <c r="AU464" s="61"/>
      <c r="AV464" s="61"/>
      <c r="AW464" s="61"/>
      <c r="AX464" s="61"/>
      <c r="AY464" s="61"/>
    </row>
    <row r="465" customFormat="false" ht="15.75" hidden="false" customHeight="true" outlineLevel="0" collapsed="false">
      <c r="A465" s="60"/>
      <c r="B465" s="61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2"/>
      <c r="AM465" s="62"/>
      <c r="AN465" s="60"/>
      <c r="AO465" s="60"/>
      <c r="AP465" s="60"/>
      <c r="AQ465" s="60"/>
      <c r="AR465" s="61"/>
      <c r="AS465" s="61"/>
      <c r="AT465" s="61"/>
      <c r="AU465" s="61"/>
      <c r="AV465" s="61"/>
      <c r="AW465" s="61"/>
      <c r="AX465" s="61"/>
      <c r="AY465" s="61"/>
    </row>
    <row r="466" customFormat="false" ht="15.75" hidden="false" customHeight="true" outlineLevel="0" collapsed="false">
      <c r="A466" s="60"/>
      <c r="B466" s="61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2"/>
      <c r="AM466" s="62"/>
      <c r="AN466" s="60"/>
      <c r="AO466" s="60"/>
      <c r="AP466" s="60"/>
      <c r="AQ466" s="60"/>
      <c r="AR466" s="61"/>
      <c r="AS466" s="61"/>
      <c r="AT466" s="61"/>
      <c r="AU466" s="61"/>
      <c r="AV466" s="61"/>
      <c r="AW466" s="61"/>
      <c r="AX466" s="61"/>
      <c r="AY466" s="61"/>
    </row>
    <row r="467" customFormat="false" ht="15.75" hidden="false" customHeight="true" outlineLevel="0" collapsed="false">
      <c r="A467" s="60"/>
      <c r="B467" s="61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2"/>
      <c r="AM467" s="62"/>
      <c r="AN467" s="60"/>
      <c r="AO467" s="60"/>
      <c r="AP467" s="60"/>
      <c r="AQ467" s="60"/>
      <c r="AR467" s="61"/>
      <c r="AS467" s="61"/>
      <c r="AT467" s="61"/>
      <c r="AU467" s="61"/>
      <c r="AV467" s="61"/>
      <c r="AW467" s="61"/>
      <c r="AX467" s="61"/>
      <c r="AY467" s="61"/>
    </row>
    <row r="468" customFormat="false" ht="15.75" hidden="false" customHeight="true" outlineLevel="0" collapsed="false">
      <c r="A468" s="60"/>
      <c r="B468" s="61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2"/>
      <c r="AM468" s="62"/>
      <c r="AN468" s="60"/>
      <c r="AO468" s="60"/>
      <c r="AP468" s="60"/>
      <c r="AQ468" s="60"/>
      <c r="AR468" s="61"/>
      <c r="AS468" s="61"/>
      <c r="AT468" s="61"/>
      <c r="AU468" s="61"/>
      <c r="AV468" s="61"/>
      <c r="AW468" s="61"/>
      <c r="AX468" s="61"/>
      <c r="AY468" s="61"/>
    </row>
    <row r="469" customFormat="false" ht="15.75" hidden="false" customHeight="true" outlineLevel="0" collapsed="false">
      <c r="A469" s="60"/>
      <c r="B469" s="61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2"/>
      <c r="AM469" s="62"/>
      <c r="AN469" s="60"/>
      <c r="AO469" s="60"/>
      <c r="AP469" s="60"/>
      <c r="AQ469" s="60"/>
      <c r="AR469" s="61"/>
      <c r="AS469" s="61"/>
      <c r="AT469" s="61"/>
      <c r="AU469" s="61"/>
      <c r="AV469" s="61"/>
      <c r="AW469" s="61"/>
      <c r="AX469" s="61"/>
      <c r="AY469" s="61"/>
    </row>
    <row r="470" customFormat="false" ht="15.75" hidden="false" customHeight="true" outlineLevel="0" collapsed="false">
      <c r="A470" s="60"/>
      <c r="B470" s="61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2"/>
      <c r="AM470" s="62"/>
      <c r="AN470" s="60"/>
      <c r="AO470" s="60"/>
      <c r="AP470" s="60"/>
      <c r="AQ470" s="60"/>
      <c r="AR470" s="61"/>
      <c r="AS470" s="61"/>
      <c r="AT470" s="61"/>
      <c r="AU470" s="61"/>
      <c r="AV470" s="61"/>
      <c r="AW470" s="61"/>
      <c r="AX470" s="61"/>
      <c r="AY470" s="61"/>
    </row>
    <row r="471" customFormat="false" ht="15.75" hidden="false" customHeight="true" outlineLevel="0" collapsed="false">
      <c r="A471" s="60"/>
      <c r="B471" s="61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2"/>
      <c r="AM471" s="62"/>
      <c r="AN471" s="60"/>
      <c r="AO471" s="60"/>
      <c r="AP471" s="60"/>
      <c r="AQ471" s="60"/>
      <c r="AR471" s="61"/>
      <c r="AS471" s="61"/>
      <c r="AT471" s="61"/>
      <c r="AU471" s="61"/>
      <c r="AV471" s="61"/>
      <c r="AW471" s="61"/>
      <c r="AX471" s="61"/>
      <c r="AY471" s="61"/>
    </row>
    <row r="472" customFormat="false" ht="15.75" hidden="false" customHeight="true" outlineLevel="0" collapsed="false">
      <c r="A472" s="60"/>
      <c r="B472" s="61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2"/>
      <c r="AM472" s="62"/>
      <c r="AN472" s="60"/>
      <c r="AO472" s="60"/>
      <c r="AP472" s="60"/>
      <c r="AQ472" s="60"/>
      <c r="AR472" s="61"/>
      <c r="AS472" s="61"/>
      <c r="AT472" s="61"/>
      <c r="AU472" s="61"/>
      <c r="AV472" s="61"/>
      <c r="AW472" s="61"/>
      <c r="AX472" s="61"/>
      <c r="AY472" s="61"/>
    </row>
    <row r="473" customFormat="false" ht="15.75" hidden="false" customHeight="true" outlineLevel="0" collapsed="false">
      <c r="A473" s="60"/>
      <c r="B473" s="61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2"/>
      <c r="AM473" s="62"/>
      <c r="AN473" s="60"/>
      <c r="AO473" s="60"/>
      <c r="AP473" s="60"/>
      <c r="AQ473" s="60"/>
      <c r="AR473" s="61"/>
      <c r="AS473" s="61"/>
      <c r="AT473" s="61"/>
      <c r="AU473" s="61"/>
      <c r="AV473" s="61"/>
      <c r="AW473" s="61"/>
      <c r="AX473" s="61"/>
      <c r="AY473" s="61"/>
    </row>
    <row r="474" customFormat="false" ht="15.75" hidden="false" customHeight="true" outlineLevel="0" collapsed="false">
      <c r="A474" s="60"/>
      <c r="B474" s="61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2"/>
      <c r="AM474" s="62"/>
      <c r="AN474" s="60"/>
      <c r="AO474" s="60"/>
      <c r="AP474" s="60"/>
      <c r="AQ474" s="60"/>
      <c r="AR474" s="61"/>
      <c r="AS474" s="61"/>
      <c r="AT474" s="61"/>
      <c r="AU474" s="61"/>
      <c r="AV474" s="61"/>
      <c r="AW474" s="61"/>
      <c r="AX474" s="61"/>
      <c r="AY474" s="61"/>
    </row>
    <row r="475" customFormat="false" ht="15.75" hidden="false" customHeight="true" outlineLevel="0" collapsed="false">
      <c r="A475" s="60"/>
      <c r="B475" s="61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2"/>
      <c r="AM475" s="62"/>
      <c r="AN475" s="60"/>
      <c r="AO475" s="60"/>
      <c r="AP475" s="60"/>
      <c r="AQ475" s="60"/>
      <c r="AR475" s="61"/>
      <c r="AS475" s="61"/>
      <c r="AT475" s="61"/>
      <c r="AU475" s="61"/>
      <c r="AV475" s="61"/>
      <c r="AW475" s="61"/>
      <c r="AX475" s="61"/>
      <c r="AY475" s="61"/>
    </row>
    <row r="476" customFormat="false" ht="15.75" hidden="false" customHeight="true" outlineLevel="0" collapsed="false">
      <c r="A476" s="60"/>
      <c r="B476" s="61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2"/>
      <c r="AM476" s="62"/>
      <c r="AN476" s="60"/>
      <c r="AO476" s="60"/>
      <c r="AP476" s="60"/>
      <c r="AQ476" s="60"/>
      <c r="AR476" s="61"/>
      <c r="AS476" s="61"/>
      <c r="AT476" s="61"/>
      <c r="AU476" s="61"/>
      <c r="AV476" s="61"/>
      <c r="AW476" s="61"/>
      <c r="AX476" s="61"/>
      <c r="AY476" s="61"/>
    </row>
    <row r="477" customFormat="false" ht="15.75" hidden="false" customHeight="true" outlineLevel="0" collapsed="false">
      <c r="A477" s="60"/>
      <c r="B477" s="61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2"/>
      <c r="AM477" s="62"/>
      <c r="AN477" s="60"/>
      <c r="AO477" s="60"/>
      <c r="AP477" s="60"/>
      <c r="AQ477" s="60"/>
      <c r="AR477" s="61"/>
      <c r="AS477" s="61"/>
      <c r="AT477" s="61"/>
      <c r="AU477" s="61"/>
      <c r="AV477" s="61"/>
      <c r="AW477" s="61"/>
      <c r="AX477" s="61"/>
      <c r="AY477" s="61"/>
    </row>
    <row r="478" customFormat="false" ht="15.75" hidden="false" customHeight="true" outlineLevel="0" collapsed="false">
      <c r="A478" s="60"/>
      <c r="B478" s="61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2"/>
      <c r="AM478" s="62"/>
      <c r="AN478" s="60"/>
      <c r="AO478" s="60"/>
      <c r="AP478" s="60"/>
      <c r="AQ478" s="60"/>
      <c r="AR478" s="61"/>
      <c r="AS478" s="61"/>
      <c r="AT478" s="61"/>
      <c r="AU478" s="61"/>
      <c r="AV478" s="61"/>
      <c r="AW478" s="61"/>
      <c r="AX478" s="61"/>
      <c r="AY478" s="61"/>
    </row>
    <row r="479" customFormat="false" ht="15.75" hidden="false" customHeight="true" outlineLevel="0" collapsed="false">
      <c r="A479" s="60"/>
      <c r="B479" s="61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2"/>
      <c r="AM479" s="62"/>
      <c r="AN479" s="60"/>
      <c r="AO479" s="60"/>
      <c r="AP479" s="60"/>
      <c r="AQ479" s="60"/>
      <c r="AR479" s="61"/>
      <c r="AS479" s="61"/>
      <c r="AT479" s="61"/>
      <c r="AU479" s="61"/>
      <c r="AV479" s="61"/>
      <c r="AW479" s="61"/>
      <c r="AX479" s="61"/>
      <c r="AY479" s="61"/>
    </row>
    <row r="480" customFormat="false" ht="15.75" hidden="false" customHeight="true" outlineLevel="0" collapsed="false">
      <c r="A480" s="60"/>
      <c r="B480" s="61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2"/>
      <c r="AM480" s="62"/>
      <c r="AN480" s="60"/>
      <c r="AO480" s="60"/>
      <c r="AP480" s="60"/>
      <c r="AQ480" s="60"/>
      <c r="AR480" s="61"/>
      <c r="AS480" s="61"/>
      <c r="AT480" s="61"/>
      <c r="AU480" s="61"/>
      <c r="AV480" s="61"/>
      <c r="AW480" s="61"/>
      <c r="AX480" s="61"/>
      <c r="AY480" s="61"/>
    </row>
    <row r="481" customFormat="false" ht="15.75" hidden="false" customHeight="true" outlineLevel="0" collapsed="false">
      <c r="A481" s="60"/>
      <c r="B481" s="61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2"/>
      <c r="AM481" s="62"/>
      <c r="AN481" s="60"/>
      <c r="AO481" s="60"/>
      <c r="AP481" s="60"/>
      <c r="AQ481" s="60"/>
      <c r="AR481" s="61"/>
      <c r="AS481" s="61"/>
      <c r="AT481" s="61"/>
      <c r="AU481" s="61"/>
      <c r="AV481" s="61"/>
      <c r="AW481" s="61"/>
      <c r="AX481" s="61"/>
      <c r="AY481" s="61"/>
    </row>
    <row r="482" customFormat="false" ht="15.75" hidden="false" customHeight="true" outlineLevel="0" collapsed="false">
      <c r="A482" s="60"/>
      <c r="B482" s="61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2"/>
      <c r="AM482" s="62"/>
      <c r="AN482" s="60"/>
      <c r="AO482" s="60"/>
      <c r="AP482" s="60"/>
      <c r="AQ482" s="60"/>
      <c r="AR482" s="61"/>
      <c r="AS482" s="61"/>
      <c r="AT482" s="61"/>
      <c r="AU482" s="61"/>
      <c r="AV482" s="61"/>
      <c r="AW482" s="61"/>
      <c r="AX482" s="61"/>
      <c r="AY482" s="61"/>
    </row>
    <row r="483" customFormat="false" ht="15.75" hidden="false" customHeight="true" outlineLevel="0" collapsed="false">
      <c r="A483" s="60"/>
      <c r="B483" s="61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2"/>
      <c r="AM483" s="62"/>
      <c r="AN483" s="60"/>
      <c r="AO483" s="60"/>
      <c r="AP483" s="60"/>
      <c r="AQ483" s="60"/>
      <c r="AR483" s="61"/>
      <c r="AS483" s="61"/>
      <c r="AT483" s="61"/>
      <c r="AU483" s="61"/>
      <c r="AV483" s="61"/>
      <c r="AW483" s="61"/>
      <c r="AX483" s="61"/>
      <c r="AY483" s="61"/>
    </row>
    <row r="484" customFormat="false" ht="15.75" hidden="false" customHeight="true" outlineLevel="0" collapsed="false">
      <c r="A484" s="60"/>
      <c r="B484" s="61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2"/>
      <c r="AM484" s="62"/>
      <c r="AN484" s="60"/>
      <c r="AO484" s="60"/>
      <c r="AP484" s="60"/>
      <c r="AQ484" s="60"/>
      <c r="AR484" s="61"/>
      <c r="AS484" s="61"/>
      <c r="AT484" s="61"/>
      <c r="AU484" s="61"/>
      <c r="AV484" s="61"/>
      <c r="AW484" s="61"/>
      <c r="AX484" s="61"/>
      <c r="AY484" s="61"/>
    </row>
    <row r="485" customFormat="false" ht="15.75" hidden="false" customHeight="true" outlineLevel="0" collapsed="false">
      <c r="A485" s="60"/>
      <c r="B485" s="61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2"/>
      <c r="AM485" s="62"/>
      <c r="AN485" s="60"/>
      <c r="AO485" s="60"/>
      <c r="AP485" s="60"/>
      <c r="AQ485" s="60"/>
      <c r="AR485" s="61"/>
      <c r="AS485" s="61"/>
      <c r="AT485" s="61"/>
      <c r="AU485" s="61"/>
      <c r="AV485" s="61"/>
      <c r="AW485" s="61"/>
      <c r="AX485" s="61"/>
      <c r="AY485" s="61"/>
    </row>
    <row r="486" customFormat="false" ht="15.75" hidden="false" customHeight="true" outlineLevel="0" collapsed="false">
      <c r="A486" s="60"/>
      <c r="B486" s="61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2"/>
      <c r="AM486" s="62"/>
      <c r="AN486" s="60"/>
      <c r="AO486" s="60"/>
      <c r="AP486" s="60"/>
      <c r="AQ486" s="60"/>
      <c r="AR486" s="61"/>
      <c r="AS486" s="61"/>
      <c r="AT486" s="61"/>
      <c r="AU486" s="61"/>
      <c r="AV486" s="61"/>
      <c r="AW486" s="61"/>
      <c r="AX486" s="61"/>
      <c r="AY486" s="61"/>
    </row>
    <row r="487" customFormat="false" ht="15.75" hidden="false" customHeight="true" outlineLevel="0" collapsed="false">
      <c r="A487" s="60"/>
      <c r="B487" s="61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2"/>
      <c r="AM487" s="62"/>
      <c r="AN487" s="60"/>
      <c r="AO487" s="60"/>
      <c r="AP487" s="60"/>
      <c r="AQ487" s="60"/>
      <c r="AR487" s="61"/>
      <c r="AS487" s="61"/>
      <c r="AT487" s="61"/>
      <c r="AU487" s="61"/>
      <c r="AV487" s="61"/>
      <c r="AW487" s="61"/>
      <c r="AX487" s="61"/>
      <c r="AY487" s="61"/>
    </row>
    <row r="488" customFormat="false" ht="15.75" hidden="false" customHeight="true" outlineLevel="0" collapsed="false">
      <c r="A488" s="60"/>
      <c r="B488" s="61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2"/>
      <c r="AM488" s="62"/>
      <c r="AN488" s="60"/>
      <c r="AO488" s="60"/>
      <c r="AP488" s="60"/>
      <c r="AQ488" s="60"/>
      <c r="AR488" s="61"/>
      <c r="AS488" s="61"/>
      <c r="AT488" s="61"/>
      <c r="AU488" s="61"/>
      <c r="AV488" s="61"/>
      <c r="AW488" s="61"/>
      <c r="AX488" s="61"/>
      <c r="AY488" s="61"/>
    </row>
    <row r="489" customFormat="false" ht="15.75" hidden="false" customHeight="true" outlineLevel="0" collapsed="false">
      <c r="A489" s="60"/>
      <c r="B489" s="61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2"/>
      <c r="AM489" s="62"/>
      <c r="AN489" s="60"/>
      <c r="AO489" s="60"/>
      <c r="AP489" s="60"/>
      <c r="AQ489" s="60"/>
      <c r="AR489" s="61"/>
      <c r="AS489" s="61"/>
      <c r="AT489" s="61"/>
      <c r="AU489" s="61"/>
      <c r="AV489" s="61"/>
      <c r="AW489" s="61"/>
      <c r="AX489" s="61"/>
      <c r="AY489" s="61"/>
    </row>
    <row r="490" customFormat="false" ht="15.75" hidden="false" customHeight="true" outlineLevel="0" collapsed="false">
      <c r="A490" s="60"/>
      <c r="B490" s="61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2"/>
      <c r="AM490" s="62"/>
      <c r="AN490" s="60"/>
      <c r="AO490" s="60"/>
      <c r="AP490" s="60"/>
      <c r="AQ490" s="60"/>
      <c r="AR490" s="61"/>
      <c r="AS490" s="61"/>
      <c r="AT490" s="61"/>
      <c r="AU490" s="61"/>
      <c r="AV490" s="61"/>
      <c r="AW490" s="61"/>
      <c r="AX490" s="61"/>
      <c r="AY490" s="61"/>
    </row>
    <row r="491" customFormat="false" ht="15.75" hidden="false" customHeight="true" outlineLevel="0" collapsed="false">
      <c r="A491" s="60"/>
      <c r="B491" s="61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2"/>
      <c r="AM491" s="62"/>
      <c r="AN491" s="60"/>
      <c r="AO491" s="60"/>
      <c r="AP491" s="60"/>
      <c r="AQ491" s="60"/>
      <c r="AR491" s="61"/>
      <c r="AS491" s="61"/>
      <c r="AT491" s="61"/>
      <c r="AU491" s="61"/>
      <c r="AV491" s="61"/>
      <c r="AW491" s="61"/>
      <c r="AX491" s="61"/>
      <c r="AY491" s="61"/>
    </row>
    <row r="492" customFormat="false" ht="15.75" hidden="false" customHeight="true" outlineLevel="0" collapsed="false">
      <c r="A492" s="60"/>
      <c r="B492" s="61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2"/>
      <c r="AM492" s="62"/>
      <c r="AN492" s="60"/>
      <c r="AO492" s="60"/>
      <c r="AP492" s="60"/>
      <c r="AQ492" s="60"/>
      <c r="AR492" s="61"/>
      <c r="AS492" s="61"/>
      <c r="AT492" s="61"/>
      <c r="AU492" s="61"/>
      <c r="AV492" s="61"/>
      <c r="AW492" s="61"/>
      <c r="AX492" s="61"/>
      <c r="AY492" s="61"/>
    </row>
    <row r="493" customFormat="false" ht="15.75" hidden="false" customHeight="true" outlineLevel="0" collapsed="false">
      <c r="A493" s="60"/>
      <c r="B493" s="61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2"/>
      <c r="AM493" s="62"/>
      <c r="AN493" s="60"/>
      <c r="AO493" s="60"/>
      <c r="AP493" s="60"/>
      <c r="AQ493" s="60"/>
      <c r="AR493" s="61"/>
      <c r="AS493" s="61"/>
      <c r="AT493" s="61"/>
      <c r="AU493" s="61"/>
      <c r="AV493" s="61"/>
      <c r="AW493" s="61"/>
      <c r="AX493" s="61"/>
      <c r="AY493" s="61"/>
    </row>
    <row r="494" customFormat="false" ht="15.75" hidden="false" customHeight="true" outlineLevel="0" collapsed="false">
      <c r="A494" s="60"/>
      <c r="B494" s="61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2"/>
      <c r="AM494" s="62"/>
      <c r="AN494" s="60"/>
      <c r="AO494" s="60"/>
      <c r="AP494" s="60"/>
      <c r="AQ494" s="60"/>
      <c r="AR494" s="61"/>
      <c r="AS494" s="61"/>
      <c r="AT494" s="61"/>
      <c r="AU494" s="61"/>
      <c r="AV494" s="61"/>
      <c r="AW494" s="61"/>
      <c r="AX494" s="61"/>
      <c r="AY494" s="61"/>
    </row>
    <row r="495" customFormat="false" ht="15.75" hidden="false" customHeight="true" outlineLevel="0" collapsed="false">
      <c r="A495" s="60"/>
      <c r="B495" s="61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2"/>
      <c r="AM495" s="62"/>
      <c r="AN495" s="60"/>
      <c r="AO495" s="60"/>
      <c r="AP495" s="60"/>
      <c r="AQ495" s="60"/>
      <c r="AR495" s="61"/>
      <c r="AS495" s="61"/>
      <c r="AT495" s="61"/>
      <c r="AU495" s="61"/>
      <c r="AV495" s="61"/>
      <c r="AW495" s="61"/>
      <c r="AX495" s="61"/>
      <c r="AY495" s="61"/>
    </row>
    <row r="496" customFormat="false" ht="15.75" hidden="false" customHeight="true" outlineLevel="0" collapsed="false">
      <c r="A496" s="60"/>
      <c r="B496" s="61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2"/>
      <c r="AM496" s="62"/>
      <c r="AN496" s="60"/>
      <c r="AO496" s="60"/>
      <c r="AP496" s="60"/>
      <c r="AQ496" s="60"/>
      <c r="AR496" s="61"/>
      <c r="AS496" s="61"/>
      <c r="AT496" s="61"/>
      <c r="AU496" s="61"/>
      <c r="AV496" s="61"/>
      <c r="AW496" s="61"/>
      <c r="AX496" s="61"/>
      <c r="AY496" s="61"/>
    </row>
    <row r="497" customFormat="false" ht="15.75" hidden="false" customHeight="true" outlineLevel="0" collapsed="false">
      <c r="A497" s="60"/>
      <c r="B497" s="61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2"/>
      <c r="AM497" s="62"/>
      <c r="AN497" s="60"/>
      <c r="AO497" s="60"/>
      <c r="AP497" s="60"/>
      <c r="AQ497" s="60"/>
      <c r="AR497" s="61"/>
      <c r="AS497" s="61"/>
      <c r="AT497" s="61"/>
      <c r="AU497" s="61"/>
      <c r="AV497" s="61"/>
      <c r="AW497" s="61"/>
      <c r="AX497" s="61"/>
      <c r="AY497" s="61"/>
    </row>
    <row r="498" customFormat="false" ht="15.75" hidden="false" customHeight="true" outlineLevel="0" collapsed="false">
      <c r="A498" s="60"/>
      <c r="B498" s="61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2"/>
      <c r="AM498" s="62"/>
      <c r="AN498" s="60"/>
      <c r="AO498" s="60"/>
      <c r="AP498" s="60"/>
      <c r="AQ498" s="60"/>
      <c r="AR498" s="61"/>
      <c r="AS498" s="61"/>
      <c r="AT498" s="61"/>
      <c r="AU498" s="61"/>
      <c r="AV498" s="61"/>
      <c r="AW498" s="61"/>
      <c r="AX498" s="61"/>
      <c r="AY498" s="61"/>
    </row>
    <row r="499" customFormat="false" ht="15.75" hidden="false" customHeight="true" outlineLevel="0" collapsed="false">
      <c r="A499" s="60"/>
      <c r="B499" s="61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2"/>
      <c r="AM499" s="62"/>
      <c r="AN499" s="60"/>
      <c r="AO499" s="60"/>
      <c r="AP499" s="60"/>
      <c r="AQ499" s="60"/>
      <c r="AR499" s="61"/>
      <c r="AS499" s="61"/>
      <c r="AT499" s="61"/>
      <c r="AU499" s="61"/>
      <c r="AV499" s="61"/>
      <c r="AW499" s="61"/>
      <c r="AX499" s="61"/>
      <c r="AY499" s="61"/>
    </row>
    <row r="500" customFormat="false" ht="15.75" hidden="false" customHeight="true" outlineLevel="0" collapsed="false">
      <c r="A500" s="60"/>
      <c r="B500" s="61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2"/>
      <c r="AM500" s="62"/>
      <c r="AN500" s="60"/>
      <c r="AO500" s="60"/>
      <c r="AP500" s="60"/>
      <c r="AQ500" s="60"/>
      <c r="AR500" s="61"/>
      <c r="AS500" s="61"/>
      <c r="AT500" s="61"/>
      <c r="AU500" s="61"/>
      <c r="AV500" s="61"/>
      <c r="AW500" s="61"/>
      <c r="AX500" s="61"/>
      <c r="AY500" s="61"/>
    </row>
    <row r="501" customFormat="false" ht="15.75" hidden="false" customHeight="true" outlineLevel="0" collapsed="false">
      <c r="A501" s="60"/>
      <c r="B501" s="61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2"/>
      <c r="AM501" s="62"/>
      <c r="AN501" s="60"/>
      <c r="AO501" s="60"/>
      <c r="AP501" s="60"/>
      <c r="AQ501" s="60"/>
      <c r="AR501" s="61"/>
      <c r="AS501" s="61"/>
      <c r="AT501" s="61"/>
      <c r="AU501" s="61"/>
      <c r="AV501" s="61"/>
      <c r="AW501" s="61"/>
      <c r="AX501" s="61"/>
      <c r="AY501" s="61"/>
    </row>
    <row r="502" customFormat="false" ht="15.75" hidden="false" customHeight="true" outlineLevel="0" collapsed="false">
      <c r="A502" s="60"/>
      <c r="B502" s="61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2"/>
      <c r="AM502" s="62"/>
      <c r="AN502" s="60"/>
      <c r="AO502" s="60"/>
      <c r="AP502" s="60"/>
      <c r="AQ502" s="60"/>
      <c r="AR502" s="61"/>
      <c r="AS502" s="61"/>
      <c r="AT502" s="61"/>
      <c r="AU502" s="61"/>
      <c r="AV502" s="61"/>
      <c r="AW502" s="61"/>
      <c r="AX502" s="61"/>
      <c r="AY502" s="61"/>
    </row>
    <row r="503" customFormat="false" ht="15.75" hidden="false" customHeight="true" outlineLevel="0" collapsed="false">
      <c r="A503" s="60"/>
      <c r="B503" s="61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2"/>
      <c r="AM503" s="62"/>
      <c r="AN503" s="60"/>
      <c r="AO503" s="60"/>
      <c r="AP503" s="60"/>
      <c r="AQ503" s="60"/>
      <c r="AR503" s="61"/>
      <c r="AS503" s="61"/>
      <c r="AT503" s="61"/>
      <c r="AU503" s="61"/>
      <c r="AV503" s="61"/>
      <c r="AW503" s="61"/>
      <c r="AX503" s="61"/>
      <c r="AY503" s="61"/>
    </row>
    <row r="504" customFormat="false" ht="15.75" hidden="false" customHeight="true" outlineLevel="0" collapsed="false">
      <c r="A504" s="60"/>
      <c r="B504" s="61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2"/>
      <c r="AM504" s="62"/>
      <c r="AN504" s="60"/>
      <c r="AO504" s="60"/>
      <c r="AP504" s="60"/>
      <c r="AQ504" s="60"/>
      <c r="AR504" s="61"/>
      <c r="AS504" s="61"/>
      <c r="AT504" s="61"/>
      <c r="AU504" s="61"/>
      <c r="AV504" s="61"/>
      <c r="AW504" s="61"/>
      <c r="AX504" s="61"/>
      <c r="AY504" s="61"/>
    </row>
    <row r="505" customFormat="false" ht="15.75" hidden="false" customHeight="true" outlineLevel="0" collapsed="false">
      <c r="A505" s="60"/>
      <c r="B505" s="61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2"/>
      <c r="AM505" s="62"/>
      <c r="AN505" s="60"/>
      <c r="AO505" s="60"/>
      <c r="AP505" s="60"/>
      <c r="AQ505" s="60"/>
      <c r="AR505" s="61"/>
      <c r="AS505" s="61"/>
      <c r="AT505" s="61"/>
      <c r="AU505" s="61"/>
      <c r="AV505" s="61"/>
      <c r="AW505" s="61"/>
      <c r="AX505" s="61"/>
      <c r="AY505" s="61"/>
    </row>
    <row r="506" customFormat="false" ht="15.75" hidden="false" customHeight="true" outlineLevel="0" collapsed="false">
      <c r="A506" s="60"/>
      <c r="B506" s="61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2"/>
      <c r="AM506" s="62"/>
      <c r="AN506" s="60"/>
      <c r="AO506" s="60"/>
      <c r="AP506" s="60"/>
      <c r="AQ506" s="60"/>
      <c r="AR506" s="61"/>
      <c r="AS506" s="61"/>
      <c r="AT506" s="61"/>
      <c r="AU506" s="61"/>
      <c r="AV506" s="61"/>
      <c r="AW506" s="61"/>
      <c r="AX506" s="61"/>
      <c r="AY506" s="61"/>
    </row>
    <row r="507" customFormat="false" ht="15.75" hidden="false" customHeight="true" outlineLevel="0" collapsed="false">
      <c r="A507" s="60"/>
      <c r="B507" s="61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2"/>
      <c r="AM507" s="62"/>
      <c r="AN507" s="60"/>
      <c r="AO507" s="60"/>
      <c r="AP507" s="60"/>
      <c r="AQ507" s="60"/>
      <c r="AR507" s="61"/>
      <c r="AS507" s="61"/>
      <c r="AT507" s="61"/>
      <c r="AU507" s="61"/>
      <c r="AV507" s="61"/>
      <c r="AW507" s="61"/>
      <c r="AX507" s="61"/>
      <c r="AY507" s="61"/>
    </row>
    <row r="508" customFormat="false" ht="15.75" hidden="false" customHeight="true" outlineLevel="0" collapsed="false">
      <c r="A508" s="60"/>
      <c r="B508" s="61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2"/>
      <c r="AM508" s="62"/>
      <c r="AN508" s="60"/>
      <c r="AO508" s="60"/>
      <c r="AP508" s="60"/>
      <c r="AQ508" s="60"/>
      <c r="AR508" s="61"/>
      <c r="AS508" s="61"/>
      <c r="AT508" s="61"/>
      <c r="AU508" s="61"/>
      <c r="AV508" s="61"/>
      <c r="AW508" s="61"/>
      <c r="AX508" s="61"/>
      <c r="AY508" s="61"/>
    </row>
    <row r="509" customFormat="false" ht="15.75" hidden="false" customHeight="true" outlineLevel="0" collapsed="false">
      <c r="A509" s="60"/>
      <c r="B509" s="61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2"/>
      <c r="AM509" s="62"/>
      <c r="AN509" s="60"/>
      <c r="AO509" s="60"/>
      <c r="AP509" s="60"/>
      <c r="AQ509" s="60"/>
      <c r="AR509" s="61"/>
      <c r="AS509" s="61"/>
      <c r="AT509" s="61"/>
      <c r="AU509" s="61"/>
      <c r="AV509" s="61"/>
      <c r="AW509" s="61"/>
      <c r="AX509" s="61"/>
      <c r="AY509" s="61"/>
    </row>
    <row r="510" customFormat="false" ht="15.75" hidden="false" customHeight="true" outlineLevel="0" collapsed="false">
      <c r="A510" s="60"/>
      <c r="B510" s="61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2"/>
      <c r="AM510" s="62"/>
      <c r="AN510" s="60"/>
      <c r="AO510" s="60"/>
      <c r="AP510" s="60"/>
      <c r="AQ510" s="60"/>
      <c r="AR510" s="61"/>
      <c r="AS510" s="61"/>
      <c r="AT510" s="61"/>
      <c r="AU510" s="61"/>
      <c r="AV510" s="61"/>
      <c r="AW510" s="61"/>
      <c r="AX510" s="61"/>
      <c r="AY510" s="61"/>
    </row>
    <row r="511" customFormat="false" ht="15.75" hidden="false" customHeight="true" outlineLevel="0" collapsed="false">
      <c r="A511" s="60"/>
      <c r="B511" s="61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2"/>
      <c r="AM511" s="62"/>
      <c r="AN511" s="60"/>
      <c r="AO511" s="60"/>
      <c r="AP511" s="60"/>
      <c r="AQ511" s="60"/>
      <c r="AR511" s="61"/>
      <c r="AS511" s="61"/>
      <c r="AT511" s="61"/>
      <c r="AU511" s="61"/>
      <c r="AV511" s="61"/>
      <c r="AW511" s="61"/>
      <c r="AX511" s="61"/>
      <c r="AY511" s="61"/>
    </row>
    <row r="512" customFormat="false" ht="15.75" hidden="false" customHeight="true" outlineLevel="0" collapsed="false">
      <c r="A512" s="60"/>
      <c r="B512" s="61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2"/>
      <c r="AM512" s="62"/>
      <c r="AN512" s="60"/>
      <c r="AO512" s="60"/>
      <c r="AP512" s="60"/>
      <c r="AQ512" s="60"/>
      <c r="AR512" s="61"/>
      <c r="AS512" s="61"/>
      <c r="AT512" s="61"/>
      <c r="AU512" s="61"/>
      <c r="AV512" s="61"/>
      <c r="AW512" s="61"/>
      <c r="AX512" s="61"/>
      <c r="AY512" s="61"/>
    </row>
    <row r="513" customFormat="false" ht="15.75" hidden="false" customHeight="true" outlineLevel="0" collapsed="false">
      <c r="A513" s="60"/>
      <c r="B513" s="61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2"/>
      <c r="AM513" s="62"/>
      <c r="AN513" s="60"/>
      <c r="AO513" s="60"/>
      <c r="AP513" s="60"/>
      <c r="AQ513" s="60"/>
      <c r="AR513" s="61"/>
      <c r="AS513" s="61"/>
      <c r="AT513" s="61"/>
      <c r="AU513" s="61"/>
      <c r="AV513" s="61"/>
      <c r="AW513" s="61"/>
      <c r="AX513" s="61"/>
      <c r="AY513" s="61"/>
    </row>
    <row r="514" customFormat="false" ht="15.75" hidden="false" customHeight="true" outlineLevel="0" collapsed="false">
      <c r="A514" s="60"/>
      <c r="B514" s="61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2"/>
      <c r="AM514" s="62"/>
      <c r="AN514" s="60"/>
      <c r="AO514" s="60"/>
      <c r="AP514" s="60"/>
      <c r="AQ514" s="60"/>
      <c r="AR514" s="61"/>
      <c r="AS514" s="61"/>
      <c r="AT514" s="61"/>
      <c r="AU514" s="61"/>
      <c r="AV514" s="61"/>
      <c r="AW514" s="61"/>
      <c r="AX514" s="61"/>
      <c r="AY514" s="61"/>
    </row>
    <row r="515" customFormat="false" ht="15.75" hidden="false" customHeight="true" outlineLevel="0" collapsed="false">
      <c r="A515" s="60"/>
      <c r="B515" s="61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2"/>
      <c r="AM515" s="62"/>
      <c r="AN515" s="60"/>
      <c r="AO515" s="60"/>
      <c r="AP515" s="60"/>
      <c r="AQ515" s="60"/>
      <c r="AR515" s="61"/>
      <c r="AS515" s="61"/>
      <c r="AT515" s="61"/>
      <c r="AU515" s="61"/>
      <c r="AV515" s="61"/>
      <c r="AW515" s="61"/>
      <c r="AX515" s="61"/>
      <c r="AY515" s="61"/>
    </row>
    <row r="516" customFormat="false" ht="15.75" hidden="false" customHeight="true" outlineLevel="0" collapsed="false">
      <c r="A516" s="60"/>
      <c r="B516" s="61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2"/>
      <c r="AM516" s="62"/>
      <c r="AN516" s="60"/>
      <c r="AO516" s="60"/>
      <c r="AP516" s="60"/>
      <c r="AQ516" s="60"/>
      <c r="AR516" s="61"/>
      <c r="AS516" s="61"/>
      <c r="AT516" s="61"/>
      <c r="AU516" s="61"/>
      <c r="AV516" s="61"/>
      <c r="AW516" s="61"/>
      <c r="AX516" s="61"/>
      <c r="AY516" s="61"/>
    </row>
    <row r="517" customFormat="false" ht="15.75" hidden="false" customHeight="true" outlineLevel="0" collapsed="false">
      <c r="A517" s="60"/>
      <c r="B517" s="61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2"/>
      <c r="AM517" s="62"/>
      <c r="AN517" s="60"/>
      <c r="AO517" s="60"/>
      <c r="AP517" s="60"/>
      <c r="AQ517" s="60"/>
      <c r="AR517" s="61"/>
      <c r="AS517" s="61"/>
      <c r="AT517" s="61"/>
      <c r="AU517" s="61"/>
      <c r="AV517" s="61"/>
      <c r="AW517" s="61"/>
      <c r="AX517" s="61"/>
      <c r="AY517" s="61"/>
    </row>
    <row r="518" customFormat="false" ht="15.75" hidden="false" customHeight="true" outlineLevel="0" collapsed="false">
      <c r="A518" s="60"/>
      <c r="B518" s="61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2"/>
      <c r="AM518" s="62"/>
      <c r="AN518" s="60"/>
      <c r="AO518" s="60"/>
      <c r="AP518" s="60"/>
      <c r="AQ518" s="60"/>
      <c r="AR518" s="61"/>
      <c r="AS518" s="61"/>
      <c r="AT518" s="61"/>
      <c r="AU518" s="61"/>
      <c r="AV518" s="61"/>
      <c r="AW518" s="61"/>
      <c r="AX518" s="61"/>
      <c r="AY518" s="61"/>
    </row>
    <row r="519" customFormat="false" ht="15.75" hidden="false" customHeight="true" outlineLevel="0" collapsed="false">
      <c r="A519" s="60"/>
      <c r="B519" s="61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2"/>
      <c r="AM519" s="62"/>
      <c r="AN519" s="60"/>
      <c r="AO519" s="60"/>
      <c r="AP519" s="60"/>
      <c r="AQ519" s="60"/>
      <c r="AR519" s="61"/>
      <c r="AS519" s="61"/>
      <c r="AT519" s="61"/>
      <c r="AU519" s="61"/>
      <c r="AV519" s="61"/>
      <c r="AW519" s="61"/>
      <c r="AX519" s="61"/>
      <c r="AY519" s="61"/>
    </row>
    <row r="520" customFormat="false" ht="15.75" hidden="false" customHeight="true" outlineLevel="0" collapsed="false">
      <c r="A520" s="60"/>
      <c r="B520" s="61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2"/>
      <c r="AM520" s="62"/>
      <c r="AN520" s="60"/>
      <c r="AO520" s="60"/>
      <c r="AP520" s="60"/>
      <c r="AQ520" s="60"/>
      <c r="AR520" s="61"/>
      <c r="AS520" s="61"/>
      <c r="AT520" s="61"/>
      <c r="AU520" s="61"/>
      <c r="AV520" s="61"/>
      <c r="AW520" s="61"/>
      <c r="AX520" s="61"/>
      <c r="AY520" s="61"/>
    </row>
    <row r="521" customFormat="false" ht="15.75" hidden="false" customHeight="true" outlineLevel="0" collapsed="false">
      <c r="A521" s="60"/>
      <c r="B521" s="61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2"/>
      <c r="AM521" s="62"/>
      <c r="AN521" s="60"/>
      <c r="AO521" s="60"/>
      <c r="AP521" s="60"/>
      <c r="AQ521" s="60"/>
      <c r="AR521" s="61"/>
      <c r="AS521" s="61"/>
      <c r="AT521" s="61"/>
      <c r="AU521" s="61"/>
      <c r="AV521" s="61"/>
      <c r="AW521" s="61"/>
      <c r="AX521" s="61"/>
      <c r="AY521" s="61"/>
    </row>
    <row r="522" customFormat="false" ht="15.75" hidden="false" customHeight="true" outlineLevel="0" collapsed="false">
      <c r="A522" s="60"/>
      <c r="B522" s="61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2"/>
      <c r="AM522" s="62"/>
      <c r="AN522" s="60"/>
      <c r="AO522" s="60"/>
      <c r="AP522" s="60"/>
      <c r="AQ522" s="60"/>
      <c r="AR522" s="61"/>
      <c r="AS522" s="61"/>
      <c r="AT522" s="61"/>
      <c r="AU522" s="61"/>
      <c r="AV522" s="61"/>
      <c r="AW522" s="61"/>
      <c r="AX522" s="61"/>
      <c r="AY522" s="61"/>
    </row>
    <row r="523" customFormat="false" ht="15.75" hidden="false" customHeight="true" outlineLevel="0" collapsed="false">
      <c r="A523" s="60"/>
      <c r="B523" s="61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2"/>
      <c r="AM523" s="62"/>
      <c r="AN523" s="60"/>
      <c r="AO523" s="60"/>
      <c r="AP523" s="60"/>
      <c r="AQ523" s="60"/>
      <c r="AR523" s="61"/>
      <c r="AS523" s="61"/>
      <c r="AT523" s="61"/>
      <c r="AU523" s="61"/>
      <c r="AV523" s="61"/>
      <c r="AW523" s="61"/>
      <c r="AX523" s="61"/>
      <c r="AY523" s="61"/>
    </row>
    <row r="524" customFormat="false" ht="15.75" hidden="false" customHeight="true" outlineLevel="0" collapsed="false">
      <c r="A524" s="60"/>
      <c r="B524" s="61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2"/>
      <c r="AM524" s="62"/>
      <c r="AN524" s="60"/>
      <c r="AO524" s="60"/>
      <c r="AP524" s="60"/>
      <c r="AQ524" s="60"/>
      <c r="AR524" s="61"/>
      <c r="AS524" s="61"/>
      <c r="AT524" s="61"/>
      <c r="AU524" s="61"/>
      <c r="AV524" s="61"/>
      <c r="AW524" s="61"/>
      <c r="AX524" s="61"/>
      <c r="AY524" s="61"/>
    </row>
    <row r="525" customFormat="false" ht="15.75" hidden="false" customHeight="true" outlineLevel="0" collapsed="false">
      <c r="A525" s="60"/>
      <c r="B525" s="61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2"/>
      <c r="AM525" s="62"/>
      <c r="AN525" s="60"/>
      <c r="AO525" s="60"/>
      <c r="AP525" s="60"/>
      <c r="AQ525" s="60"/>
      <c r="AR525" s="61"/>
      <c r="AS525" s="61"/>
      <c r="AT525" s="61"/>
      <c r="AU525" s="61"/>
      <c r="AV525" s="61"/>
      <c r="AW525" s="61"/>
      <c r="AX525" s="61"/>
      <c r="AY525" s="61"/>
    </row>
    <row r="526" customFormat="false" ht="15.75" hidden="false" customHeight="true" outlineLevel="0" collapsed="false">
      <c r="A526" s="60"/>
      <c r="B526" s="61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2"/>
      <c r="AM526" s="62"/>
      <c r="AN526" s="60"/>
      <c r="AO526" s="60"/>
      <c r="AP526" s="60"/>
      <c r="AQ526" s="60"/>
      <c r="AR526" s="61"/>
      <c r="AS526" s="61"/>
      <c r="AT526" s="61"/>
      <c r="AU526" s="61"/>
      <c r="AV526" s="61"/>
      <c r="AW526" s="61"/>
      <c r="AX526" s="61"/>
      <c r="AY526" s="61"/>
    </row>
    <row r="527" customFormat="false" ht="15.75" hidden="false" customHeight="true" outlineLevel="0" collapsed="false">
      <c r="A527" s="60"/>
      <c r="B527" s="61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2"/>
      <c r="AM527" s="62"/>
      <c r="AN527" s="60"/>
      <c r="AO527" s="60"/>
      <c r="AP527" s="60"/>
      <c r="AQ527" s="60"/>
      <c r="AR527" s="61"/>
      <c r="AS527" s="61"/>
      <c r="AT527" s="61"/>
      <c r="AU527" s="61"/>
      <c r="AV527" s="61"/>
      <c r="AW527" s="61"/>
      <c r="AX527" s="61"/>
      <c r="AY527" s="61"/>
    </row>
    <row r="528" customFormat="false" ht="15.75" hidden="false" customHeight="true" outlineLevel="0" collapsed="false">
      <c r="A528" s="60"/>
      <c r="B528" s="61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2"/>
      <c r="AM528" s="62"/>
      <c r="AN528" s="60"/>
      <c r="AO528" s="60"/>
      <c r="AP528" s="60"/>
      <c r="AQ528" s="60"/>
      <c r="AR528" s="61"/>
      <c r="AS528" s="61"/>
      <c r="AT528" s="61"/>
      <c r="AU528" s="61"/>
      <c r="AV528" s="61"/>
      <c r="AW528" s="61"/>
      <c r="AX528" s="61"/>
      <c r="AY528" s="61"/>
    </row>
    <row r="529" customFormat="false" ht="15.75" hidden="false" customHeight="true" outlineLevel="0" collapsed="false">
      <c r="A529" s="60"/>
      <c r="B529" s="61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2"/>
      <c r="AM529" s="62"/>
      <c r="AN529" s="60"/>
      <c r="AO529" s="60"/>
      <c r="AP529" s="60"/>
      <c r="AQ529" s="60"/>
      <c r="AR529" s="61"/>
      <c r="AS529" s="61"/>
      <c r="AT529" s="61"/>
      <c r="AU529" s="61"/>
      <c r="AV529" s="61"/>
      <c r="AW529" s="61"/>
      <c r="AX529" s="61"/>
      <c r="AY529" s="61"/>
    </row>
    <row r="530" customFormat="false" ht="15.75" hidden="false" customHeight="true" outlineLevel="0" collapsed="false">
      <c r="A530" s="60"/>
      <c r="B530" s="61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2"/>
      <c r="AM530" s="62"/>
      <c r="AN530" s="60"/>
      <c r="AO530" s="60"/>
      <c r="AP530" s="60"/>
      <c r="AQ530" s="60"/>
      <c r="AR530" s="61"/>
      <c r="AS530" s="61"/>
      <c r="AT530" s="61"/>
      <c r="AU530" s="61"/>
      <c r="AV530" s="61"/>
      <c r="AW530" s="61"/>
      <c r="AX530" s="61"/>
      <c r="AY530" s="61"/>
    </row>
    <row r="531" customFormat="false" ht="15.75" hidden="false" customHeight="true" outlineLevel="0" collapsed="false">
      <c r="A531" s="60"/>
      <c r="B531" s="61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2"/>
      <c r="AM531" s="62"/>
      <c r="AN531" s="60"/>
      <c r="AO531" s="60"/>
      <c r="AP531" s="60"/>
      <c r="AQ531" s="60"/>
      <c r="AR531" s="61"/>
      <c r="AS531" s="61"/>
      <c r="AT531" s="61"/>
      <c r="AU531" s="61"/>
      <c r="AV531" s="61"/>
      <c r="AW531" s="61"/>
      <c r="AX531" s="61"/>
      <c r="AY531" s="61"/>
    </row>
    <row r="532" customFormat="false" ht="15.75" hidden="false" customHeight="true" outlineLevel="0" collapsed="false">
      <c r="A532" s="60"/>
      <c r="B532" s="61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2"/>
      <c r="AM532" s="62"/>
      <c r="AN532" s="60"/>
      <c r="AO532" s="60"/>
      <c r="AP532" s="60"/>
      <c r="AQ532" s="60"/>
      <c r="AR532" s="61"/>
      <c r="AS532" s="61"/>
      <c r="AT532" s="61"/>
      <c r="AU532" s="61"/>
      <c r="AV532" s="61"/>
      <c r="AW532" s="61"/>
      <c r="AX532" s="61"/>
      <c r="AY532" s="61"/>
    </row>
    <row r="533" customFormat="false" ht="15.75" hidden="false" customHeight="true" outlineLevel="0" collapsed="false">
      <c r="A533" s="60"/>
      <c r="B533" s="61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2"/>
      <c r="AM533" s="62"/>
      <c r="AN533" s="60"/>
      <c r="AO533" s="60"/>
      <c r="AP533" s="60"/>
      <c r="AQ533" s="60"/>
      <c r="AR533" s="61"/>
      <c r="AS533" s="61"/>
      <c r="AT533" s="61"/>
      <c r="AU533" s="61"/>
      <c r="AV533" s="61"/>
      <c r="AW533" s="61"/>
      <c r="AX533" s="61"/>
      <c r="AY533" s="61"/>
    </row>
    <row r="534" customFormat="false" ht="15.75" hidden="false" customHeight="true" outlineLevel="0" collapsed="false">
      <c r="A534" s="60"/>
      <c r="B534" s="61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2"/>
      <c r="AM534" s="62"/>
      <c r="AN534" s="60"/>
      <c r="AO534" s="60"/>
      <c r="AP534" s="60"/>
      <c r="AQ534" s="60"/>
      <c r="AR534" s="61"/>
      <c r="AS534" s="61"/>
      <c r="AT534" s="61"/>
      <c r="AU534" s="61"/>
      <c r="AV534" s="61"/>
      <c r="AW534" s="61"/>
      <c r="AX534" s="61"/>
      <c r="AY534" s="61"/>
    </row>
    <row r="535" customFormat="false" ht="15.75" hidden="false" customHeight="true" outlineLevel="0" collapsed="false">
      <c r="A535" s="60"/>
      <c r="B535" s="61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2"/>
      <c r="AM535" s="62"/>
      <c r="AN535" s="60"/>
      <c r="AO535" s="60"/>
      <c r="AP535" s="60"/>
      <c r="AQ535" s="60"/>
      <c r="AR535" s="61"/>
      <c r="AS535" s="61"/>
      <c r="AT535" s="61"/>
      <c r="AU535" s="61"/>
      <c r="AV535" s="61"/>
      <c r="AW535" s="61"/>
      <c r="AX535" s="61"/>
      <c r="AY535" s="61"/>
    </row>
    <row r="536" customFormat="false" ht="15.75" hidden="false" customHeight="true" outlineLevel="0" collapsed="false">
      <c r="A536" s="60"/>
      <c r="B536" s="61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2"/>
      <c r="AM536" s="62"/>
      <c r="AN536" s="60"/>
      <c r="AO536" s="60"/>
      <c r="AP536" s="60"/>
      <c r="AQ536" s="60"/>
      <c r="AR536" s="61"/>
      <c r="AS536" s="61"/>
      <c r="AT536" s="61"/>
      <c r="AU536" s="61"/>
      <c r="AV536" s="61"/>
      <c r="AW536" s="61"/>
      <c r="AX536" s="61"/>
      <c r="AY536" s="61"/>
    </row>
    <row r="537" customFormat="false" ht="15.75" hidden="false" customHeight="true" outlineLevel="0" collapsed="false">
      <c r="A537" s="60"/>
      <c r="B537" s="61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2"/>
      <c r="AM537" s="62"/>
      <c r="AN537" s="60"/>
      <c r="AO537" s="60"/>
      <c r="AP537" s="60"/>
      <c r="AQ537" s="60"/>
      <c r="AR537" s="61"/>
      <c r="AS537" s="61"/>
      <c r="AT537" s="61"/>
      <c r="AU537" s="61"/>
      <c r="AV537" s="61"/>
      <c r="AW537" s="61"/>
      <c r="AX537" s="61"/>
      <c r="AY537" s="61"/>
    </row>
    <row r="538" customFormat="false" ht="15.75" hidden="false" customHeight="true" outlineLevel="0" collapsed="false">
      <c r="A538" s="60"/>
      <c r="B538" s="61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2"/>
      <c r="AM538" s="62"/>
      <c r="AN538" s="60"/>
      <c r="AO538" s="60"/>
      <c r="AP538" s="60"/>
      <c r="AQ538" s="60"/>
      <c r="AR538" s="61"/>
      <c r="AS538" s="61"/>
      <c r="AT538" s="61"/>
      <c r="AU538" s="61"/>
      <c r="AV538" s="61"/>
      <c r="AW538" s="61"/>
      <c r="AX538" s="61"/>
      <c r="AY538" s="61"/>
    </row>
    <row r="539" customFormat="false" ht="15.75" hidden="false" customHeight="true" outlineLevel="0" collapsed="false">
      <c r="A539" s="60"/>
      <c r="B539" s="61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2"/>
      <c r="AM539" s="62"/>
      <c r="AN539" s="60"/>
      <c r="AO539" s="60"/>
      <c r="AP539" s="60"/>
      <c r="AQ539" s="60"/>
      <c r="AR539" s="61"/>
      <c r="AS539" s="61"/>
      <c r="AT539" s="61"/>
      <c r="AU539" s="61"/>
      <c r="AV539" s="61"/>
      <c r="AW539" s="61"/>
      <c r="AX539" s="61"/>
      <c r="AY539" s="61"/>
    </row>
    <row r="540" customFormat="false" ht="15.75" hidden="false" customHeight="true" outlineLevel="0" collapsed="false">
      <c r="A540" s="60"/>
      <c r="B540" s="61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2"/>
      <c r="AM540" s="62"/>
      <c r="AN540" s="60"/>
      <c r="AO540" s="60"/>
      <c r="AP540" s="60"/>
      <c r="AQ540" s="60"/>
      <c r="AR540" s="61"/>
      <c r="AS540" s="61"/>
      <c r="AT540" s="61"/>
      <c r="AU540" s="61"/>
      <c r="AV540" s="61"/>
      <c r="AW540" s="61"/>
      <c r="AX540" s="61"/>
      <c r="AY540" s="61"/>
    </row>
    <row r="541" customFormat="false" ht="15.75" hidden="false" customHeight="true" outlineLevel="0" collapsed="false">
      <c r="A541" s="60"/>
      <c r="B541" s="61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2"/>
      <c r="AM541" s="62"/>
      <c r="AN541" s="60"/>
      <c r="AO541" s="60"/>
      <c r="AP541" s="60"/>
      <c r="AQ541" s="60"/>
      <c r="AR541" s="61"/>
      <c r="AS541" s="61"/>
      <c r="AT541" s="61"/>
      <c r="AU541" s="61"/>
      <c r="AV541" s="61"/>
      <c r="AW541" s="61"/>
      <c r="AX541" s="61"/>
      <c r="AY541" s="61"/>
    </row>
    <row r="542" customFormat="false" ht="15.75" hidden="false" customHeight="true" outlineLevel="0" collapsed="false">
      <c r="A542" s="60"/>
      <c r="B542" s="61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2"/>
      <c r="AM542" s="62"/>
      <c r="AN542" s="60"/>
      <c r="AO542" s="60"/>
      <c r="AP542" s="60"/>
      <c r="AQ542" s="60"/>
      <c r="AR542" s="61"/>
      <c r="AS542" s="61"/>
      <c r="AT542" s="61"/>
      <c r="AU542" s="61"/>
      <c r="AV542" s="61"/>
      <c r="AW542" s="61"/>
      <c r="AX542" s="61"/>
      <c r="AY542" s="61"/>
    </row>
    <row r="543" customFormat="false" ht="15.75" hidden="false" customHeight="true" outlineLevel="0" collapsed="false">
      <c r="A543" s="60"/>
      <c r="B543" s="61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2"/>
      <c r="AM543" s="62"/>
      <c r="AN543" s="60"/>
      <c r="AO543" s="60"/>
      <c r="AP543" s="60"/>
      <c r="AQ543" s="60"/>
      <c r="AR543" s="61"/>
      <c r="AS543" s="61"/>
      <c r="AT543" s="61"/>
      <c r="AU543" s="61"/>
      <c r="AV543" s="61"/>
      <c r="AW543" s="61"/>
      <c r="AX543" s="61"/>
      <c r="AY543" s="61"/>
    </row>
    <row r="544" customFormat="false" ht="15.75" hidden="false" customHeight="true" outlineLevel="0" collapsed="false">
      <c r="A544" s="60"/>
      <c r="B544" s="61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2"/>
      <c r="AM544" s="62"/>
      <c r="AN544" s="60"/>
      <c r="AO544" s="60"/>
      <c r="AP544" s="60"/>
      <c r="AQ544" s="60"/>
      <c r="AR544" s="61"/>
      <c r="AS544" s="61"/>
      <c r="AT544" s="61"/>
      <c r="AU544" s="61"/>
      <c r="AV544" s="61"/>
      <c r="AW544" s="61"/>
      <c r="AX544" s="61"/>
      <c r="AY544" s="61"/>
    </row>
    <row r="545" customFormat="false" ht="15.75" hidden="false" customHeight="true" outlineLevel="0" collapsed="false">
      <c r="A545" s="60"/>
      <c r="B545" s="61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2"/>
      <c r="AM545" s="62"/>
      <c r="AN545" s="60"/>
      <c r="AO545" s="60"/>
      <c r="AP545" s="60"/>
      <c r="AQ545" s="60"/>
      <c r="AR545" s="61"/>
      <c r="AS545" s="61"/>
      <c r="AT545" s="61"/>
      <c r="AU545" s="61"/>
      <c r="AV545" s="61"/>
      <c r="AW545" s="61"/>
      <c r="AX545" s="61"/>
      <c r="AY545" s="61"/>
    </row>
    <row r="546" customFormat="false" ht="15.75" hidden="false" customHeight="true" outlineLevel="0" collapsed="false">
      <c r="A546" s="60"/>
      <c r="B546" s="61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2"/>
      <c r="AM546" s="62"/>
      <c r="AN546" s="60"/>
      <c r="AO546" s="60"/>
      <c r="AP546" s="60"/>
      <c r="AQ546" s="60"/>
      <c r="AR546" s="61"/>
      <c r="AS546" s="61"/>
      <c r="AT546" s="61"/>
      <c r="AU546" s="61"/>
      <c r="AV546" s="61"/>
      <c r="AW546" s="61"/>
      <c r="AX546" s="61"/>
      <c r="AY546" s="61"/>
    </row>
    <row r="547" customFormat="false" ht="15.75" hidden="false" customHeight="true" outlineLevel="0" collapsed="false">
      <c r="A547" s="60"/>
      <c r="B547" s="61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2"/>
      <c r="AM547" s="62"/>
      <c r="AN547" s="60"/>
      <c r="AO547" s="60"/>
      <c r="AP547" s="60"/>
      <c r="AQ547" s="60"/>
      <c r="AR547" s="61"/>
      <c r="AS547" s="61"/>
      <c r="AT547" s="61"/>
      <c r="AU547" s="61"/>
      <c r="AV547" s="61"/>
      <c r="AW547" s="61"/>
      <c r="AX547" s="61"/>
      <c r="AY547" s="61"/>
    </row>
    <row r="548" customFormat="false" ht="15.75" hidden="false" customHeight="true" outlineLevel="0" collapsed="false">
      <c r="A548" s="60"/>
      <c r="B548" s="61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2"/>
      <c r="AM548" s="62"/>
      <c r="AN548" s="60"/>
      <c r="AO548" s="60"/>
      <c r="AP548" s="60"/>
      <c r="AQ548" s="60"/>
      <c r="AR548" s="61"/>
      <c r="AS548" s="61"/>
      <c r="AT548" s="61"/>
      <c r="AU548" s="61"/>
      <c r="AV548" s="61"/>
      <c r="AW548" s="61"/>
      <c r="AX548" s="61"/>
      <c r="AY548" s="61"/>
    </row>
    <row r="549" customFormat="false" ht="15.75" hidden="false" customHeight="true" outlineLevel="0" collapsed="false">
      <c r="A549" s="60"/>
      <c r="B549" s="61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2"/>
      <c r="AM549" s="62"/>
      <c r="AN549" s="60"/>
      <c r="AO549" s="60"/>
      <c r="AP549" s="60"/>
      <c r="AQ549" s="60"/>
      <c r="AR549" s="61"/>
      <c r="AS549" s="61"/>
      <c r="AT549" s="61"/>
      <c r="AU549" s="61"/>
      <c r="AV549" s="61"/>
      <c r="AW549" s="61"/>
      <c r="AX549" s="61"/>
      <c r="AY549" s="61"/>
    </row>
    <row r="550" customFormat="false" ht="15.75" hidden="false" customHeight="true" outlineLevel="0" collapsed="false">
      <c r="A550" s="60"/>
      <c r="B550" s="61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2"/>
      <c r="AM550" s="62"/>
      <c r="AN550" s="60"/>
      <c r="AO550" s="60"/>
      <c r="AP550" s="60"/>
      <c r="AQ550" s="60"/>
      <c r="AR550" s="61"/>
      <c r="AS550" s="61"/>
      <c r="AT550" s="61"/>
      <c r="AU550" s="61"/>
      <c r="AV550" s="61"/>
      <c r="AW550" s="61"/>
      <c r="AX550" s="61"/>
      <c r="AY550" s="61"/>
    </row>
    <row r="551" customFormat="false" ht="15.75" hidden="false" customHeight="true" outlineLevel="0" collapsed="false">
      <c r="A551" s="60"/>
      <c r="B551" s="61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2"/>
      <c r="AM551" s="62"/>
      <c r="AN551" s="60"/>
      <c r="AO551" s="60"/>
      <c r="AP551" s="60"/>
      <c r="AQ551" s="60"/>
      <c r="AR551" s="61"/>
      <c r="AS551" s="61"/>
      <c r="AT551" s="61"/>
      <c r="AU551" s="61"/>
      <c r="AV551" s="61"/>
      <c r="AW551" s="61"/>
      <c r="AX551" s="61"/>
      <c r="AY551" s="61"/>
    </row>
    <row r="552" customFormat="false" ht="15.75" hidden="false" customHeight="true" outlineLevel="0" collapsed="false">
      <c r="A552" s="60"/>
      <c r="B552" s="61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2"/>
      <c r="AM552" s="62"/>
      <c r="AN552" s="60"/>
      <c r="AO552" s="60"/>
      <c r="AP552" s="60"/>
      <c r="AQ552" s="60"/>
      <c r="AR552" s="61"/>
      <c r="AS552" s="61"/>
      <c r="AT552" s="61"/>
      <c r="AU552" s="61"/>
      <c r="AV552" s="61"/>
      <c r="AW552" s="61"/>
      <c r="AX552" s="61"/>
      <c r="AY552" s="61"/>
    </row>
    <row r="553" customFormat="false" ht="15.75" hidden="false" customHeight="true" outlineLevel="0" collapsed="false">
      <c r="A553" s="60"/>
      <c r="B553" s="61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2"/>
      <c r="AM553" s="62"/>
      <c r="AN553" s="60"/>
      <c r="AO553" s="60"/>
      <c r="AP553" s="60"/>
      <c r="AQ553" s="60"/>
      <c r="AR553" s="61"/>
      <c r="AS553" s="61"/>
      <c r="AT553" s="61"/>
      <c r="AU553" s="61"/>
      <c r="AV553" s="61"/>
      <c r="AW553" s="61"/>
      <c r="AX553" s="61"/>
      <c r="AY553" s="61"/>
    </row>
    <row r="554" customFormat="false" ht="15.75" hidden="false" customHeight="true" outlineLevel="0" collapsed="false">
      <c r="A554" s="60"/>
      <c r="B554" s="61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2"/>
      <c r="AM554" s="62"/>
      <c r="AN554" s="60"/>
      <c r="AO554" s="60"/>
      <c r="AP554" s="60"/>
      <c r="AQ554" s="60"/>
      <c r="AR554" s="61"/>
      <c r="AS554" s="61"/>
      <c r="AT554" s="61"/>
      <c r="AU554" s="61"/>
      <c r="AV554" s="61"/>
      <c r="AW554" s="61"/>
      <c r="AX554" s="61"/>
      <c r="AY554" s="61"/>
    </row>
    <row r="555" customFormat="false" ht="15.75" hidden="false" customHeight="true" outlineLevel="0" collapsed="false">
      <c r="A555" s="60"/>
      <c r="B555" s="61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2"/>
      <c r="AM555" s="62"/>
      <c r="AN555" s="60"/>
      <c r="AO555" s="60"/>
      <c r="AP555" s="60"/>
      <c r="AQ555" s="60"/>
      <c r="AR555" s="61"/>
      <c r="AS555" s="61"/>
      <c r="AT555" s="61"/>
      <c r="AU555" s="61"/>
      <c r="AV555" s="61"/>
      <c r="AW555" s="61"/>
      <c r="AX555" s="61"/>
      <c r="AY555" s="61"/>
    </row>
    <row r="556" customFormat="false" ht="15.75" hidden="false" customHeight="true" outlineLevel="0" collapsed="false">
      <c r="A556" s="60"/>
      <c r="B556" s="61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2"/>
      <c r="AM556" s="62"/>
      <c r="AN556" s="60"/>
      <c r="AO556" s="60"/>
      <c r="AP556" s="60"/>
      <c r="AQ556" s="60"/>
      <c r="AR556" s="61"/>
      <c r="AS556" s="61"/>
      <c r="AT556" s="61"/>
      <c r="AU556" s="61"/>
      <c r="AV556" s="61"/>
      <c r="AW556" s="61"/>
      <c r="AX556" s="61"/>
      <c r="AY556" s="61"/>
    </row>
    <row r="557" customFormat="false" ht="15.75" hidden="false" customHeight="true" outlineLevel="0" collapsed="false">
      <c r="A557" s="60"/>
      <c r="B557" s="61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2"/>
      <c r="AM557" s="62"/>
      <c r="AN557" s="60"/>
      <c r="AO557" s="60"/>
      <c r="AP557" s="60"/>
      <c r="AQ557" s="60"/>
      <c r="AR557" s="61"/>
      <c r="AS557" s="61"/>
      <c r="AT557" s="61"/>
      <c r="AU557" s="61"/>
      <c r="AV557" s="61"/>
      <c r="AW557" s="61"/>
      <c r="AX557" s="61"/>
      <c r="AY557" s="61"/>
    </row>
    <row r="558" customFormat="false" ht="15.75" hidden="false" customHeight="true" outlineLevel="0" collapsed="false">
      <c r="A558" s="60"/>
      <c r="B558" s="61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2"/>
      <c r="AM558" s="62"/>
      <c r="AN558" s="60"/>
      <c r="AO558" s="60"/>
      <c r="AP558" s="60"/>
      <c r="AQ558" s="60"/>
      <c r="AR558" s="61"/>
      <c r="AS558" s="61"/>
      <c r="AT558" s="61"/>
      <c r="AU558" s="61"/>
      <c r="AV558" s="61"/>
      <c r="AW558" s="61"/>
      <c r="AX558" s="61"/>
      <c r="AY558" s="61"/>
    </row>
    <row r="559" customFormat="false" ht="15.75" hidden="false" customHeight="true" outlineLevel="0" collapsed="false">
      <c r="A559" s="60"/>
      <c r="B559" s="61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2"/>
      <c r="AM559" s="62"/>
      <c r="AN559" s="60"/>
      <c r="AO559" s="60"/>
      <c r="AP559" s="60"/>
      <c r="AQ559" s="60"/>
      <c r="AR559" s="61"/>
      <c r="AS559" s="61"/>
      <c r="AT559" s="61"/>
      <c r="AU559" s="61"/>
      <c r="AV559" s="61"/>
      <c r="AW559" s="61"/>
      <c r="AX559" s="61"/>
      <c r="AY559" s="61"/>
    </row>
    <row r="560" customFormat="false" ht="15.75" hidden="false" customHeight="true" outlineLevel="0" collapsed="false">
      <c r="A560" s="60"/>
      <c r="B560" s="61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2"/>
      <c r="AM560" s="62"/>
      <c r="AN560" s="60"/>
      <c r="AO560" s="60"/>
      <c r="AP560" s="60"/>
      <c r="AQ560" s="60"/>
      <c r="AR560" s="61"/>
      <c r="AS560" s="61"/>
      <c r="AT560" s="61"/>
      <c r="AU560" s="61"/>
      <c r="AV560" s="61"/>
      <c r="AW560" s="61"/>
      <c r="AX560" s="61"/>
      <c r="AY560" s="61"/>
    </row>
    <row r="561" customFormat="false" ht="15.75" hidden="false" customHeight="true" outlineLevel="0" collapsed="false">
      <c r="A561" s="60"/>
      <c r="B561" s="61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2"/>
      <c r="AM561" s="62"/>
      <c r="AN561" s="60"/>
      <c r="AO561" s="60"/>
      <c r="AP561" s="60"/>
      <c r="AQ561" s="60"/>
      <c r="AR561" s="61"/>
      <c r="AS561" s="61"/>
      <c r="AT561" s="61"/>
      <c r="AU561" s="61"/>
      <c r="AV561" s="61"/>
      <c r="AW561" s="61"/>
      <c r="AX561" s="61"/>
      <c r="AY561" s="61"/>
    </row>
    <row r="562" customFormat="false" ht="15.75" hidden="false" customHeight="true" outlineLevel="0" collapsed="false">
      <c r="A562" s="60"/>
      <c r="B562" s="61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2"/>
      <c r="AM562" s="62"/>
      <c r="AN562" s="60"/>
      <c r="AO562" s="60"/>
      <c r="AP562" s="60"/>
      <c r="AQ562" s="60"/>
      <c r="AR562" s="61"/>
      <c r="AS562" s="61"/>
      <c r="AT562" s="61"/>
      <c r="AU562" s="61"/>
      <c r="AV562" s="61"/>
      <c r="AW562" s="61"/>
      <c r="AX562" s="61"/>
      <c r="AY562" s="61"/>
    </row>
    <row r="563" customFormat="false" ht="15.75" hidden="false" customHeight="true" outlineLevel="0" collapsed="false">
      <c r="A563" s="60"/>
      <c r="B563" s="61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2"/>
      <c r="AM563" s="62"/>
      <c r="AN563" s="60"/>
      <c r="AO563" s="60"/>
      <c r="AP563" s="60"/>
      <c r="AQ563" s="60"/>
      <c r="AR563" s="61"/>
      <c r="AS563" s="61"/>
      <c r="AT563" s="61"/>
      <c r="AU563" s="61"/>
      <c r="AV563" s="61"/>
      <c r="AW563" s="61"/>
      <c r="AX563" s="61"/>
      <c r="AY563" s="61"/>
    </row>
    <row r="564" customFormat="false" ht="15.75" hidden="false" customHeight="true" outlineLevel="0" collapsed="false">
      <c r="A564" s="60"/>
      <c r="B564" s="61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2"/>
      <c r="AM564" s="62"/>
      <c r="AN564" s="60"/>
      <c r="AO564" s="60"/>
      <c r="AP564" s="60"/>
      <c r="AQ564" s="60"/>
      <c r="AR564" s="61"/>
      <c r="AS564" s="61"/>
      <c r="AT564" s="61"/>
      <c r="AU564" s="61"/>
      <c r="AV564" s="61"/>
      <c r="AW564" s="61"/>
      <c r="AX564" s="61"/>
      <c r="AY564" s="61"/>
    </row>
    <row r="565" customFormat="false" ht="15.75" hidden="false" customHeight="true" outlineLevel="0" collapsed="false">
      <c r="A565" s="60"/>
      <c r="B565" s="61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2"/>
      <c r="AM565" s="62"/>
      <c r="AN565" s="60"/>
      <c r="AO565" s="60"/>
      <c r="AP565" s="60"/>
      <c r="AQ565" s="60"/>
      <c r="AR565" s="61"/>
      <c r="AS565" s="61"/>
      <c r="AT565" s="61"/>
      <c r="AU565" s="61"/>
      <c r="AV565" s="61"/>
      <c r="AW565" s="61"/>
      <c r="AX565" s="61"/>
      <c r="AY565" s="61"/>
    </row>
    <row r="566" customFormat="false" ht="15.75" hidden="false" customHeight="true" outlineLevel="0" collapsed="false">
      <c r="A566" s="60"/>
      <c r="B566" s="61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2"/>
      <c r="AM566" s="62"/>
      <c r="AN566" s="60"/>
      <c r="AO566" s="60"/>
      <c r="AP566" s="60"/>
      <c r="AQ566" s="60"/>
      <c r="AR566" s="61"/>
      <c r="AS566" s="61"/>
      <c r="AT566" s="61"/>
      <c r="AU566" s="61"/>
      <c r="AV566" s="61"/>
      <c r="AW566" s="61"/>
      <c r="AX566" s="61"/>
      <c r="AY566" s="61"/>
    </row>
    <row r="567" customFormat="false" ht="15.75" hidden="false" customHeight="true" outlineLevel="0" collapsed="false">
      <c r="A567" s="60"/>
      <c r="B567" s="61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2"/>
      <c r="AM567" s="62"/>
      <c r="AN567" s="60"/>
      <c r="AO567" s="60"/>
      <c r="AP567" s="60"/>
      <c r="AQ567" s="60"/>
      <c r="AR567" s="61"/>
      <c r="AS567" s="61"/>
      <c r="AT567" s="61"/>
      <c r="AU567" s="61"/>
      <c r="AV567" s="61"/>
      <c r="AW567" s="61"/>
      <c r="AX567" s="61"/>
      <c r="AY567" s="61"/>
    </row>
    <row r="568" customFormat="false" ht="15.75" hidden="false" customHeight="true" outlineLevel="0" collapsed="false">
      <c r="A568" s="60"/>
      <c r="B568" s="61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2"/>
      <c r="AM568" s="62"/>
      <c r="AN568" s="60"/>
      <c r="AO568" s="60"/>
      <c r="AP568" s="60"/>
      <c r="AQ568" s="60"/>
      <c r="AR568" s="61"/>
      <c r="AS568" s="61"/>
      <c r="AT568" s="61"/>
      <c r="AU568" s="61"/>
      <c r="AV568" s="61"/>
      <c r="AW568" s="61"/>
      <c r="AX568" s="61"/>
      <c r="AY568" s="61"/>
    </row>
    <row r="569" customFormat="false" ht="15.75" hidden="false" customHeight="true" outlineLevel="0" collapsed="false">
      <c r="A569" s="60"/>
      <c r="B569" s="61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2"/>
      <c r="AM569" s="62"/>
      <c r="AN569" s="60"/>
      <c r="AO569" s="60"/>
      <c r="AP569" s="60"/>
      <c r="AQ569" s="60"/>
      <c r="AR569" s="61"/>
      <c r="AS569" s="61"/>
      <c r="AT569" s="61"/>
      <c r="AU569" s="61"/>
      <c r="AV569" s="61"/>
      <c r="AW569" s="61"/>
      <c r="AX569" s="61"/>
      <c r="AY569" s="61"/>
    </row>
    <row r="570" customFormat="false" ht="15.75" hidden="false" customHeight="true" outlineLevel="0" collapsed="false">
      <c r="A570" s="60"/>
      <c r="B570" s="61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2"/>
      <c r="AM570" s="62"/>
      <c r="AN570" s="60"/>
      <c r="AO570" s="60"/>
      <c r="AP570" s="60"/>
      <c r="AQ570" s="60"/>
      <c r="AR570" s="61"/>
      <c r="AS570" s="61"/>
      <c r="AT570" s="61"/>
      <c r="AU570" s="61"/>
      <c r="AV570" s="61"/>
      <c r="AW570" s="61"/>
      <c r="AX570" s="61"/>
      <c r="AY570" s="61"/>
    </row>
    <row r="571" customFormat="false" ht="15.75" hidden="false" customHeight="true" outlineLevel="0" collapsed="false">
      <c r="A571" s="60"/>
      <c r="B571" s="61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2"/>
      <c r="AM571" s="62"/>
      <c r="AN571" s="60"/>
      <c r="AO571" s="60"/>
      <c r="AP571" s="60"/>
      <c r="AQ571" s="60"/>
      <c r="AR571" s="61"/>
      <c r="AS571" s="61"/>
      <c r="AT571" s="61"/>
      <c r="AU571" s="61"/>
      <c r="AV571" s="61"/>
      <c r="AW571" s="61"/>
      <c r="AX571" s="61"/>
      <c r="AY571" s="61"/>
    </row>
    <row r="572" customFormat="false" ht="15.75" hidden="false" customHeight="true" outlineLevel="0" collapsed="false">
      <c r="A572" s="60"/>
      <c r="B572" s="61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2"/>
      <c r="AM572" s="62"/>
      <c r="AN572" s="60"/>
      <c r="AO572" s="60"/>
      <c r="AP572" s="60"/>
      <c r="AQ572" s="60"/>
      <c r="AR572" s="61"/>
      <c r="AS572" s="61"/>
      <c r="AT572" s="61"/>
      <c r="AU572" s="61"/>
      <c r="AV572" s="61"/>
      <c r="AW572" s="61"/>
      <c r="AX572" s="61"/>
      <c r="AY572" s="61"/>
    </row>
    <row r="573" customFormat="false" ht="15.75" hidden="false" customHeight="true" outlineLevel="0" collapsed="false">
      <c r="A573" s="60"/>
      <c r="B573" s="61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2"/>
      <c r="AM573" s="62"/>
      <c r="AN573" s="60"/>
      <c r="AO573" s="60"/>
      <c r="AP573" s="60"/>
      <c r="AQ573" s="60"/>
      <c r="AR573" s="61"/>
      <c r="AS573" s="61"/>
      <c r="AT573" s="61"/>
      <c r="AU573" s="61"/>
      <c r="AV573" s="61"/>
      <c r="AW573" s="61"/>
      <c r="AX573" s="61"/>
      <c r="AY573" s="61"/>
    </row>
    <row r="574" customFormat="false" ht="15.75" hidden="false" customHeight="true" outlineLevel="0" collapsed="false">
      <c r="A574" s="60"/>
      <c r="B574" s="61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2"/>
      <c r="AM574" s="62"/>
      <c r="AN574" s="60"/>
      <c r="AO574" s="60"/>
      <c r="AP574" s="60"/>
      <c r="AQ574" s="60"/>
      <c r="AR574" s="61"/>
      <c r="AS574" s="61"/>
      <c r="AT574" s="61"/>
      <c r="AU574" s="61"/>
      <c r="AV574" s="61"/>
      <c r="AW574" s="61"/>
      <c r="AX574" s="61"/>
      <c r="AY574" s="61"/>
    </row>
    <row r="575" customFormat="false" ht="15.75" hidden="false" customHeight="true" outlineLevel="0" collapsed="false">
      <c r="A575" s="60"/>
      <c r="B575" s="61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2"/>
      <c r="AM575" s="62"/>
      <c r="AN575" s="60"/>
      <c r="AO575" s="60"/>
      <c r="AP575" s="60"/>
      <c r="AQ575" s="60"/>
      <c r="AR575" s="61"/>
      <c r="AS575" s="61"/>
      <c r="AT575" s="61"/>
      <c r="AU575" s="61"/>
      <c r="AV575" s="61"/>
      <c r="AW575" s="61"/>
      <c r="AX575" s="61"/>
      <c r="AY575" s="61"/>
    </row>
    <row r="576" customFormat="false" ht="15.75" hidden="false" customHeight="true" outlineLevel="0" collapsed="false">
      <c r="A576" s="60"/>
      <c r="B576" s="61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2"/>
      <c r="AM576" s="62"/>
      <c r="AN576" s="60"/>
      <c r="AO576" s="60"/>
      <c r="AP576" s="60"/>
      <c r="AQ576" s="60"/>
      <c r="AR576" s="61"/>
      <c r="AS576" s="61"/>
      <c r="AT576" s="61"/>
      <c r="AU576" s="61"/>
      <c r="AV576" s="61"/>
      <c r="AW576" s="61"/>
      <c r="AX576" s="61"/>
      <c r="AY576" s="61"/>
    </row>
    <row r="577" customFormat="false" ht="15.75" hidden="false" customHeight="true" outlineLevel="0" collapsed="false">
      <c r="A577" s="60"/>
      <c r="B577" s="61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2"/>
      <c r="AM577" s="62"/>
      <c r="AN577" s="60"/>
      <c r="AO577" s="60"/>
      <c r="AP577" s="60"/>
      <c r="AQ577" s="60"/>
      <c r="AR577" s="61"/>
      <c r="AS577" s="61"/>
      <c r="AT577" s="61"/>
      <c r="AU577" s="61"/>
      <c r="AV577" s="61"/>
      <c r="AW577" s="61"/>
      <c r="AX577" s="61"/>
      <c r="AY577" s="61"/>
    </row>
    <row r="578" customFormat="false" ht="15.75" hidden="false" customHeight="true" outlineLevel="0" collapsed="false">
      <c r="A578" s="60"/>
      <c r="B578" s="61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2"/>
      <c r="AM578" s="62"/>
      <c r="AN578" s="60"/>
      <c r="AO578" s="60"/>
      <c r="AP578" s="60"/>
      <c r="AQ578" s="60"/>
      <c r="AR578" s="61"/>
      <c r="AS578" s="61"/>
      <c r="AT578" s="61"/>
      <c r="AU578" s="61"/>
      <c r="AV578" s="61"/>
      <c r="AW578" s="61"/>
      <c r="AX578" s="61"/>
      <c r="AY578" s="61"/>
    </row>
    <row r="579" customFormat="false" ht="15.75" hidden="false" customHeight="true" outlineLevel="0" collapsed="false">
      <c r="A579" s="60"/>
      <c r="B579" s="61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2"/>
      <c r="AM579" s="62"/>
      <c r="AN579" s="60"/>
      <c r="AO579" s="60"/>
      <c r="AP579" s="60"/>
      <c r="AQ579" s="60"/>
      <c r="AR579" s="61"/>
      <c r="AS579" s="61"/>
      <c r="AT579" s="61"/>
      <c r="AU579" s="61"/>
      <c r="AV579" s="61"/>
      <c r="AW579" s="61"/>
      <c r="AX579" s="61"/>
      <c r="AY579" s="61"/>
    </row>
    <row r="580" customFormat="false" ht="15.75" hidden="false" customHeight="true" outlineLevel="0" collapsed="false">
      <c r="AQ580" s="8"/>
      <c r="AR580" s="11"/>
      <c r="AS580" s="11"/>
      <c r="AT580" s="11"/>
      <c r="AU580" s="11"/>
      <c r="AV580" s="11"/>
      <c r="AW580" s="11"/>
      <c r="AX580" s="11"/>
      <c r="AY580" s="11"/>
    </row>
    <row r="581" customFormat="false" ht="15.75" hidden="false" customHeight="true" outlineLevel="0" collapsed="false">
      <c r="AQ581" s="8"/>
      <c r="AR581" s="11"/>
      <c r="AS581" s="11"/>
      <c r="AT581" s="11"/>
      <c r="AU581" s="11"/>
      <c r="AV581" s="11"/>
      <c r="AW581" s="11"/>
      <c r="AX581" s="11"/>
      <c r="AY581" s="11"/>
    </row>
    <row r="582" customFormat="false" ht="15.75" hidden="false" customHeight="true" outlineLevel="0" collapsed="false">
      <c r="AQ582" s="8"/>
      <c r="AR582" s="11"/>
      <c r="AS582" s="11"/>
      <c r="AT582" s="11"/>
      <c r="AU582" s="11"/>
      <c r="AV582" s="11"/>
      <c r="AW582" s="11"/>
      <c r="AX582" s="11"/>
      <c r="AY582" s="11"/>
    </row>
    <row r="583" customFormat="false" ht="15.75" hidden="false" customHeight="true" outlineLevel="0" collapsed="false">
      <c r="AQ583" s="8"/>
      <c r="AR583" s="11"/>
      <c r="AS583" s="11"/>
      <c r="AT583" s="11"/>
      <c r="AU583" s="11"/>
      <c r="AV583" s="11"/>
      <c r="AW583" s="11"/>
      <c r="AX583" s="11"/>
      <c r="AY583" s="11"/>
    </row>
    <row r="584" customFormat="false" ht="15.75" hidden="false" customHeight="true" outlineLevel="0" collapsed="false">
      <c r="AQ584" s="8"/>
      <c r="AR584" s="11"/>
      <c r="AS584" s="11"/>
      <c r="AT584" s="11"/>
      <c r="AU584" s="11"/>
      <c r="AV584" s="11"/>
      <c r="AW584" s="11"/>
      <c r="AX584" s="11"/>
      <c r="AY584" s="11"/>
    </row>
    <row r="585" customFormat="false" ht="15.75" hidden="false" customHeight="true" outlineLevel="0" collapsed="false">
      <c r="AQ585" s="8"/>
      <c r="AR585" s="11"/>
      <c r="AS585" s="11"/>
      <c r="AT585" s="11"/>
      <c r="AU585" s="11"/>
      <c r="AV585" s="11"/>
      <c r="AW585" s="11"/>
      <c r="AX585" s="11"/>
      <c r="AY585" s="11"/>
    </row>
    <row r="586" customFormat="false" ht="15.75" hidden="false" customHeight="true" outlineLevel="0" collapsed="false">
      <c r="AQ586" s="8"/>
      <c r="AR586" s="11"/>
      <c r="AS586" s="11"/>
      <c r="AT586" s="11"/>
      <c r="AU586" s="11"/>
      <c r="AV586" s="11"/>
      <c r="AW586" s="11"/>
      <c r="AX586" s="11"/>
      <c r="AY586" s="11"/>
    </row>
    <row r="587" customFormat="false" ht="15.75" hidden="false" customHeight="true" outlineLevel="0" collapsed="false">
      <c r="AQ587" s="8"/>
      <c r="AR587" s="11"/>
      <c r="AS587" s="11"/>
      <c r="AT587" s="11"/>
      <c r="AU587" s="11"/>
      <c r="AV587" s="11"/>
      <c r="AW587" s="11"/>
      <c r="AX587" s="11"/>
      <c r="AY587" s="11"/>
    </row>
    <row r="588" customFormat="false" ht="15.75" hidden="false" customHeight="true" outlineLevel="0" collapsed="false">
      <c r="AQ588" s="8"/>
      <c r="AR588" s="11"/>
      <c r="AS588" s="11"/>
      <c r="AT588" s="11"/>
      <c r="AU588" s="11"/>
      <c r="AV588" s="11"/>
      <c r="AW588" s="11"/>
      <c r="AX588" s="11"/>
      <c r="AY588" s="11"/>
    </row>
    <row r="589" customFormat="false" ht="15.75" hidden="false" customHeight="true" outlineLevel="0" collapsed="false">
      <c r="AQ589" s="8"/>
      <c r="AR589" s="11"/>
      <c r="AS589" s="11"/>
      <c r="AT589" s="11"/>
      <c r="AU589" s="11"/>
      <c r="AV589" s="11"/>
      <c r="AW589" s="11"/>
      <c r="AX589" s="11"/>
      <c r="AY589" s="11"/>
    </row>
    <row r="590" customFormat="false" ht="15.75" hidden="false" customHeight="true" outlineLevel="0" collapsed="false">
      <c r="AQ590" s="8"/>
      <c r="AR590" s="11"/>
      <c r="AS590" s="11"/>
      <c r="AT590" s="11"/>
      <c r="AU590" s="11"/>
      <c r="AV590" s="11"/>
      <c r="AW590" s="11"/>
      <c r="AX590" s="11"/>
      <c r="AY590" s="11"/>
    </row>
    <row r="591" customFormat="false" ht="15.75" hidden="false" customHeight="true" outlineLevel="0" collapsed="false">
      <c r="AQ591" s="8"/>
      <c r="AR591" s="11"/>
      <c r="AS591" s="11"/>
      <c r="AT591" s="11"/>
      <c r="AU591" s="11"/>
      <c r="AV591" s="11"/>
      <c r="AW591" s="11"/>
      <c r="AX591" s="11"/>
      <c r="AY591" s="11"/>
    </row>
    <row r="592" customFormat="false" ht="15.75" hidden="false" customHeight="true" outlineLevel="0" collapsed="false">
      <c r="AQ592" s="8"/>
      <c r="AR592" s="11"/>
      <c r="AS592" s="11"/>
      <c r="AT592" s="11"/>
      <c r="AU592" s="11"/>
      <c r="AV592" s="11"/>
      <c r="AW592" s="11"/>
      <c r="AX592" s="11"/>
      <c r="AY592" s="11"/>
    </row>
    <row r="593" customFormat="false" ht="15.75" hidden="false" customHeight="true" outlineLevel="0" collapsed="false">
      <c r="AQ593" s="8"/>
      <c r="AR593" s="11"/>
      <c r="AS593" s="11"/>
      <c r="AT593" s="11"/>
      <c r="AU593" s="11"/>
      <c r="AV593" s="11"/>
      <c r="AW593" s="11"/>
      <c r="AX593" s="11"/>
      <c r="AY593" s="11"/>
    </row>
    <row r="594" customFormat="false" ht="15.75" hidden="false" customHeight="true" outlineLevel="0" collapsed="false">
      <c r="AQ594" s="8"/>
      <c r="AR594" s="11"/>
      <c r="AS594" s="11"/>
      <c r="AT594" s="11"/>
      <c r="AU594" s="11"/>
      <c r="AV594" s="11"/>
      <c r="AW594" s="11"/>
      <c r="AX594" s="11"/>
      <c r="AY594" s="11"/>
    </row>
    <row r="595" customFormat="false" ht="15.75" hidden="false" customHeight="true" outlineLevel="0" collapsed="false">
      <c r="AQ595" s="8"/>
      <c r="AR595" s="11"/>
      <c r="AS595" s="11"/>
      <c r="AT595" s="11"/>
      <c r="AU595" s="11"/>
      <c r="AV595" s="11"/>
      <c r="AW595" s="11"/>
      <c r="AX595" s="11"/>
      <c r="AY595" s="11"/>
    </row>
    <row r="596" customFormat="false" ht="15.75" hidden="false" customHeight="true" outlineLevel="0" collapsed="false">
      <c r="AQ596" s="8"/>
      <c r="AR596" s="11"/>
      <c r="AS596" s="11"/>
      <c r="AT596" s="11"/>
      <c r="AU596" s="11"/>
      <c r="AV596" s="11"/>
      <c r="AW596" s="11"/>
      <c r="AX596" s="11"/>
      <c r="AY596" s="11"/>
    </row>
    <row r="597" customFormat="false" ht="15.75" hidden="false" customHeight="true" outlineLevel="0" collapsed="false">
      <c r="AQ597" s="8"/>
      <c r="AR597" s="11"/>
      <c r="AS597" s="11"/>
      <c r="AT597" s="11"/>
      <c r="AU597" s="11"/>
      <c r="AV597" s="11"/>
      <c r="AW597" s="11"/>
      <c r="AX597" s="11"/>
      <c r="AY597" s="11"/>
    </row>
    <row r="598" customFormat="false" ht="15.75" hidden="false" customHeight="true" outlineLevel="0" collapsed="false">
      <c r="AQ598" s="8"/>
      <c r="AR598" s="11"/>
      <c r="AS598" s="11"/>
      <c r="AT598" s="11"/>
      <c r="AU598" s="11"/>
      <c r="AV598" s="11"/>
      <c r="AW598" s="11"/>
      <c r="AX598" s="11"/>
      <c r="AY598" s="11"/>
    </row>
    <row r="599" customFormat="false" ht="15.75" hidden="false" customHeight="true" outlineLevel="0" collapsed="false">
      <c r="AQ599" s="8"/>
      <c r="AR599" s="11"/>
      <c r="AS599" s="11"/>
      <c r="AT599" s="11"/>
      <c r="AU599" s="11"/>
      <c r="AV599" s="11"/>
      <c r="AW599" s="11"/>
      <c r="AX599" s="11"/>
      <c r="AY599" s="11"/>
    </row>
    <row r="600" customFormat="false" ht="15.75" hidden="false" customHeight="true" outlineLevel="0" collapsed="false">
      <c r="AQ600" s="8"/>
      <c r="AR600" s="11"/>
      <c r="AS600" s="11"/>
      <c r="AT600" s="11"/>
      <c r="AU600" s="11"/>
      <c r="AV600" s="11"/>
      <c r="AW600" s="11"/>
      <c r="AX600" s="11"/>
      <c r="AY600" s="11"/>
    </row>
    <row r="601" customFormat="false" ht="15.75" hidden="false" customHeight="true" outlineLevel="0" collapsed="false">
      <c r="AQ601" s="8"/>
      <c r="AR601" s="11"/>
      <c r="AS601" s="11"/>
      <c r="AT601" s="11"/>
      <c r="AU601" s="11"/>
      <c r="AV601" s="11"/>
      <c r="AW601" s="11"/>
      <c r="AX601" s="11"/>
      <c r="AY601" s="11"/>
    </row>
    <row r="602" customFormat="false" ht="15.75" hidden="false" customHeight="true" outlineLevel="0" collapsed="false">
      <c r="AQ602" s="8"/>
      <c r="AR602" s="11"/>
      <c r="AS602" s="11"/>
      <c r="AT602" s="11"/>
      <c r="AU602" s="11"/>
      <c r="AV602" s="11"/>
      <c r="AW602" s="11"/>
      <c r="AX602" s="11"/>
      <c r="AY602" s="11"/>
    </row>
    <row r="603" customFormat="false" ht="15.75" hidden="false" customHeight="true" outlineLevel="0" collapsed="false">
      <c r="AQ603" s="8"/>
      <c r="AR603" s="11"/>
      <c r="AS603" s="11"/>
      <c r="AT603" s="11"/>
      <c r="AU603" s="11"/>
      <c r="AV603" s="11"/>
      <c r="AW603" s="11"/>
      <c r="AX603" s="11"/>
      <c r="AY603" s="11"/>
    </row>
    <row r="604" customFormat="false" ht="15.75" hidden="false" customHeight="true" outlineLevel="0" collapsed="false">
      <c r="AQ604" s="8"/>
      <c r="AR604" s="11"/>
      <c r="AS604" s="11"/>
      <c r="AT604" s="11"/>
      <c r="AU604" s="11"/>
      <c r="AV604" s="11"/>
      <c r="AW604" s="11"/>
      <c r="AX604" s="11"/>
      <c r="AY604" s="11"/>
    </row>
    <row r="605" customFormat="false" ht="15.75" hidden="false" customHeight="true" outlineLevel="0" collapsed="false">
      <c r="AQ605" s="8"/>
      <c r="AR605" s="11"/>
      <c r="AS605" s="11"/>
      <c r="AT605" s="11"/>
      <c r="AU605" s="11"/>
      <c r="AV605" s="11"/>
      <c r="AW605" s="11"/>
      <c r="AX605" s="11"/>
      <c r="AY605" s="11"/>
    </row>
    <row r="606" customFormat="false" ht="15.75" hidden="false" customHeight="true" outlineLevel="0" collapsed="false">
      <c r="AQ606" s="8"/>
      <c r="AR606" s="11"/>
      <c r="AS606" s="11"/>
      <c r="AT606" s="11"/>
      <c r="AU606" s="11"/>
      <c r="AV606" s="11"/>
      <c r="AW606" s="11"/>
      <c r="AX606" s="11"/>
      <c r="AY606" s="11"/>
    </row>
    <row r="607" customFormat="false" ht="15.75" hidden="false" customHeight="true" outlineLevel="0" collapsed="false">
      <c r="AQ607" s="8"/>
      <c r="AR607" s="11"/>
      <c r="AS607" s="11"/>
      <c r="AT607" s="11"/>
      <c r="AU607" s="11"/>
      <c r="AV607" s="11"/>
      <c r="AW607" s="11"/>
      <c r="AX607" s="11"/>
      <c r="AY607" s="11"/>
    </row>
    <row r="608" customFormat="false" ht="15.75" hidden="false" customHeight="true" outlineLevel="0" collapsed="false">
      <c r="AQ608" s="8"/>
      <c r="AR608" s="11"/>
      <c r="AS608" s="11"/>
      <c r="AT608" s="11"/>
      <c r="AU608" s="11"/>
      <c r="AV608" s="11"/>
      <c r="AW608" s="11"/>
      <c r="AX608" s="11"/>
      <c r="AY608" s="11"/>
    </row>
    <row r="609" customFormat="false" ht="15.75" hidden="false" customHeight="true" outlineLevel="0" collapsed="false">
      <c r="AQ609" s="8"/>
      <c r="AR609" s="11"/>
      <c r="AS609" s="11"/>
      <c r="AT609" s="11"/>
      <c r="AU609" s="11"/>
      <c r="AV609" s="11"/>
      <c r="AW609" s="11"/>
      <c r="AX609" s="11"/>
      <c r="AY609" s="11"/>
    </row>
    <row r="610" customFormat="false" ht="15.75" hidden="false" customHeight="true" outlineLevel="0" collapsed="false">
      <c r="AQ610" s="8"/>
      <c r="AR610" s="11"/>
      <c r="AS610" s="11"/>
      <c r="AT610" s="11"/>
      <c r="AU610" s="11"/>
      <c r="AV610" s="11"/>
      <c r="AW610" s="11"/>
      <c r="AX610" s="11"/>
      <c r="AY610" s="11"/>
    </row>
    <row r="611" customFormat="false" ht="15.75" hidden="false" customHeight="true" outlineLevel="0" collapsed="false">
      <c r="AQ611" s="8"/>
      <c r="AR611" s="11"/>
      <c r="AS611" s="11"/>
      <c r="AT611" s="11"/>
      <c r="AU611" s="11"/>
      <c r="AV611" s="11"/>
      <c r="AW611" s="11"/>
      <c r="AX611" s="11"/>
      <c r="AY611" s="11"/>
    </row>
    <row r="612" customFormat="false" ht="15.75" hidden="false" customHeight="true" outlineLevel="0" collapsed="false">
      <c r="AQ612" s="8"/>
      <c r="AR612" s="11"/>
      <c r="AS612" s="11"/>
      <c r="AT612" s="11"/>
      <c r="AU612" s="11"/>
      <c r="AV612" s="11"/>
      <c r="AW612" s="11"/>
      <c r="AX612" s="11"/>
      <c r="AY612" s="11"/>
    </row>
    <row r="613" customFormat="false" ht="15.75" hidden="false" customHeight="true" outlineLevel="0" collapsed="false">
      <c r="AQ613" s="8"/>
      <c r="AR613" s="11"/>
      <c r="AS613" s="11"/>
      <c r="AT613" s="11"/>
      <c r="AU613" s="11"/>
      <c r="AV613" s="11"/>
      <c r="AW613" s="11"/>
      <c r="AX613" s="11"/>
      <c r="AY613" s="11"/>
    </row>
    <row r="614" customFormat="false" ht="15.75" hidden="false" customHeight="true" outlineLevel="0" collapsed="false">
      <c r="AQ614" s="8"/>
      <c r="AR614" s="11"/>
      <c r="AS614" s="11"/>
      <c r="AT614" s="11"/>
      <c r="AU614" s="11"/>
      <c r="AV614" s="11"/>
      <c r="AW614" s="11"/>
      <c r="AX614" s="11"/>
      <c r="AY614" s="11"/>
    </row>
    <row r="615" customFormat="false" ht="15.75" hidden="false" customHeight="true" outlineLevel="0" collapsed="false">
      <c r="AQ615" s="8"/>
      <c r="AR615" s="11"/>
      <c r="AS615" s="11"/>
      <c r="AT615" s="11"/>
      <c r="AU615" s="11"/>
      <c r="AV615" s="11"/>
      <c r="AW615" s="11"/>
      <c r="AX615" s="11"/>
      <c r="AY615" s="11"/>
    </row>
    <row r="616" customFormat="false" ht="15.75" hidden="false" customHeight="true" outlineLevel="0" collapsed="false">
      <c r="AQ616" s="8"/>
      <c r="AR616" s="11"/>
      <c r="AS616" s="11"/>
      <c r="AT616" s="11"/>
      <c r="AU616" s="11"/>
      <c r="AV616" s="11"/>
      <c r="AW616" s="11"/>
      <c r="AX616" s="11"/>
      <c r="AY616" s="11"/>
    </row>
    <row r="617" customFormat="false" ht="15.75" hidden="false" customHeight="true" outlineLevel="0" collapsed="false">
      <c r="AQ617" s="8"/>
      <c r="AR617" s="11"/>
      <c r="AS617" s="11"/>
      <c r="AT617" s="11"/>
      <c r="AU617" s="11"/>
      <c r="AV617" s="11"/>
      <c r="AW617" s="11"/>
      <c r="AX617" s="11"/>
      <c r="AY617" s="11"/>
    </row>
    <row r="618" customFormat="false" ht="15.75" hidden="false" customHeight="true" outlineLevel="0" collapsed="false">
      <c r="AQ618" s="8"/>
      <c r="AR618" s="11"/>
      <c r="AS618" s="11"/>
      <c r="AT618" s="11"/>
      <c r="AU618" s="11"/>
      <c r="AV618" s="11"/>
      <c r="AW618" s="11"/>
      <c r="AX618" s="11"/>
      <c r="AY618" s="11"/>
    </row>
    <row r="619" customFormat="false" ht="15.75" hidden="false" customHeight="true" outlineLevel="0" collapsed="false">
      <c r="AQ619" s="8"/>
      <c r="AR619" s="11"/>
      <c r="AS619" s="11"/>
      <c r="AT619" s="11"/>
      <c r="AU619" s="11"/>
      <c r="AV619" s="11"/>
      <c r="AW619" s="11"/>
      <c r="AX619" s="11"/>
      <c r="AY619" s="11"/>
    </row>
    <row r="620" customFormat="false" ht="15.75" hidden="false" customHeight="true" outlineLevel="0" collapsed="false">
      <c r="AQ620" s="8"/>
      <c r="AR620" s="11"/>
      <c r="AS620" s="11"/>
      <c r="AT620" s="11"/>
      <c r="AU620" s="11"/>
      <c r="AV620" s="11"/>
      <c r="AW620" s="11"/>
      <c r="AX620" s="11"/>
      <c r="AY620" s="11"/>
    </row>
    <row r="621" customFormat="false" ht="15.75" hidden="false" customHeight="true" outlineLevel="0" collapsed="false">
      <c r="AQ621" s="8"/>
      <c r="AR621" s="11"/>
      <c r="AS621" s="11"/>
      <c r="AT621" s="11"/>
      <c r="AU621" s="11"/>
      <c r="AV621" s="11"/>
      <c r="AW621" s="11"/>
      <c r="AX621" s="11"/>
      <c r="AY621" s="11"/>
    </row>
    <row r="622" customFormat="false" ht="15.75" hidden="false" customHeight="true" outlineLevel="0" collapsed="false">
      <c r="AQ622" s="8"/>
      <c r="AR622" s="11"/>
      <c r="AS622" s="11"/>
      <c r="AT622" s="11"/>
      <c r="AU622" s="11"/>
      <c r="AV622" s="11"/>
      <c r="AW622" s="11"/>
      <c r="AX622" s="11"/>
      <c r="AY622" s="11"/>
    </row>
    <row r="623" customFormat="false" ht="15.75" hidden="false" customHeight="true" outlineLevel="0" collapsed="false">
      <c r="AQ623" s="8"/>
      <c r="AR623" s="11"/>
      <c r="AS623" s="11"/>
      <c r="AT623" s="11"/>
      <c r="AU623" s="11"/>
      <c r="AV623" s="11"/>
      <c r="AW623" s="11"/>
      <c r="AX623" s="11"/>
      <c r="AY623" s="11"/>
    </row>
    <row r="624" customFormat="false" ht="15.75" hidden="false" customHeight="true" outlineLevel="0" collapsed="false">
      <c r="AQ624" s="8"/>
      <c r="AR624" s="11"/>
      <c r="AS624" s="11"/>
      <c r="AT624" s="11"/>
      <c r="AU624" s="11"/>
      <c r="AV624" s="11"/>
      <c r="AW624" s="11"/>
      <c r="AX624" s="11"/>
      <c r="AY624" s="11"/>
    </row>
    <row r="625" customFormat="false" ht="15.75" hidden="false" customHeight="true" outlineLevel="0" collapsed="false">
      <c r="AQ625" s="8"/>
      <c r="AR625" s="11"/>
      <c r="AS625" s="11"/>
      <c r="AT625" s="11"/>
      <c r="AU625" s="11"/>
      <c r="AV625" s="11"/>
      <c r="AW625" s="11"/>
      <c r="AX625" s="11"/>
      <c r="AY625" s="11"/>
    </row>
    <row r="626" customFormat="false" ht="15.75" hidden="false" customHeight="true" outlineLevel="0" collapsed="false">
      <c r="AQ626" s="8"/>
      <c r="AR626" s="11"/>
      <c r="AS626" s="11"/>
      <c r="AT626" s="11"/>
      <c r="AU626" s="11"/>
      <c r="AV626" s="11"/>
      <c r="AW626" s="11"/>
      <c r="AX626" s="11"/>
      <c r="AY626" s="11"/>
    </row>
    <row r="627" customFormat="false" ht="15.75" hidden="false" customHeight="true" outlineLevel="0" collapsed="false">
      <c r="AQ627" s="8"/>
      <c r="AR627" s="11"/>
      <c r="AS627" s="11"/>
      <c r="AT627" s="11"/>
      <c r="AU627" s="11"/>
      <c r="AV627" s="11"/>
      <c r="AW627" s="11"/>
      <c r="AX627" s="11"/>
      <c r="AY627" s="11"/>
    </row>
    <row r="628" customFormat="false" ht="15.75" hidden="false" customHeight="true" outlineLevel="0" collapsed="false">
      <c r="AQ628" s="8"/>
      <c r="AR628" s="11"/>
      <c r="AS628" s="11"/>
      <c r="AT628" s="11"/>
      <c r="AU628" s="11"/>
      <c r="AV628" s="11"/>
      <c r="AW628" s="11"/>
      <c r="AX628" s="11"/>
      <c r="AY628" s="11"/>
    </row>
    <row r="629" customFormat="false" ht="15.75" hidden="false" customHeight="true" outlineLevel="0" collapsed="false">
      <c r="AQ629" s="8"/>
      <c r="AR629" s="11"/>
      <c r="AS629" s="11"/>
      <c r="AT629" s="11"/>
      <c r="AU629" s="11"/>
      <c r="AV629" s="11"/>
      <c r="AW629" s="11"/>
      <c r="AX629" s="11"/>
      <c r="AY629" s="11"/>
    </row>
    <row r="630" customFormat="false" ht="15.75" hidden="false" customHeight="true" outlineLevel="0" collapsed="false">
      <c r="AQ630" s="8"/>
      <c r="AR630" s="11"/>
      <c r="AS630" s="11"/>
      <c r="AT630" s="11"/>
      <c r="AU630" s="11"/>
      <c r="AV630" s="11"/>
      <c r="AW630" s="11"/>
      <c r="AX630" s="11"/>
      <c r="AY630" s="11"/>
    </row>
    <row r="631" customFormat="false" ht="15.75" hidden="false" customHeight="true" outlineLevel="0" collapsed="false">
      <c r="AQ631" s="8"/>
      <c r="AR631" s="11"/>
      <c r="AS631" s="11"/>
      <c r="AT631" s="11"/>
      <c r="AU631" s="11"/>
      <c r="AV631" s="11"/>
      <c r="AW631" s="11"/>
      <c r="AX631" s="11"/>
      <c r="AY631" s="11"/>
    </row>
    <row r="632" customFormat="false" ht="15.75" hidden="false" customHeight="true" outlineLevel="0" collapsed="false">
      <c r="AQ632" s="8"/>
      <c r="AR632" s="11"/>
      <c r="AS632" s="11"/>
      <c r="AT632" s="11"/>
      <c r="AU632" s="11"/>
      <c r="AV632" s="11"/>
      <c r="AW632" s="11"/>
      <c r="AX632" s="11"/>
      <c r="AY632" s="11"/>
    </row>
    <row r="633" customFormat="false" ht="15.75" hidden="false" customHeight="true" outlineLevel="0" collapsed="false">
      <c r="AQ633" s="8"/>
      <c r="AR633" s="11"/>
      <c r="AS633" s="11"/>
      <c r="AT633" s="11"/>
      <c r="AU633" s="11"/>
      <c r="AV633" s="11"/>
      <c r="AW633" s="11"/>
      <c r="AX633" s="11"/>
      <c r="AY633" s="11"/>
    </row>
    <row r="634" customFormat="false" ht="15.75" hidden="false" customHeight="true" outlineLevel="0" collapsed="false">
      <c r="AQ634" s="8"/>
      <c r="AR634" s="11"/>
      <c r="AS634" s="11"/>
      <c r="AT634" s="11"/>
      <c r="AU634" s="11"/>
      <c r="AV634" s="11"/>
      <c r="AW634" s="11"/>
      <c r="AX634" s="11"/>
      <c r="AY634" s="11"/>
    </row>
    <row r="635" customFormat="false" ht="15.75" hidden="false" customHeight="true" outlineLevel="0" collapsed="false">
      <c r="AQ635" s="8"/>
      <c r="AR635" s="11"/>
      <c r="AS635" s="11"/>
      <c r="AT635" s="11"/>
      <c r="AU635" s="11"/>
      <c r="AV635" s="11"/>
      <c r="AW635" s="11"/>
      <c r="AX635" s="11"/>
      <c r="AY635" s="11"/>
    </row>
    <row r="636" customFormat="false" ht="15.75" hidden="false" customHeight="true" outlineLevel="0" collapsed="false">
      <c r="AQ636" s="8"/>
      <c r="AR636" s="11"/>
      <c r="AS636" s="11"/>
      <c r="AT636" s="11"/>
      <c r="AU636" s="11"/>
      <c r="AV636" s="11"/>
      <c r="AW636" s="11"/>
      <c r="AX636" s="11"/>
      <c r="AY636" s="11"/>
    </row>
    <row r="637" customFormat="false" ht="15.75" hidden="false" customHeight="true" outlineLevel="0" collapsed="false">
      <c r="AQ637" s="8"/>
      <c r="AR637" s="11"/>
      <c r="AS637" s="11"/>
      <c r="AT637" s="11"/>
      <c r="AU637" s="11"/>
      <c r="AV637" s="11"/>
      <c r="AW637" s="11"/>
      <c r="AX637" s="11"/>
      <c r="AY637" s="11"/>
    </row>
    <row r="638" customFormat="false" ht="15.75" hidden="false" customHeight="true" outlineLevel="0" collapsed="false">
      <c r="AQ638" s="8"/>
      <c r="AR638" s="11"/>
      <c r="AS638" s="11"/>
      <c r="AT638" s="11"/>
      <c r="AU638" s="11"/>
      <c r="AV638" s="11"/>
      <c r="AW638" s="11"/>
      <c r="AX638" s="11"/>
      <c r="AY638" s="11"/>
    </row>
    <row r="639" customFormat="false" ht="15.75" hidden="false" customHeight="true" outlineLevel="0" collapsed="false">
      <c r="AQ639" s="8"/>
      <c r="AR639" s="11"/>
      <c r="AS639" s="11"/>
      <c r="AT639" s="11"/>
      <c r="AU639" s="11"/>
      <c r="AV639" s="11"/>
      <c r="AW639" s="11"/>
      <c r="AX639" s="11"/>
      <c r="AY639" s="11"/>
    </row>
    <row r="640" customFormat="false" ht="15.75" hidden="false" customHeight="true" outlineLevel="0" collapsed="false">
      <c r="AQ640" s="8"/>
      <c r="AR640" s="11"/>
      <c r="AS640" s="11"/>
      <c r="AT640" s="11"/>
      <c r="AU640" s="11"/>
      <c r="AV640" s="11"/>
      <c r="AW640" s="11"/>
      <c r="AX640" s="11"/>
      <c r="AY640" s="11"/>
    </row>
    <row r="641" customFormat="false" ht="15.75" hidden="false" customHeight="true" outlineLevel="0" collapsed="false">
      <c r="AQ641" s="8"/>
      <c r="AR641" s="11"/>
      <c r="AS641" s="11"/>
      <c r="AT641" s="11"/>
      <c r="AU641" s="11"/>
      <c r="AV641" s="11"/>
      <c r="AW641" s="11"/>
      <c r="AX641" s="11"/>
      <c r="AY641" s="11"/>
    </row>
    <row r="642" customFormat="false" ht="15.75" hidden="false" customHeight="true" outlineLevel="0" collapsed="false">
      <c r="AQ642" s="8"/>
      <c r="AR642" s="11"/>
      <c r="AS642" s="11"/>
      <c r="AT642" s="11"/>
      <c r="AU642" s="11"/>
      <c r="AV642" s="11"/>
      <c r="AW642" s="11"/>
      <c r="AX642" s="11"/>
      <c r="AY642" s="11"/>
    </row>
    <row r="643" customFormat="false" ht="15.75" hidden="false" customHeight="true" outlineLevel="0" collapsed="false">
      <c r="AQ643" s="8"/>
      <c r="AR643" s="11"/>
      <c r="AS643" s="11"/>
      <c r="AT643" s="11"/>
      <c r="AU643" s="11"/>
      <c r="AV643" s="11"/>
      <c r="AW643" s="11"/>
      <c r="AX643" s="11"/>
      <c r="AY643" s="11"/>
    </row>
    <row r="644" customFormat="false" ht="15.75" hidden="false" customHeight="true" outlineLevel="0" collapsed="false">
      <c r="AQ644" s="8"/>
      <c r="AR644" s="11"/>
      <c r="AS644" s="11"/>
      <c r="AT644" s="11"/>
      <c r="AU644" s="11"/>
      <c r="AV644" s="11"/>
      <c r="AW644" s="11"/>
      <c r="AX644" s="11"/>
      <c r="AY644" s="11"/>
    </row>
    <row r="645" customFormat="false" ht="15.75" hidden="false" customHeight="true" outlineLevel="0" collapsed="false">
      <c r="AQ645" s="8"/>
      <c r="AR645" s="11"/>
      <c r="AS645" s="11"/>
      <c r="AT645" s="11"/>
      <c r="AU645" s="11"/>
      <c r="AV645" s="11"/>
      <c r="AW645" s="11"/>
      <c r="AX645" s="11"/>
      <c r="AY645" s="11"/>
    </row>
    <row r="646" customFormat="false" ht="15.75" hidden="false" customHeight="true" outlineLevel="0" collapsed="false">
      <c r="AQ646" s="8"/>
      <c r="AR646" s="11"/>
      <c r="AS646" s="11"/>
      <c r="AT646" s="11"/>
      <c r="AU646" s="11"/>
      <c r="AV646" s="11"/>
      <c r="AW646" s="11"/>
      <c r="AX646" s="11"/>
      <c r="AY646" s="11"/>
    </row>
    <row r="647" customFormat="false" ht="15.75" hidden="false" customHeight="true" outlineLevel="0" collapsed="false">
      <c r="AQ647" s="8"/>
      <c r="AR647" s="11"/>
      <c r="AS647" s="11"/>
      <c r="AT647" s="11"/>
      <c r="AU647" s="11"/>
      <c r="AV647" s="11"/>
      <c r="AW647" s="11"/>
      <c r="AX647" s="11"/>
      <c r="AY647" s="11"/>
    </row>
    <row r="648" customFormat="false" ht="15.75" hidden="false" customHeight="true" outlineLevel="0" collapsed="false">
      <c r="AQ648" s="8"/>
      <c r="AR648" s="11"/>
      <c r="AS648" s="11"/>
      <c r="AT648" s="11"/>
      <c r="AU648" s="11"/>
      <c r="AV648" s="11"/>
      <c r="AW648" s="11"/>
      <c r="AX648" s="11"/>
      <c r="AY648" s="11"/>
    </row>
    <row r="649" customFormat="false" ht="15.75" hidden="false" customHeight="true" outlineLevel="0" collapsed="false">
      <c r="AQ649" s="8"/>
      <c r="AR649" s="11"/>
      <c r="AS649" s="11"/>
      <c r="AT649" s="11"/>
      <c r="AU649" s="11"/>
      <c r="AV649" s="11"/>
      <c r="AW649" s="11"/>
      <c r="AX649" s="11"/>
      <c r="AY649" s="11"/>
    </row>
    <row r="650" customFormat="false" ht="15.75" hidden="false" customHeight="true" outlineLevel="0" collapsed="false">
      <c r="AQ650" s="8"/>
      <c r="AR650" s="11"/>
      <c r="AS650" s="11"/>
      <c r="AT650" s="11"/>
      <c r="AU650" s="11"/>
      <c r="AV650" s="11"/>
      <c r="AW650" s="11"/>
      <c r="AX650" s="11"/>
      <c r="AY650" s="11"/>
    </row>
    <row r="651" customFormat="false" ht="15.75" hidden="false" customHeight="true" outlineLevel="0" collapsed="false">
      <c r="AQ651" s="8"/>
      <c r="AR651" s="11"/>
      <c r="AS651" s="11"/>
      <c r="AT651" s="11"/>
      <c r="AU651" s="11"/>
      <c r="AV651" s="11"/>
      <c r="AW651" s="11"/>
      <c r="AX651" s="11"/>
      <c r="AY651" s="11"/>
    </row>
    <row r="652" customFormat="false" ht="15.75" hidden="false" customHeight="true" outlineLevel="0" collapsed="false">
      <c r="AQ652" s="8"/>
      <c r="AR652" s="11"/>
      <c r="AS652" s="11"/>
      <c r="AT652" s="11"/>
      <c r="AU652" s="11"/>
      <c r="AV652" s="11"/>
      <c r="AW652" s="11"/>
      <c r="AX652" s="11"/>
      <c r="AY652" s="11"/>
    </row>
    <row r="653" customFormat="false" ht="15.75" hidden="false" customHeight="true" outlineLevel="0" collapsed="false">
      <c r="AQ653" s="8"/>
      <c r="AR653" s="11"/>
      <c r="AS653" s="11"/>
      <c r="AT653" s="11"/>
      <c r="AU653" s="11"/>
      <c r="AV653" s="11"/>
      <c r="AW653" s="11"/>
      <c r="AX653" s="11"/>
      <c r="AY653" s="11"/>
    </row>
    <row r="654" customFormat="false" ht="15.75" hidden="false" customHeight="true" outlineLevel="0" collapsed="false">
      <c r="AQ654" s="8"/>
      <c r="AR654" s="11"/>
      <c r="AS654" s="11"/>
      <c r="AT654" s="11"/>
      <c r="AU654" s="11"/>
      <c r="AV654" s="11"/>
      <c r="AW654" s="11"/>
      <c r="AX654" s="11"/>
      <c r="AY654" s="11"/>
    </row>
    <row r="655" customFormat="false" ht="15.75" hidden="false" customHeight="true" outlineLevel="0" collapsed="false">
      <c r="AQ655" s="8"/>
      <c r="AR655" s="11"/>
      <c r="AS655" s="11"/>
      <c r="AT655" s="11"/>
      <c r="AU655" s="11"/>
      <c r="AV655" s="11"/>
      <c r="AW655" s="11"/>
      <c r="AX655" s="11"/>
      <c r="AY655" s="11"/>
    </row>
    <row r="656" customFormat="false" ht="15.75" hidden="false" customHeight="true" outlineLevel="0" collapsed="false">
      <c r="AQ656" s="8"/>
      <c r="AR656" s="11"/>
      <c r="AS656" s="11"/>
      <c r="AT656" s="11"/>
      <c r="AU656" s="11"/>
      <c r="AV656" s="11"/>
      <c r="AW656" s="11"/>
      <c r="AX656" s="11"/>
      <c r="AY656" s="11"/>
    </row>
    <row r="657" customFormat="false" ht="15.75" hidden="false" customHeight="true" outlineLevel="0" collapsed="false">
      <c r="AQ657" s="8"/>
      <c r="AR657" s="11"/>
      <c r="AS657" s="11"/>
      <c r="AT657" s="11"/>
      <c r="AU657" s="11"/>
      <c r="AV657" s="11"/>
      <c r="AW657" s="11"/>
      <c r="AX657" s="11"/>
      <c r="AY657" s="11"/>
    </row>
    <row r="658" customFormat="false" ht="15.75" hidden="false" customHeight="true" outlineLevel="0" collapsed="false">
      <c r="AQ658" s="8"/>
      <c r="AR658" s="11"/>
      <c r="AS658" s="11"/>
      <c r="AT658" s="11"/>
      <c r="AU658" s="11"/>
      <c r="AV658" s="11"/>
      <c r="AW658" s="11"/>
      <c r="AX658" s="11"/>
      <c r="AY658" s="11"/>
    </row>
    <row r="659" customFormat="false" ht="15.75" hidden="false" customHeight="true" outlineLevel="0" collapsed="false">
      <c r="AQ659" s="8"/>
      <c r="AR659" s="11"/>
      <c r="AS659" s="11"/>
      <c r="AT659" s="11"/>
      <c r="AU659" s="11"/>
      <c r="AV659" s="11"/>
      <c r="AW659" s="11"/>
      <c r="AX659" s="11"/>
      <c r="AY659" s="11"/>
    </row>
    <row r="660" customFormat="false" ht="15.75" hidden="false" customHeight="true" outlineLevel="0" collapsed="false">
      <c r="AQ660" s="8"/>
      <c r="AR660" s="11"/>
      <c r="AS660" s="11"/>
      <c r="AT660" s="11"/>
      <c r="AU660" s="11"/>
      <c r="AV660" s="11"/>
      <c r="AW660" s="11"/>
      <c r="AX660" s="11"/>
      <c r="AY660" s="11"/>
    </row>
    <row r="661" customFormat="false" ht="15.75" hidden="false" customHeight="true" outlineLevel="0" collapsed="false">
      <c r="AQ661" s="8"/>
      <c r="AR661" s="11"/>
      <c r="AS661" s="11"/>
      <c r="AT661" s="11"/>
      <c r="AU661" s="11"/>
      <c r="AV661" s="11"/>
      <c r="AW661" s="11"/>
      <c r="AX661" s="11"/>
      <c r="AY661" s="11"/>
    </row>
    <row r="662" customFormat="false" ht="15.75" hidden="false" customHeight="true" outlineLevel="0" collapsed="false">
      <c r="AQ662" s="8"/>
      <c r="AR662" s="11"/>
      <c r="AS662" s="11"/>
      <c r="AT662" s="11"/>
      <c r="AU662" s="11"/>
      <c r="AV662" s="11"/>
      <c r="AW662" s="11"/>
      <c r="AX662" s="11"/>
      <c r="AY662" s="11"/>
    </row>
    <row r="663" customFormat="false" ht="15.75" hidden="false" customHeight="true" outlineLevel="0" collapsed="false">
      <c r="AQ663" s="8"/>
      <c r="AR663" s="11"/>
      <c r="AS663" s="11"/>
      <c r="AT663" s="11"/>
      <c r="AU663" s="11"/>
      <c r="AV663" s="11"/>
      <c r="AW663" s="11"/>
      <c r="AX663" s="11"/>
      <c r="AY663" s="11"/>
    </row>
    <row r="664" customFormat="false" ht="15.75" hidden="false" customHeight="true" outlineLevel="0" collapsed="false">
      <c r="AQ664" s="8"/>
      <c r="AR664" s="11"/>
      <c r="AS664" s="11"/>
      <c r="AT664" s="11"/>
      <c r="AU664" s="11"/>
      <c r="AV664" s="11"/>
      <c r="AW664" s="11"/>
      <c r="AX664" s="11"/>
      <c r="AY664" s="11"/>
    </row>
    <row r="665" customFormat="false" ht="15.75" hidden="false" customHeight="true" outlineLevel="0" collapsed="false">
      <c r="AQ665" s="8"/>
      <c r="AR665" s="11"/>
      <c r="AS665" s="11"/>
      <c r="AT665" s="11"/>
      <c r="AU665" s="11"/>
      <c r="AV665" s="11"/>
      <c r="AW665" s="11"/>
      <c r="AX665" s="11"/>
      <c r="AY665" s="11"/>
    </row>
    <row r="666" customFormat="false" ht="15.75" hidden="false" customHeight="true" outlineLevel="0" collapsed="false">
      <c r="AQ666" s="8"/>
      <c r="AR666" s="11"/>
      <c r="AS666" s="11"/>
      <c r="AT666" s="11"/>
      <c r="AU666" s="11"/>
      <c r="AV666" s="11"/>
      <c r="AW666" s="11"/>
      <c r="AX666" s="11"/>
      <c r="AY666" s="11"/>
    </row>
    <row r="667" customFormat="false" ht="15.75" hidden="false" customHeight="true" outlineLevel="0" collapsed="false">
      <c r="AQ667" s="8"/>
      <c r="AR667" s="11"/>
      <c r="AS667" s="11"/>
      <c r="AT667" s="11"/>
      <c r="AU667" s="11"/>
      <c r="AV667" s="11"/>
      <c r="AW667" s="11"/>
      <c r="AX667" s="11"/>
      <c r="AY667" s="11"/>
    </row>
    <row r="668" customFormat="false" ht="15.75" hidden="false" customHeight="true" outlineLevel="0" collapsed="false">
      <c r="AQ668" s="8"/>
      <c r="AR668" s="11"/>
      <c r="AS668" s="11"/>
      <c r="AT668" s="11"/>
      <c r="AU668" s="11"/>
      <c r="AV668" s="11"/>
      <c r="AW668" s="11"/>
      <c r="AX668" s="11"/>
      <c r="AY668" s="11"/>
    </row>
    <row r="669" customFormat="false" ht="15.75" hidden="false" customHeight="true" outlineLevel="0" collapsed="false">
      <c r="AQ669" s="8"/>
      <c r="AR669" s="11"/>
      <c r="AS669" s="11"/>
      <c r="AT669" s="11"/>
      <c r="AU669" s="11"/>
      <c r="AV669" s="11"/>
      <c r="AW669" s="11"/>
      <c r="AX669" s="11"/>
      <c r="AY669" s="11"/>
    </row>
    <row r="670" customFormat="false" ht="15.75" hidden="false" customHeight="true" outlineLevel="0" collapsed="false">
      <c r="AQ670" s="8"/>
      <c r="AR670" s="11"/>
      <c r="AS670" s="11"/>
      <c r="AT670" s="11"/>
      <c r="AU670" s="11"/>
      <c r="AV670" s="11"/>
      <c r="AW670" s="11"/>
      <c r="AX670" s="11"/>
      <c r="AY670" s="11"/>
    </row>
    <row r="671" customFormat="false" ht="15.75" hidden="false" customHeight="true" outlineLevel="0" collapsed="false">
      <c r="AQ671" s="8"/>
      <c r="AR671" s="11"/>
      <c r="AS671" s="11"/>
      <c r="AT671" s="11"/>
      <c r="AU671" s="11"/>
      <c r="AV671" s="11"/>
      <c r="AW671" s="11"/>
      <c r="AX671" s="11"/>
      <c r="AY671" s="11"/>
    </row>
    <row r="672" customFormat="false" ht="15.75" hidden="false" customHeight="true" outlineLevel="0" collapsed="false">
      <c r="AQ672" s="8"/>
      <c r="AR672" s="11"/>
      <c r="AS672" s="11"/>
      <c r="AT672" s="11"/>
      <c r="AU672" s="11"/>
      <c r="AV672" s="11"/>
      <c r="AW672" s="11"/>
      <c r="AX672" s="11"/>
      <c r="AY672" s="11"/>
    </row>
    <row r="673" customFormat="false" ht="15.75" hidden="false" customHeight="true" outlineLevel="0" collapsed="false">
      <c r="AQ673" s="8"/>
      <c r="AR673" s="11"/>
      <c r="AS673" s="11"/>
      <c r="AT673" s="11"/>
      <c r="AU673" s="11"/>
      <c r="AV673" s="11"/>
      <c r="AW673" s="11"/>
      <c r="AX673" s="11"/>
      <c r="AY673" s="11"/>
    </row>
    <row r="674" customFormat="false" ht="15.75" hidden="false" customHeight="true" outlineLevel="0" collapsed="false">
      <c r="AQ674" s="8"/>
      <c r="AR674" s="11"/>
      <c r="AS674" s="11"/>
      <c r="AT674" s="11"/>
      <c r="AU674" s="11"/>
      <c r="AV674" s="11"/>
      <c r="AW674" s="11"/>
      <c r="AX674" s="11"/>
      <c r="AY674" s="11"/>
    </row>
    <row r="675" customFormat="false" ht="15.75" hidden="false" customHeight="true" outlineLevel="0" collapsed="false">
      <c r="AQ675" s="8"/>
      <c r="AR675" s="11"/>
      <c r="AS675" s="11"/>
      <c r="AT675" s="11"/>
      <c r="AU675" s="11"/>
      <c r="AV675" s="11"/>
      <c r="AW675" s="11"/>
      <c r="AX675" s="11"/>
      <c r="AY675" s="11"/>
    </row>
    <row r="676" customFormat="false" ht="15.75" hidden="false" customHeight="true" outlineLevel="0" collapsed="false">
      <c r="AQ676" s="8"/>
      <c r="AR676" s="11"/>
      <c r="AS676" s="11"/>
      <c r="AT676" s="11"/>
      <c r="AU676" s="11"/>
      <c r="AV676" s="11"/>
      <c r="AW676" s="11"/>
      <c r="AX676" s="11"/>
      <c r="AY676" s="11"/>
    </row>
    <row r="677" customFormat="false" ht="15.75" hidden="false" customHeight="true" outlineLevel="0" collapsed="false">
      <c r="AQ677" s="8"/>
      <c r="AR677" s="11"/>
      <c r="AS677" s="11"/>
      <c r="AT677" s="11"/>
      <c r="AU677" s="11"/>
      <c r="AV677" s="11"/>
      <c r="AW677" s="11"/>
      <c r="AX677" s="11"/>
      <c r="AY677" s="11"/>
    </row>
    <row r="678" customFormat="false" ht="15.75" hidden="false" customHeight="true" outlineLevel="0" collapsed="false">
      <c r="AQ678" s="8"/>
      <c r="AR678" s="11"/>
      <c r="AS678" s="11"/>
      <c r="AT678" s="11"/>
      <c r="AU678" s="11"/>
      <c r="AV678" s="11"/>
      <c r="AW678" s="11"/>
      <c r="AX678" s="11"/>
      <c r="AY678" s="11"/>
    </row>
    <row r="679" customFormat="false" ht="15.75" hidden="false" customHeight="true" outlineLevel="0" collapsed="false">
      <c r="AQ679" s="8"/>
      <c r="AR679" s="11"/>
      <c r="AS679" s="11"/>
      <c r="AT679" s="11"/>
      <c r="AU679" s="11"/>
      <c r="AV679" s="11"/>
      <c r="AW679" s="11"/>
      <c r="AX679" s="11"/>
      <c r="AY679" s="11"/>
    </row>
    <row r="680" customFormat="false" ht="15.75" hidden="false" customHeight="true" outlineLevel="0" collapsed="false">
      <c r="AQ680" s="8"/>
      <c r="AR680" s="11"/>
      <c r="AS680" s="11"/>
      <c r="AT680" s="11"/>
      <c r="AU680" s="11"/>
      <c r="AV680" s="11"/>
      <c r="AW680" s="11"/>
      <c r="AX680" s="11"/>
      <c r="AY680" s="11"/>
    </row>
    <row r="681" customFormat="false" ht="15.75" hidden="false" customHeight="true" outlineLevel="0" collapsed="false">
      <c r="AQ681" s="8"/>
      <c r="AR681" s="11"/>
      <c r="AS681" s="11"/>
      <c r="AT681" s="11"/>
      <c r="AU681" s="11"/>
      <c r="AV681" s="11"/>
      <c r="AW681" s="11"/>
      <c r="AX681" s="11"/>
      <c r="AY681" s="11"/>
    </row>
    <row r="682" customFormat="false" ht="15.75" hidden="false" customHeight="true" outlineLevel="0" collapsed="false">
      <c r="AQ682" s="8"/>
      <c r="AR682" s="11"/>
      <c r="AS682" s="11"/>
      <c r="AT682" s="11"/>
      <c r="AU682" s="11"/>
      <c r="AV682" s="11"/>
      <c r="AW682" s="11"/>
      <c r="AX682" s="11"/>
      <c r="AY682" s="11"/>
    </row>
    <row r="683" customFormat="false" ht="15.75" hidden="false" customHeight="true" outlineLevel="0" collapsed="false">
      <c r="AQ683" s="8"/>
      <c r="AR683" s="11"/>
      <c r="AS683" s="11"/>
      <c r="AT683" s="11"/>
      <c r="AU683" s="11"/>
      <c r="AV683" s="11"/>
      <c r="AW683" s="11"/>
      <c r="AX683" s="11"/>
      <c r="AY683" s="11"/>
    </row>
    <row r="684" customFormat="false" ht="15.75" hidden="false" customHeight="true" outlineLevel="0" collapsed="false">
      <c r="AQ684" s="8"/>
      <c r="AR684" s="11"/>
      <c r="AS684" s="11"/>
      <c r="AT684" s="11"/>
      <c r="AU684" s="11"/>
      <c r="AV684" s="11"/>
      <c r="AW684" s="11"/>
      <c r="AX684" s="11"/>
      <c r="AY684" s="11"/>
    </row>
    <row r="685" customFormat="false" ht="15.75" hidden="false" customHeight="true" outlineLevel="0" collapsed="false">
      <c r="AQ685" s="8"/>
      <c r="AR685" s="11"/>
      <c r="AS685" s="11"/>
      <c r="AT685" s="11"/>
      <c r="AU685" s="11"/>
      <c r="AV685" s="11"/>
      <c r="AW685" s="11"/>
      <c r="AX685" s="11"/>
      <c r="AY685" s="11"/>
    </row>
    <row r="686" customFormat="false" ht="15.75" hidden="false" customHeight="true" outlineLevel="0" collapsed="false">
      <c r="AQ686" s="8"/>
      <c r="AR686" s="11"/>
      <c r="AS686" s="11"/>
      <c r="AT686" s="11"/>
      <c r="AU686" s="11"/>
      <c r="AV686" s="11"/>
      <c r="AW686" s="11"/>
      <c r="AX686" s="11"/>
      <c r="AY686" s="11"/>
    </row>
    <row r="687" customFormat="false" ht="15.75" hidden="false" customHeight="true" outlineLevel="0" collapsed="false">
      <c r="AQ687" s="8"/>
      <c r="AR687" s="11"/>
      <c r="AS687" s="11"/>
      <c r="AT687" s="11"/>
      <c r="AU687" s="11"/>
      <c r="AV687" s="11"/>
      <c r="AW687" s="11"/>
      <c r="AX687" s="11"/>
      <c r="AY687" s="11"/>
    </row>
    <row r="688" customFormat="false" ht="15.75" hidden="false" customHeight="true" outlineLevel="0" collapsed="false">
      <c r="AQ688" s="8"/>
      <c r="AR688" s="11"/>
      <c r="AS688" s="11"/>
      <c r="AT688" s="11"/>
      <c r="AU688" s="11"/>
      <c r="AV688" s="11"/>
      <c r="AW688" s="11"/>
      <c r="AX688" s="11"/>
      <c r="AY688" s="11"/>
    </row>
    <row r="689" customFormat="false" ht="15.75" hidden="false" customHeight="true" outlineLevel="0" collapsed="false">
      <c r="AQ689" s="8"/>
      <c r="AR689" s="11"/>
      <c r="AS689" s="11"/>
      <c r="AT689" s="11"/>
      <c r="AU689" s="11"/>
      <c r="AV689" s="11"/>
      <c r="AW689" s="11"/>
      <c r="AX689" s="11"/>
      <c r="AY689" s="11"/>
    </row>
    <row r="690" customFormat="false" ht="15.75" hidden="false" customHeight="true" outlineLevel="0" collapsed="false">
      <c r="AQ690" s="8"/>
      <c r="AR690" s="11"/>
      <c r="AS690" s="11"/>
      <c r="AT690" s="11"/>
      <c r="AU690" s="11"/>
      <c r="AV690" s="11"/>
      <c r="AW690" s="11"/>
      <c r="AX690" s="11"/>
      <c r="AY690" s="11"/>
    </row>
    <row r="691" customFormat="false" ht="15.75" hidden="false" customHeight="true" outlineLevel="0" collapsed="false">
      <c r="AQ691" s="8"/>
      <c r="AR691" s="11"/>
      <c r="AS691" s="11"/>
      <c r="AT691" s="11"/>
      <c r="AU691" s="11"/>
      <c r="AV691" s="11"/>
      <c r="AW691" s="11"/>
      <c r="AX691" s="11"/>
      <c r="AY691" s="11"/>
    </row>
    <row r="692" customFormat="false" ht="15.75" hidden="false" customHeight="true" outlineLevel="0" collapsed="false">
      <c r="AQ692" s="8"/>
      <c r="AR692" s="11"/>
      <c r="AS692" s="11"/>
      <c r="AT692" s="11"/>
      <c r="AU692" s="11"/>
      <c r="AV692" s="11"/>
      <c r="AW692" s="11"/>
      <c r="AX692" s="11"/>
      <c r="AY692" s="11"/>
    </row>
    <row r="693" customFormat="false" ht="15.75" hidden="false" customHeight="true" outlineLevel="0" collapsed="false">
      <c r="AQ693" s="8"/>
      <c r="AR693" s="11"/>
      <c r="AS693" s="11"/>
      <c r="AT693" s="11"/>
      <c r="AU693" s="11"/>
      <c r="AV693" s="11"/>
      <c r="AW693" s="11"/>
      <c r="AX693" s="11"/>
      <c r="AY693" s="11"/>
    </row>
    <row r="694" customFormat="false" ht="15.75" hidden="false" customHeight="true" outlineLevel="0" collapsed="false">
      <c r="AQ694" s="8"/>
      <c r="AR694" s="11"/>
      <c r="AS694" s="11"/>
      <c r="AT694" s="11"/>
      <c r="AU694" s="11"/>
      <c r="AV694" s="11"/>
      <c r="AW694" s="11"/>
      <c r="AX694" s="11"/>
      <c r="AY694" s="11"/>
    </row>
    <row r="695" customFormat="false" ht="15.75" hidden="false" customHeight="true" outlineLevel="0" collapsed="false">
      <c r="AQ695" s="8"/>
      <c r="AR695" s="11"/>
      <c r="AS695" s="11"/>
      <c r="AT695" s="11"/>
      <c r="AU695" s="11"/>
      <c r="AV695" s="11"/>
      <c r="AW695" s="11"/>
      <c r="AX695" s="11"/>
      <c r="AY695" s="11"/>
    </row>
    <row r="696" customFormat="false" ht="15.75" hidden="false" customHeight="true" outlineLevel="0" collapsed="false">
      <c r="AQ696" s="8"/>
      <c r="AR696" s="11"/>
      <c r="AS696" s="11"/>
      <c r="AT696" s="11"/>
      <c r="AU696" s="11"/>
      <c r="AV696" s="11"/>
      <c r="AW696" s="11"/>
      <c r="AX696" s="11"/>
      <c r="AY696" s="11"/>
    </row>
    <row r="697" customFormat="false" ht="15.75" hidden="false" customHeight="true" outlineLevel="0" collapsed="false">
      <c r="AQ697" s="8"/>
      <c r="AR697" s="11"/>
      <c r="AS697" s="11"/>
      <c r="AT697" s="11"/>
      <c r="AU697" s="11"/>
      <c r="AV697" s="11"/>
      <c r="AW697" s="11"/>
      <c r="AX697" s="11"/>
      <c r="AY697" s="11"/>
    </row>
    <row r="698" customFormat="false" ht="15.75" hidden="false" customHeight="true" outlineLevel="0" collapsed="false">
      <c r="AQ698" s="8"/>
      <c r="AR698" s="11"/>
      <c r="AS698" s="11"/>
      <c r="AT698" s="11"/>
      <c r="AU698" s="11"/>
      <c r="AV698" s="11"/>
      <c r="AW698" s="11"/>
      <c r="AX698" s="11"/>
      <c r="AY698" s="11"/>
    </row>
    <row r="699" customFormat="false" ht="15.75" hidden="false" customHeight="true" outlineLevel="0" collapsed="false">
      <c r="AQ699" s="8"/>
      <c r="AR699" s="11"/>
      <c r="AS699" s="11"/>
      <c r="AT699" s="11"/>
      <c r="AU699" s="11"/>
      <c r="AV699" s="11"/>
      <c r="AW699" s="11"/>
      <c r="AX699" s="11"/>
      <c r="AY699" s="11"/>
    </row>
    <row r="700" customFormat="false" ht="15.75" hidden="false" customHeight="true" outlineLevel="0" collapsed="false">
      <c r="AQ700" s="8"/>
      <c r="AR700" s="11"/>
      <c r="AS700" s="11"/>
      <c r="AT700" s="11"/>
      <c r="AU700" s="11"/>
      <c r="AV700" s="11"/>
      <c r="AW700" s="11"/>
      <c r="AX700" s="11"/>
      <c r="AY700" s="11"/>
    </row>
    <row r="701" customFormat="false" ht="15.75" hidden="false" customHeight="true" outlineLevel="0" collapsed="false">
      <c r="AQ701" s="8"/>
      <c r="AR701" s="11"/>
      <c r="AS701" s="11"/>
      <c r="AT701" s="11"/>
      <c r="AU701" s="11"/>
      <c r="AV701" s="11"/>
      <c r="AW701" s="11"/>
      <c r="AX701" s="11"/>
      <c r="AY701" s="11"/>
    </row>
    <row r="702" customFormat="false" ht="15.75" hidden="false" customHeight="true" outlineLevel="0" collapsed="false">
      <c r="AQ702" s="8"/>
      <c r="AR702" s="11"/>
      <c r="AS702" s="11"/>
      <c r="AT702" s="11"/>
      <c r="AU702" s="11"/>
      <c r="AV702" s="11"/>
      <c r="AW702" s="11"/>
      <c r="AX702" s="11"/>
      <c r="AY702" s="11"/>
    </row>
    <row r="703" customFormat="false" ht="15.75" hidden="false" customHeight="true" outlineLevel="0" collapsed="false">
      <c r="AQ703" s="8"/>
      <c r="AR703" s="11"/>
      <c r="AS703" s="11"/>
      <c r="AT703" s="11"/>
      <c r="AU703" s="11"/>
      <c r="AV703" s="11"/>
      <c r="AW703" s="11"/>
      <c r="AX703" s="11"/>
      <c r="AY703" s="11"/>
    </row>
    <row r="704" customFormat="false" ht="15.75" hidden="false" customHeight="true" outlineLevel="0" collapsed="false">
      <c r="AQ704" s="8"/>
      <c r="AR704" s="11"/>
      <c r="AS704" s="11"/>
      <c r="AT704" s="11"/>
      <c r="AU704" s="11"/>
      <c r="AV704" s="11"/>
      <c r="AW704" s="11"/>
      <c r="AX704" s="11"/>
      <c r="AY704" s="11"/>
    </row>
    <row r="705" customFormat="false" ht="15.75" hidden="false" customHeight="true" outlineLevel="0" collapsed="false">
      <c r="AQ705" s="8"/>
      <c r="AR705" s="11"/>
      <c r="AS705" s="11"/>
      <c r="AT705" s="11"/>
      <c r="AU705" s="11"/>
      <c r="AV705" s="11"/>
      <c r="AW705" s="11"/>
      <c r="AX705" s="11"/>
      <c r="AY705" s="11"/>
    </row>
    <row r="706" customFormat="false" ht="15.75" hidden="false" customHeight="true" outlineLevel="0" collapsed="false">
      <c r="AQ706" s="8"/>
      <c r="AR706" s="11"/>
      <c r="AS706" s="11"/>
      <c r="AT706" s="11"/>
      <c r="AU706" s="11"/>
      <c r="AV706" s="11"/>
      <c r="AW706" s="11"/>
      <c r="AX706" s="11"/>
      <c r="AY706" s="11"/>
    </row>
    <row r="707" customFormat="false" ht="15.75" hidden="false" customHeight="true" outlineLevel="0" collapsed="false">
      <c r="AQ707" s="8"/>
      <c r="AR707" s="11"/>
      <c r="AS707" s="11"/>
      <c r="AT707" s="11"/>
      <c r="AU707" s="11"/>
      <c r="AV707" s="11"/>
      <c r="AW707" s="11"/>
      <c r="AX707" s="11"/>
      <c r="AY707" s="11"/>
    </row>
    <row r="708" customFormat="false" ht="15.75" hidden="false" customHeight="true" outlineLevel="0" collapsed="false">
      <c r="AQ708" s="8"/>
      <c r="AR708" s="11"/>
      <c r="AS708" s="11"/>
      <c r="AT708" s="11"/>
      <c r="AU708" s="11"/>
      <c r="AV708" s="11"/>
      <c r="AW708" s="11"/>
      <c r="AX708" s="11"/>
      <c r="AY708" s="11"/>
    </row>
    <row r="709" customFormat="false" ht="15.75" hidden="false" customHeight="true" outlineLevel="0" collapsed="false">
      <c r="AQ709" s="8"/>
      <c r="AR709" s="11"/>
      <c r="AS709" s="11"/>
      <c r="AT709" s="11"/>
      <c r="AU709" s="11"/>
      <c r="AV709" s="11"/>
      <c r="AW709" s="11"/>
      <c r="AX709" s="11"/>
      <c r="AY709" s="11"/>
    </row>
    <row r="710" customFormat="false" ht="15.75" hidden="false" customHeight="true" outlineLevel="0" collapsed="false">
      <c r="AQ710" s="8"/>
      <c r="AR710" s="11"/>
      <c r="AS710" s="11"/>
      <c r="AT710" s="11"/>
      <c r="AU710" s="11"/>
      <c r="AV710" s="11"/>
      <c r="AW710" s="11"/>
      <c r="AX710" s="11"/>
      <c r="AY710" s="11"/>
    </row>
    <row r="711" customFormat="false" ht="15.75" hidden="false" customHeight="true" outlineLevel="0" collapsed="false">
      <c r="AQ711" s="8"/>
      <c r="AR711" s="11"/>
      <c r="AS711" s="11"/>
      <c r="AT711" s="11"/>
      <c r="AU711" s="11"/>
      <c r="AV711" s="11"/>
      <c r="AW711" s="11"/>
      <c r="AX711" s="11"/>
      <c r="AY711" s="11"/>
    </row>
    <row r="712" customFormat="false" ht="15.75" hidden="false" customHeight="true" outlineLevel="0" collapsed="false">
      <c r="AQ712" s="8"/>
      <c r="AR712" s="11"/>
      <c r="AS712" s="11"/>
      <c r="AT712" s="11"/>
      <c r="AU712" s="11"/>
      <c r="AV712" s="11"/>
      <c r="AW712" s="11"/>
      <c r="AX712" s="11"/>
      <c r="AY712" s="11"/>
    </row>
    <row r="713" customFormat="false" ht="15.75" hidden="false" customHeight="true" outlineLevel="0" collapsed="false">
      <c r="AQ713" s="8"/>
      <c r="AR713" s="11"/>
      <c r="AS713" s="11"/>
      <c r="AT713" s="11"/>
      <c r="AU713" s="11"/>
      <c r="AV713" s="11"/>
      <c r="AW713" s="11"/>
      <c r="AX713" s="11"/>
      <c r="AY713" s="11"/>
    </row>
    <row r="714" customFormat="false" ht="15.75" hidden="false" customHeight="true" outlineLevel="0" collapsed="false">
      <c r="AQ714" s="8"/>
      <c r="AR714" s="11"/>
      <c r="AS714" s="11"/>
      <c r="AT714" s="11"/>
      <c r="AU714" s="11"/>
      <c r="AV714" s="11"/>
      <c r="AW714" s="11"/>
      <c r="AX714" s="11"/>
      <c r="AY714" s="11"/>
    </row>
    <row r="715" customFormat="false" ht="15.75" hidden="false" customHeight="true" outlineLevel="0" collapsed="false">
      <c r="AQ715" s="8"/>
      <c r="AR715" s="11"/>
      <c r="AS715" s="11"/>
      <c r="AT715" s="11"/>
      <c r="AU715" s="11"/>
      <c r="AV715" s="11"/>
      <c r="AW715" s="11"/>
      <c r="AX715" s="11"/>
      <c r="AY715" s="11"/>
    </row>
    <row r="716" customFormat="false" ht="15.75" hidden="false" customHeight="true" outlineLevel="0" collapsed="false">
      <c r="AQ716" s="8"/>
      <c r="AR716" s="11"/>
      <c r="AS716" s="11"/>
      <c r="AT716" s="11"/>
      <c r="AU716" s="11"/>
      <c r="AV716" s="11"/>
      <c r="AW716" s="11"/>
      <c r="AX716" s="11"/>
      <c r="AY716" s="11"/>
    </row>
    <row r="717" customFormat="false" ht="15.75" hidden="false" customHeight="true" outlineLevel="0" collapsed="false">
      <c r="AQ717" s="8"/>
      <c r="AR717" s="11"/>
      <c r="AS717" s="11"/>
      <c r="AT717" s="11"/>
      <c r="AU717" s="11"/>
      <c r="AV717" s="11"/>
      <c r="AW717" s="11"/>
      <c r="AX717" s="11"/>
      <c r="AY717" s="11"/>
    </row>
    <row r="718" customFormat="false" ht="15.75" hidden="false" customHeight="true" outlineLevel="0" collapsed="false">
      <c r="AQ718" s="8"/>
      <c r="AR718" s="11"/>
      <c r="AS718" s="11"/>
      <c r="AT718" s="11"/>
      <c r="AU718" s="11"/>
      <c r="AV718" s="11"/>
      <c r="AW718" s="11"/>
      <c r="AX718" s="11"/>
      <c r="AY718" s="11"/>
    </row>
    <row r="719" customFormat="false" ht="15.75" hidden="false" customHeight="true" outlineLevel="0" collapsed="false">
      <c r="AQ719" s="8"/>
      <c r="AR719" s="11"/>
      <c r="AS719" s="11"/>
      <c r="AT719" s="11"/>
      <c r="AU719" s="11"/>
      <c r="AV719" s="11"/>
      <c r="AW719" s="11"/>
      <c r="AX719" s="11"/>
      <c r="AY719" s="11"/>
    </row>
    <row r="720" customFormat="false" ht="15.75" hidden="false" customHeight="true" outlineLevel="0" collapsed="false">
      <c r="AQ720" s="8"/>
      <c r="AR720" s="11"/>
      <c r="AS720" s="11"/>
      <c r="AT720" s="11"/>
      <c r="AU720" s="11"/>
      <c r="AV720" s="11"/>
      <c r="AW720" s="11"/>
      <c r="AX720" s="11"/>
      <c r="AY720" s="11"/>
    </row>
    <row r="721" customFormat="false" ht="15.75" hidden="false" customHeight="true" outlineLevel="0" collapsed="false">
      <c r="AQ721" s="8"/>
      <c r="AR721" s="11"/>
      <c r="AS721" s="11"/>
      <c r="AT721" s="11"/>
      <c r="AU721" s="11"/>
      <c r="AV721" s="11"/>
      <c r="AW721" s="11"/>
      <c r="AX721" s="11"/>
      <c r="AY721" s="11"/>
    </row>
    <row r="722" customFormat="false" ht="15.75" hidden="false" customHeight="true" outlineLevel="0" collapsed="false">
      <c r="AQ722" s="8"/>
      <c r="AR722" s="11"/>
      <c r="AS722" s="11"/>
      <c r="AT722" s="11"/>
      <c r="AU722" s="11"/>
      <c r="AV722" s="11"/>
      <c r="AW722" s="11"/>
      <c r="AX722" s="11"/>
      <c r="AY722" s="11"/>
    </row>
    <row r="723" customFormat="false" ht="15.75" hidden="false" customHeight="true" outlineLevel="0" collapsed="false">
      <c r="AQ723" s="8"/>
      <c r="AR723" s="11"/>
      <c r="AS723" s="11"/>
      <c r="AT723" s="11"/>
      <c r="AU723" s="11"/>
      <c r="AV723" s="11"/>
      <c r="AW723" s="11"/>
      <c r="AX723" s="11"/>
      <c r="AY723" s="11"/>
    </row>
    <row r="724" customFormat="false" ht="15.75" hidden="false" customHeight="true" outlineLevel="0" collapsed="false">
      <c r="AQ724" s="8"/>
      <c r="AR724" s="11"/>
      <c r="AS724" s="11"/>
      <c r="AT724" s="11"/>
      <c r="AU724" s="11"/>
      <c r="AV724" s="11"/>
      <c r="AW724" s="11"/>
      <c r="AX724" s="11"/>
      <c r="AY724" s="11"/>
    </row>
    <row r="725" customFormat="false" ht="15.75" hidden="false" customHeight="true" outlineLevel="0" collapsed="false">
      <c r="AQ725" s="8"/>
      <c r="AR725" s="11"/>
      <c r="AS725" s="11"/>
      <c r="AT725" s="11"/>
      <c r="AU725" s="11"/>
      <c r="AV725" s="11"/>
      <c r="AW725" s="11"/>
      <c r="AX725" s="11"/>
      <c r="AY725" s="11"/>
    </row>
    <row r="726" customFormat="false" ht="15.75" hidden="false" customHeight="true" outlineLevel="0" collapsed="false">
      <c r="AQ726" s="8"/>
      <c r="AR726" s="11"/>
      <c r="AS726" s="11"/>
      <c r="AT726" s="11"/>
      <c r="AU726" s="11"/>
      <c r="AV726" s="11"/>
      <c r="AW726" s="11"/>
      <c r="AX726" s="11"/>
      <c r="AY726" s="11"/>
    </row>
    <row r="727" customFormat="false" ht="15.75" hidden="false" customHeight="true" outlineLevel="0" collapsed="false">
      <c r="AQ727" s="8"/>
      <c r="AR727" s="11"/>
      <c r="AS727" s="11"/>
      <c r="AT727" s="11"/>
      <c r="AU727" s="11"/>
      <c r="AV727" s="11"/>
      <c r="AW727" s="11"/>
      <c r="AX727" s="11"/>
      <c r="AY727" s="11"/>
    </row>
    <row r="728" customFormat="false" ht="15.75" hidden="false" customHeight="true" outlineLevel="0" collapsed="false">
      <c r="AQ728" s="8"/>
      <c r="AR728" s="11"/>
      <c r="AS728" s="11"/>
      <c r="AT728" s="11"/>
      <c r="AU728" s="11"/>
      <c r="AV728" s="11"/>
      <c r="AW728" s="11"/>
      <c r="AX728" s="11"/>
      <c r="AY728" s="11"/>
    </row>
    <row r="729" customFormat="false" ht="15.75" hidden="false" customHeight="true" outlineLevel="0" collapsed="false">
      <c r="AQ729" s="8"/>
      <c r="AR729" s="11"/>
      <c r="AS729" s="11"/>
      <c r="AT729" s="11"/>
      <c r="AU729" s="11"/>
      <c r="AV729" s="11"/>
      <c r="AW729" s="11"/>
      <c r="AX729" s="11"/>
      <c r="AY729" s="11"/>
    </row>
    <row r="730" customFormat="false" ht="15.75" hidden="false" customHeight="true" outlineLevel="0" collapsed="false">
      <c r="AQ730" s="8"/>
      <c r="AR730" s="11"/>
      <c r="AS730" s="11"/>
      <c r="AT730" s="11"/>
      <c r="AU730" s="11"/>
      <c r="AV730" s="11"/>
      <c r="AW730" s="11"/>
      <c r="AX730" s="11"/>
      <c r="AY730" s="11"/>
    </row>
    <row r="731" customFormat="false" ht="15.75" hidden="false" customHeight="true" outlineLevel="0" collapsed="false">
      <c r="AQ731" s="8"/>
      <c r="AR731" s="11"/>
      <c r="AS731" s="11"/>
      <c r="AT731" s="11"/>
      <c r="AU731" s="11"/>
      <c r="AV731" s="11"/>
      <c r="AW731" s="11"/>
      <c r="AX731" s="11"/>
      <c r="AY731" s="11"/>
    </row>
    <row r="732" customFormat="false" ht="15.75" hidden="false" customHeight="true" outlineLevel="0" collapsed="false">
      <c r="AQ732" s="8"/>
      <c r="AR732" s="11"/>
      <c r="AS732" s="11"/>
      <c r="AT732" s="11"/>
      <c r="AU732" s="11"/>
      <c r="AV732" s="11"/>
      <c r="AW732" s="11"/>
      <c r="AX732" s="11"/>
      <c r="AY732" s="11"/>
    </row>
    <row r="733" customFormat="false" ht="15.75" hidden="false" customHeight="true" outlineLevel="0" collapsed="false">
      <c r="AQ733" s="8"/>
      <c r="AR733" s="11"/>
      <c r="AS733" s="11"/>
      <c r="AT733" s="11"/>
      <c r="AU733" s="11"/>
      <c r="AV733" s="11"/>
      <c r="AW733" s="11"/>
      <c r="AX733" s="11"/>
      <c r="AY733" s="11"/>
    </row>
    <row r="734" customFormat="false" ht="15.75" hidden="false" customHeight="true" outlineLevel="0" collapsed="false">
      <c r="AQ734" s="8"/>
      <c r="AR734" s="11"/>
      <c r="AS734" s="11"/>
      <c r="AT734" s="11"/>
      <c r="AU734" s="11"/>
      <c r="AV734" s="11"/>
      <c r="AW734" s="11"/>
      <c r="AX734" s="11"/>
      <c r="AY734" s="11"/>
    </row>
    <row r="735" customFormat="false" ht="15.75" hidden="false" customHeight="true" outlineLevel="0" collapsed="false">
      <c r="AQ735" s="8"/>
      <c r="AR735" s="11"/>
      <c r="AS735" s="11"/>
      <c r="AT735" s="11"/>
      <c r="AU735" s="11"/>
      <c r="AV735" s="11"/>
      <c r="AW735" s="11"/>
      <c r="AX735" s="11"/>
      <c r="AY735" s="11"/>
    </row>
    <row r="736" customFormat="false" ht="15.75" hidden="false" customHeight="true" outlineLevel="0" collapsed="false">
      <c r="AQ736" s="8"/>
      <c r="AR736" s="11"/>
      <c r="AS736" s="11"/>
      <c r="AT736" s="11"/>
      <c r="AU736" s="11"/>
      <c r="AV736" s="11"/>
      <c r="AW736" s="11"/>
      <c r="AX736" s="11"/>
      <c r="AY736" s="11"/>
    </row>
    <row r="737" customFormat="false" ht="15.75" hidden="false" customHeight="true" outlineLevel="0" collapsed="false">
      <c r="AQ737" s="8"/>
      <c r="AR737" s="11"/>
      <c r="AS737" s="11"/>
      <c r="AT737" s="11"/>
      <c r="AU737" s="11"/>
      <c r="AV737" s="11"/>
      <c r="AW737" s="11"/>
      <c r="AX737" s="11"/>
      <c r="AY737" s="11"/>
    </row>
    <row r="738" customFormat="false" ht="15.75" hidden="false" customHeight="true" outlineLevel="0" collapsed="false">
      <c r="AQ738" s="8"/>
      <c r="AR738" s="11"/>
      <c r="AS738" s="11"/>
      <c r="AT738" s="11"/>
      <c r="AU738" s="11"/>
      <c r="AV738" s="11"/>
      <c r="AW738" s="11"/>
      <c r="AX738" s="11"/>
      <c r="AY738" s="11"/>
    </row>
    <row r="739" customFormat="false" ht="15.75" hidden="false" customHeight="true" outlineLevel="0" collapsed="false">
      <c r="AQ739" s="8"/>
      <c r="AR739" s="11"/>
      <c r="AS739" s="11"/>
      <c r="AT739" s="11"/>
      <c r="AU739" s="11"/>
      <c r="AV739" s="11"/>
      <c r="AW739" s="11"/>
      <c r="AX739" s="11"/>
      <c r="AY739" s="11"/>
    </row>
    <row r="740" customFormat="false" ht="15.75" hidden="false" customHeight="true" outlineLevel="0" collapsed="false">
      <c r="AQ740" s="8"/>
      <c r="AR740" s="11"/>
      <c r="AS740" s="11"/>
      <c r="AT740" s="11"/>
      <c r="AU740" s="11"/>
      <c r="AV740" s="11"/>
      <c r="AW740" s="11"/>
      <c r="AX740" s="11"/>
      <c r="AY740" s="11"/>
    </row>
    <row r="741" customFormat="false" ht="15.75" hidden="false" customHeight="true" outlineLevel="0" collapsed="false">
      <c r="AQ741" s="8"/>
      <c r="AR741" s="11"/>
      <c r="AS741" s="11"/>
      <c r="AT741" s="11"/>
      <c r="AU741" s="11"/>
      <c r="AV741" s="11"/>
      <c r="AW741" s="11"/>
      <c r="AX741" s="11"/>
      <c r="AY741" s="11"/>
    </row>
    <row r="742" customFormat="false" ht="15.75" hidden="false" customHeight="true" outlineLevel="0" collapsed="false">
      <c r="AQ742" s="8"/>
      <c r="AR742" s="11"/>
      <c r="AS742" s="11"/>
      <c r="AT742" s="11"/>
      <c r="AU742" s="11"/>
      <c r="AV742" s="11"/>
      <c r="AW742" s="11"/>
      <c r="AX742" s="11"/>
      <c r="AY742" s="11"/>
    </row>
    <row r="743" customFormat="false" ht="15.75" hidden="false" customHeight="true" outlineLevel="0" collapsed="false">
      <c r="AQ743" s="8"/>
      <c r="AR743" s="11"/>
      <c r="AS743" s="11"/>
      <c r="AT743" s="11"/>
      <c r="AU743" s="11"/>
      <c r="AV743" s="11"/>
      <c r="AW743" s="11"/>
      <c r="AX743" s="11"/>
      <c r="AY743" s="11"/>
    </row>
    <row r="744" customFormat="false" ht="15.75" hidden="false" customHeight="true" outlineLevel="0" collapsed="false">
      <c r="AQ744" s="8"/>
      <c r="AR744" s="11"/>
      <c r="AS744" s="11"/>
      <c r="AT744" s="11"/>
      <c r="AU744" s="11"/>
      <c r="AV744" s="11"/>
      <c r="AW744" s="11"/>
      <c r="AX744" s="11"/>
      <c r="AY744" s="11"/>
    </row>
    <row r="745" customFormat="false" ht="15.75" hidden="false" customHeight="true" outlineLevel="0" collapsed="false">
      <c r="AQ745" s="8"/>
      <c r="AR745" s="11"/>
      <c r="AS745" s="11"/>
      <c r="AT745" s="11"/>
      <c r="AU745" s="11"/>
      <c r="AV745" s="11"/>
      <c r="AW745" s="11"/>
      <c r="AX745" s="11"/>
      <c r="AY745" s="11"/>
    </row>
    <row r="746" customFormat="false" ht="15.75" hidden="false" customHeight="true" outlineLevel="0" collapsed="false">
      <c r="AQ746" s="8"/>
      <c r="AR746" s="11"/>
      <c r="AS746" s="11"/>
      <c r="AT746" s="11"/>
      <c r="AU746" s="11"/>
      <c r="AV746" s="11"/>
      <c r="AW746" s="11"/>
      <c r="AX746" s="11"/>
      <c r="AY746" s="11"/>
    </row>
    <row r="747" customFormat="false" ht="15.75" hidden="false" customHeight="true" outlineLevel="0" collapsed="false">
      <c r="AQ747" s="8"/>
      <c r="AR747" s="11"/>
      <c r="AS747" s="11"/>
      <c r="AT747" s="11"/>
      <c r="AU747" s="11"/>
      <c r="AV747" s="11"/>
      <c r="AW747" s="11"/>
      <c r="AX747" s="11"/>
      <c r="AY747" s="11"/>
    </row>
    <row r="748" customFormat="false" ht="15.75" hidden="false" customHeight="true" outlineLevel="0" collapsed="false">
      <c r="AQ748" s="8"/>
      <c r="AR748" s="11"/>
      <c r="AS748" s="11"/>
      <c r="AT748" s="11"/>
      <c r="AU748" s="11"/>
      <c r="AV748" s="11"/>
      <c r="AW748" s="11"/>
      <c r="AX748" s="11"/>
      <c r="AY748" s="11"/>
    </row>
    <row r="749" customFormat="false" ht="15.75" hidden="false" customHeight="true" outlineLevel="0" collapsed="false">
      <c r="AQ749" s="8"/>
      <c r="AR749" s="11"/>
      <c r="AS749" s="11"/>
      <c r="AT749" s="11"/>
      <c r="AU749" s="11"/>
      <c r="AV749" s="11"/>
      <c r="AW749" s="11"/>
      <c r="AX749" s="11"/>
      <c r="AY749" s="11"/>
    </row>
    <row r="750" customFormat="false" ht="15.75" hidden="false" customHeight="true" outlineLevel="0" collapsed="false">
      <c r="AQ750" s="8"/>
      <c r="AR750" s="11"/>
      <c r="AS750" s="11"/>
      <c r="AT750" s="11"/>
      <c r="AU750" s="11"/>
      <c r="AV750" s="11"/>
      <c r="AW750" s="11"/>
      <c r="AX750" s="11"/>
      <c r="AY750" s="11"/>
    </row>
    <row r="751" customFormat="false" ht="15.75" hidden="false" customHeight="true" outlineLevel="0" collapsed="false">
      <c r="AQ751" s="8"/>
      <c r="AR751" s="11"/>
      <c r="AS751" s="11"/>
      <c r="AT751" s="11"/>
      <c r="AU751" s="11"/>
      <c r="AV751" s="11"/>
      <c r="AW751" s="11"/>
      <c r="AX751" s="11"/>
      <c r="AY751" s="11"/>
    </row>
    <row r="752" customFormat="false" ht="15.75" hidden="false" customHeight="true" outlineLevel="0" collapsed="false">
      <c r="AQ752" s="8"/>
      <c r="AR752" s="11"/>
      <c r="AS752" s="11"/>
      <c r="AT752" s="11"/>
      <c r="AU752" s="11"/>
      <c r="AV752" s="11"/>
      <c r="AW752" s="11"/>
      <c r="AX752" s="11"/>
      <c r="AY752" s="11"/>
    </row>
    <row r="753" customFormat="false" ht="15.75" hidden="false" customHeight="true" outlineLevel="0" collapsed="false">
      <c r="AQ753" s="8"/>
      <c r="AR753" s="11"/>
      <c r="AS753" s="11"/>
      <c r="AT753" s="11"/>
      <c r="AU753" s="11"/>
      <c r="AV753" s="11"/>
      <c r="AW753" s="11"/>
      <c r="AX753" s="11"/>
      <c r="AY753" s="11"/>
    </row>
    <row r="754" customFormat="false" ht="15.75" hidden="false" customHeight="true" outlineLevel="0" collapsed="false">
      <c r="AQ754" s="8"/>
      <c r="AR754" s="11"/>
      <c r="AS754" s="11"/>
      <c r="AT754" s="11"/>
      <c r="AU754" s="11"/>
      <c r="AV754" s="11"/>
      <c r="AW754" s="11"/>
      <c r="AX754" s="11"/>
      <c r="AY754" s="11"/>
    </row>
    <row r="755" customFormat="false" ht="15.75" hidden="false" customHeight="true" outlineLevel="0" collapsed="false">
      <c r="AQ755" s="8"/>
      <c r="AR755" s="11"/>
      <c r="AS755" s="11"/>
      <c r="AT755" s="11"/>
      <c r="AU755" s="11"/>
      <c r="AV755" s="11"/>
      <c r="AW755" s="11"/>
      <c r="AX755" s="11"/>
      <c r="AY755" s="11"/>
    </row>
    <row r="756" customFormat="false" ht="15.75" hidden="false" customHeight="true" outlineLevel="0" collapsed="false">
      <c r="AQ756" s="8"/>
      <c r="AR756" s="11"/>
      <c r="AS756" s="11"/>
      <c r="AT756" s="11"/>
      <c r="AU756" s="11"/>
      <c r="AV756" s="11"/>
      <c r="AW756" s="11"/>
      <c r="AX756" s="11"/>
      <c r="AY756" s="11"/>
    </row>
    <row r="757" customFormat="false" ht="15.75" hidden="false" customHeight="true" outlineLevel="0" collapsed="false">
      <c r="AQ757" s="8"/>
      <c r="AR757" s="11"/>
      <c r="AS757" s="11"/>
      <c r="AT757" s="11"/>
      <c r="AU757" s="11"/>
      <c r="AV757" s="11"/>
      <c r="AW757" s="11"/>
      <c r="AX757" s="11"/>
      <c r="AY757" s="11"/>
    </row>
    <row r="758" customFormat="false" ht="15.75" hidden="false" customHeight="true" outlineLevel="0" collapsed="false">
      <c r="AQ758" s="8"/>
      <c r="AR758" s="11"/>
      <c r="AS758" s="11"/>
      <c r="AT758" s="11"/>
      <c r="AU758" s="11"/>
      <c r="AV758" s="11"/>
      <c r="AW758" s="11"/>
      <c r="AX758" s="11"/>
      <c r="AY758" s="11"/>
    </row>
    <row r="759" customFormat="false" ht="15.75" hidden="false" customHeight="true" outlineLevel="0" collapsed="false">
      <c r="AQ759" s="8"/>
      <c r="AR759" s="11"/>
      <c r="AS759" s="11"/>
      <c r="AT759" s="11"/>
      <c r="AU759" s="11"/>
      <c r="AV759" s="11"/>
      <c r="AW759" s="11"/>
      <c r="AX759" s="11"/>
      <c r="AY759" s="11"/>
    </row>
    <row r="760" customFormat="false" ht="15.75" hidden="false" customHeight="true" outlineLevel="0" collapsed="false">
      <c r="AQ760" s="8"/>
      <c r="AR760" s="11"/>
      <c r="AS760" s="11"/>
      <c r="AT760" s="11"/>
      <c r="AU760" s="11"/>
      <c r="AV760" s="11"/>
      <c r="AW760" s="11"/>
      <c r="AX760" s="11"/>
      <c r="AY760" s="11"/>
    </row>
    <row r="761" customFormat="false" ht="15.75" hidden="false" customHeight="true" outlineLevel="0" collapsed="false">
      <c r="AQ761" s="8"/>
      <c r="AR761" s="11"/>
      <c r="AS761" s="11"/>
      <c r="AT761" s="11"/>
      <c r="AU761" s="11"/>
      <c r="AV761" s="11"/>
      <c r="AW761" s="11"/>
      <c r="AX761" s="11"/>
      <c r="AY761" s="11"/>
    </row>
    <row r="762" customFormat="false" ht="15.75" hidden="false" customHeight="true" outlineLevel="0" collapsed="false">
      <c r="AQ762" s="8"/>
      <c r="AR762" s="11"/>
      <c r="AS762" s="11"/>
      <c r="AT762" s="11"/>
      <c r="AU762" s="11"/>
      <c r="AV762" s="11"/>
      <c r="AW762" s="11"/>
      <c r="AX762" s="11"/>
      <c r="AY762" s="11"/>
    </row>
    <row r="763" customFormat="false" ht="15.75" hidden="false" customHeight="true" outlineLevel="0" collapsed="false">
      <c r="AQ763" s="8"/>
      <c r="AR763" s="11"/>
      <c r="AS763" s="11"/>
      <c r="AT763" s="11"/>
      <c r="AU763" s="11"/>
      <c r="AV763" s="11"/>
      <c r="AW763" s="11"/>
      <c r="AX763" s="11"/>
      <c r="AY763" s="11"/>
    </row>
    <row r="764" customFormat="false" ht="15.75" hidden="false" customHeight="true" outlineLevel="0" collapsed="false">
      <c r="AQ764" s="8"/>
      <c r="AR764" s="11"/>
      <c r="AS764" s="11"/>
      <c r="AT764" s="11"/>
      <c r="AU764" s="11"/>
      <c r="AV764" s="11"/>
      <c r="AW764" s="11"/>
      <c r="AX764" s="11"/>
      <c r="AY764" s="11"/>
    </row>
    <row r="765" customFormat="false" ht="15.75" hidden="false" customHeight="true" outlineLevel="0" collapsed="false">
      <c r="AQ765" s="8"/>
      <c r="AR765" s="11"/>
      <c r="AS765" s="11"/>
      <c r="AT765" s="11"/>
      <c r="AU765" s="11"/>
      <c r="AV765" s="11"/>
      <c r="AW765" s="11"/>
      <c r="AX765" s="11"/>
      <c r="AY765" s="11"/>
    </row>
    <row r="766" customFormat="false" ht="15.75" hidden="false" customHeight="true" outlineLevel="0" collapsed="false">
      <c r="AQ766" s="8"/>
      <c r="AR766" s="11"/>
      <c r="AS766" s="11"/>
      <c r="AT766" s="11"/>
      <c r="AU766" s="11"/>
      <c r="AV766" s="11"/>
      <c r="AW766" s="11"/>
      <c r="AX766" s="11"/>
      <c r="AY766" s="11"/>
    </row>
    <row r="767" customFormat="false" ht="15.75" hidden="false" customHeight="true" outlineLevel="0" collapsed="false">
      <c r="AQ767" s="8"/>
      <c r="AR767" s="11"/>
      <c r="AS767" s="11"/>
      <c r="AT767" s="11"/>
      <c r="AU767" s="11"/>
      <c r="AV767" s="11"/>
      <c r="AW767" s="11"/>
      <c r="AX767" s="11"/>
      <c r="AY767" s="11"/>
    </row>
    <row r="768" customFormat="false" ht="15.75" hidden="false" customHeight="true" outlineLevel="0" collapsed="false">
      <c r="AQ768" s="8"/>
      <c r="AR768" s="11"/>
      <c r="AS768" s="11"/>
      <c r="AT768" s="11"/>
      <c r="AU768" s="11"/>
      <c r="AV768" s="11"/>
      <c r="AW768" s="11"/>
      <c r="AX768" s="11"/>
      <c r="AY768" s="11"/>
    </row>
    <row r="769" customFormat="false" ht="15.75" hidden="false" customHeight="true" outlineLevel="0" collapsed="false">
      <c r="AQ769" s="8"/>
      <c r="AR769" s="11"/>
      <c r="AS769" s="11"/>
      <c r="AT769" s="11"/>
      <c r="AU769" s="11"/>
      <c r="AV769" s="11"/>
      <c r="AW769" s="11"/>
      <c r="AX769" s="11"/>
      <c r="AY769" s="11"/>
    </row>
    <row r="770" customFormat="false" ht="15.75" hidden="false" customHeight="true" outlineLevel="0" collapsed="false">
      <c r="AQ770" s="8"/>
      <c r="AR770" s="11"/>
      <c r="AS770" s="11"/>
      <c r="AT770" s="11"/>
      <c r="AU770" s="11"/>
      <c r="AV770" s="11"/>
      <c r="AW770" s="11"/>
      <c r="AX770" s="11"/>
      <c r="AY770" s="11"/>
    </row>
    <row r="771" customFormat="false" ht="15.75" hidden="false" customHeight="true" outlineLevel="0" collapsed="false">
      <c r="AQ771" s="8"/>
      <c r="AR771" s="11"/>
      <c r="AS771" s="11"/>
      <c r="AT771" s="11"/>
      <c r="AU771" s="11"/>
      <c r="AV771" s="11"/>
      <c r="AW771" s="11"/>
      <c r="AX771" s="11"/>
      <c r="AY771" s="11"/>
    </row>
    <row r="772" customFormat="false" ht="15.75" hidden="false" customHeight="true" outlineLevel="0" collapsed="false">
      <c r="AQ772" s="8"/>
      <c r="AR772" s="11"/>
      <c r="AS772" s="11"/>
      <c r="AT772" s="11"/>
      <c r="AU772" s="11"/>
      <c r="AV772" s="11"/>
      <c r="AW772" s="11"/>
      <c r="AX772" s="11"/>
      <c r="AY772" s="11"/>
    </row>
    <row r="773" customFormat="false" ht="15.75" hidden="false" customHeight="true" outlineLevel="0" collapsed="false">
      <c r="AQ773" s="8"/>
      <c r="AR773" s="11"/>
      <c r="AS773" s="11"/>
      <c r="AT773" s="11"/>
      <c r="AU773" s="11"/>
      <c r="AV773" s="11"/>
      <c r="AW773" s="11"/>
      <c r="AX773" s="11"/>
      <c r="AY773" s="11"/>
    </row>
    <row r="774" customFormat="false" ht="15.75" hidden="false" customHeight="true" outlineLevel="0" collapsed="false">
      <c r="AQ774" s="8"/>
      <c r="AR774" s="11"/>
      <c r="AS774" s="11"/>
      <c r="AT774" s="11"/>
      <c r="AU774" s="11"/>
      <c r="AV774" s="11"/>
      <c r="AW774" s="11"/>
      <c r="AX774" s="11"/>
      <c r="AY774" s="11"/>
    </row>
    <row r="775" customFormat="false" ht="15.75" hidden="false" customHeight="true" outlineLevel="0" collapsed="false">
      <c r="AQ775" s="8"/>
      <c r="AR775" s="11"/>
      <c r="AS775" s="11"/>
      <c r="AT775" s="11"/>
      <c r="AU775" s="11"/>
      <c r="AV775" s="11"/>
      <c r="AW775" s="11"/>
      <c r="AX775" s="11"/>
      <c r="AY775" s="11"/>
    </row>
    <row r="776" customFormat="false" ht="15.75" hidden="false" customHeight="true" outlineLevel="0" collapsed="false">
      <c r="AQ776" s="8"/>
      <c r="AR776" s="11"/>
      <c r="AS776" s="11"/>
      <c r="AT776" s="11"/>
      <c r="AU776" s="11"/>
      <c r="AV776" s="11"/>
      <c r="AW776" s="11"/>
      <c r="AX776" s="11"/>
      <c r="AY776" s="11"/>
    </row>
    <row r="777" customFormat="false" ht="15.75" hidden="false" customHeight="true" outlineLevel="0" collapsed="false">
      <c r="AQ777" s="8"/>
      <c r="AR777" s="11"/>
      <c r="AS777" s="11"/>
      <c r="AT777" s="11"/>
      <c r="AU777" s="11"/>
      <c r="AV777" s="11"/>
      <c r="AW777" s="11"/>
      <c r="AX777" s="11"/>
      <c r="AY777" s="11"/>
    </row>
    <row r="778" customFormat="false" ht="15.75" hidden="false" customHeight="true" outlineLevel="0" collapsed="false">
      <c r="AQ778" s="8"/>
      <c r="AR778" s="11"/>
      <c r="AS778" s="11"/>
      <c r="AT778" s="11"/>
      <c r="AU778" s="11"/>
      <c r="AV778" s="11"/>
      <c r="AW778" s="11"/>
      <c r="AX778" s="11"/>
      <c r="AY778" s="11"/>
    </row>
    <row r="779" customFormat="false" ht="15.75" hidden="false" customHeight="true" outlineLevel="0" collapsed="false">
      <c r="AQ779" s="8"/>
      <c r="AR779" s="11"/>
      <c r="AS779" s="11"/>
      <c r="AT779" s="11"/>
      <c r="AU779" s="11"/>
      <c r="AV779" s="11"/>
      <c r="AW779" s="11"/>
      <c r="AX779" s="11"/>
      <c r="AY779" s="11"/>
    </row>
    <row r="780" customFormat="false" ht="15.75" hidden="false" customHeight="true" outlineLevel="0" collapsed="false">
      <c r="AQ780" s="8"/>
      <c r="AR780" s="11"/>
      <c r="AS780" s="11"/>
      <c r="AT780" s="11"/>
      <c r="AU780" s="11"/>
      <c r="AV780" s="11"/>
      <c r="AW780" s="11"/>
      <c r="AX780" s="11"/>
      <c r="AY780" s="11"/>
    </row>
    <row r="781" customFormat="false" ht="15.75" hidden="false" customHeight="true" outlineLevel="0" collapsed="false">
      <c r="AQ781" s="8"/>
      <c r="AR781" s="11"/>
      <c r="AS781" s="11"/>
      <c r="AT781" s="11"/>
      <c r="AU781" s="11"/>
      <c r="AV781" s="11"/>
      <c r="AW781" s="11"/>
      <c r="AX781" s="11"/>
      <c r="AY781" s="11"/>
    </row>
    <row r="782" customFormat="false" ht="15.75" hidden="false" customHeight="true" outlineLevel="0" collapsed="false">
      <c r="AQ782" s="8"/>
      <c r="AR782" s="11"/>
      <c r="AS782" s="11"/>
      <c r="AT782" s="11"/>
      <c r="AU782" s="11"/>
      <c r="AV782" s="11"/>
      <c r="AW782" s="11"/>
      <c r="AX782" s="11"/>
      <c r="AY782" s="11"/>
    </row>
    <row r="783" customFormat="false" ht="15.75" hidden="false" customHeight="true" outlineLevel="0" collapsed="false">
      <c r="AQ783" s="8"/>
      <c r="AR783" s="11"/>
      <c r="AS783" s="11"/>
      <c r="AT783" s="11"/>
      <c r="AU783" s="11"/>
      <c r="AV783" s="11"/>
      <c r="AW783" s="11"/>
      <c r="AX783" s="11"/>
      <c r="AY783" s="11"/>
    </row>
    <row r="784" customFormat="false" ht="15.75" hidden="false" customHeight="true" outlineLevel="0" collapsed="false">
      <c r="AQ784" s="8"/>
      <c r="AR784" s="11"/>
      <c r="AS784" s="11"/>
      <c r="AT784" s="11"/>
      <c r="AU784" s="11"/>
      <c r="AV784" s="11"/>
      <c r="AW784" s="11"/>
      <c r="AX784" s="11"/>
      <c r="AY784" s="11"/>
    </row>
    <row r="785" customFormat="false" ht="15.75" hidden="false" customHeight="true" outlineLevel="0" collapsed="false">
      <c r="AQ785" s="8"/>
      <c r="AR785" s="11"/>
      <c r="AS785" s="11"/>
      <c r="AT785" s="11"/>
      <c r="AU785" s="11"/>
      <c r="AV785" s="11"/>
      <c r="AW785" s="11"/>
      <c r="AX785" s="11"/>
      <c r="AY785" s="11"/>
    </row>
    <row r="786" customFormat="false" ht="15.75" hidden="false" customHeight="true" outlineLevel="0" collapsed="false">
      <c r="AQ786" s="8"/>
      <c r="AR786" s="11"/>
      <c r="AS786" s="11"/>
      <c r="AT786" s="11"/>
      <c r="AU786" s="11"/>
      <c r="AV786" s="11"/>
      <c r="AW786" s="11"/>
      <c r="AX786" s="11"/>
      <c r="AY786" s="11"/>
    </row>
    <row r="787" customFormat="false" ht="15.75" hidden="false" customHeight="true" outlineLevel="0" collapsed="false">
      <c r="AQ787" s="8"/>
      <c r="AR787" s="11"/>
      <c r="AS787" s="11"/>
      <c r="AT787" s="11"/>
      <c r="AU787" s="11"/>
      <c r="AV787" s="11"/>
      <c r="AW787" s="11"/>
      <c r="AX787" s="11"/>
      <c r="AY787" s="11"/>
    </row>
    <row r="788" customFormat="false" ht="15.75" hidden="false" customHeight="true" outlineLevel="0" collapsed="false">
      <c r="AQ788" s="8"/>
      <c r="AR788" s="11"/>
      <c r="AS788" s="11"/>
      <c r="AT788" s="11"/>
      <c r="AU788" s="11"/>
      <c r="AV788" s="11"/>
      <c r="AW788" s="11"/>
      <c r="AX788" s="11"/>
      <c r="AY788" s="11"/>
    </row>
    <row r="789" customFormat="false" ht="15.75" hidden="false" customHeight="true" outlineLevel="0" collapsed="false">
      <c r="AQ789" s="8"/>
      <c r="AR789" s="11"/>
      <c r="AS789" s="11"/>
      <c r="AT789" s="11"/>
      <c r="AU789" s="11"/>
      <c r="AV789" s="11"/>
      <c r="AW789" s="11"/>
      <c r="AX789" s="11"/>
      <c r="AY789" s="11"/>
    </row>
    <row r="790" customFormat="false" ht="15.75" hidden="false" customHeight="true" outlineLevel="0" collapsed="false">
      <c r="AQ790" s="8"/>
      <c r="AR790" s="11"/>
      <c r="AS790" s="11"/>
      <c r="AT790" s="11"/>
      <c r="AU790" s="11"/>
      <c r="AV790" s="11"/>
      <c r="AW790" s="11"/>
      <c r="AX790" s="11"/>
      <c r="AY790" s="11"/>
    </row>
    <row r="791" customFormat="false" ht="15.75" hidden="false" customHeight="true" outlineLevel="0" collapsed="false">
      <c r="AQ791" s="8"/>
      <c r="AR791" s="11"/>
      <c r="AS791" s="11"/>
      <c r="AT791" s="11"/>
      <c r="AU791" s="11"/>
      <c r="AV791" s="11"/>
      <c r="AW791" s="11"/>
      <c r="AX791" s="11"/>
      <c r="AY791" s="11"/>
    </row>
    <row r="792" customFormat="false" ht="15.75" hidden="false" customHeight="true" outlineLevel="0" collapsed="false">
      <c r="AQ792" s="8"/>
      <c r="AR792" s="11"/>
      <c r="AS792" s="11"/>
      <c r="AT792" s="11"/>
      <c r="AU792" s="11"/>
      <c r="AV792" s="11"/>
      <c r="AW792" s="11"/>
      <c r="AX792" s="11"/>
      <c r="AY792" s="11"/>
    </row>
    <row r="793" customFormat="false" ht="15.75" hidden="false" customHeight="true" outlineLevel="0" collapsed="false">
      <c r="AQ793" s="8"/>
      <c r="AR793" s="11"/>
      <c r="AS793" s="11"/>
      <c r="AT793" s="11"/>
      <c r="AU793" s="11"/>
      <c r="AV793" s="11"/>
      <c r="AW793" s="11"/>
      <c r="AX793" s="11"/>
      <c r="AY793" s="11"/>
    </row>
    <row r="794" customFormat="false" ht="15.75" hidden="false" customHeight="true" outlineLevel="0" collapsed="false">
      <c r="AQ794" s="8"/>
      <c r="AR794" s="11"/>
      <c r="AS794" s="11"/>
      <c r="AT794" s="11"/>
      <c r="AU794" s="11"/>
      <c r="AV794" s="11"/>
      <c r="AW794" s="11"/>
      <c r="AX794" s="11"/>
      <c r="AY794" s="11"/>
    </row>
    <row r="795" customFormat="false" ht="15.75" hidden="false" customHeight="true" outlineLevel="0" collapsed="false">
      <c r="AQ795" s="8"/>
      <c r="AR795" s="11"/>
      <c r="AS795" s="11"/>
      <c r="AT795" s="11"/>
      <c r="AU795" s="11"/>
      <c r="AV795" s="11"/>
      <c r="AW795" s="11"/>
      <c r="AX795" s="11"/>
      <c r="AY795" s="11"/>
    </row>
    <row r="796" customFormat="false" ht="15.75" hidden="false" customHeight="true" outlineLevel="0" collapsed="false">
      <c r="AQ796" s="8"/>
      <c r="AR796" s="11"/>
      <c r="AS796" s="11"/>
      <c r="AT796" s="11"/>
      <c r="AU796" s="11"/>
      <c r="AV796" s="11"/>
      <c r="AW796" s="11"/>
      <c r="AX796" s="11"/>
      <c r="AY796" s="11"/>
    </row>
    <row r="797" customFormat="false" ht="15.75" hidden="false" customHeight="true" outlineLevel="0" collapsed="false">
      <c r="AQ797" s="8"/>
      <c r="AR797" s="11"/>
      <c r="AS797" s="11"/>
      <c r="AT797" s="11"/>
      <c r="AU797" s="11"/>
      <c r="AV797" s="11"/>
      <c r="AW797" s="11"/>
      <c r="AX797" s="11"/>
      <c r="AY797" s="11"/>
    </row>
    <row r="798" customFormat="false" ht="15.75" hidden="false" customHeight="true" outlineLevel="0" collapsed="false">
      <c r="AQ798" s="8"/>
      <c r="AR798" s="11"/>
      <c r="AS798" s="11"/>
      <c r="AT798" s="11"/>
      <c r="AU798" s="11"/>
      <c r="AV798" s="11"/>
      <c r="AW798" s="11"/>
      <c r="AX798" s="11"/>
      <c r="AY798" s="11"/>
    </row>
    <row r="799" customFormat="false" ht="15.75" hidden="false" customHeight="true" outlineLevel="0" collapsed="false">
      <c r="AQ799" s="8"/>
      <c r="AR799" s="11"/>
      <c r="AS799" s="11"/>
      <c r="AT799" s="11"/>
      <c r="AU799" s="11"/>
      <c r="AV799" s="11"/>
      <c r="AW799" s="11"/>
      <c r="AX799" s="11"/>
      <c r="AY799" s="11"/>
    </row>
    <row r="800" customFormat="false" ht="15.75" hidden="false" customHeight="true" outlineLevel="0" collapsed="false">
      <c r="AQ800" s="8"/>
      <c r="AR800" s="11"/>
      <c r="AS800" s="11"/>
      <c r="AT800" s="11"/>
      <c r="AU800" s="11"/>
      <c r="AV800" s="11"/>
      <c r="AW800" s="11"/>
      <c r="AX800" s="11"/>
      <c r="AY800" s="11"/>
    </row>
    <row r="801" customFormat="false" ht="15.75" hidden="false" customHeight="true" outlineLevel="0" collapsed="false">
      <c r="AQ801" s="8"/>
      <c r="AR801" s="11"/>
      <c r="AS801" s="11"/>
      <c r="AT801" s="11"/>
      <c r="AU801" s="11"/>
      <c r="AV801" s="11"/>
      <c r="AW801" s="11"/>
      <c r="AX801" s="11"/>
      <c r="AY801" s="11"/>
    </row>
    <row r="802" customFormat="false" ht="15.75" hidden="false" customHeight="true" outlineLevel="0" collapsed="false">
      <c r="AQ802" s="8"/>
      <c r="AR802" s="11"/>
      <c r="AS802" s="11"/>
      <c r="AT802" s="11"/>
      <c r="AU802" s="11"/>
      <c r="AV802" s="11"/>
      <c r="AW802" s="11"/>
      <c r="AX802" s="11"/>
      <c r="AY802" s="11"/>
    </row>
    <row r="803" customFormat="false" ht="15.75" hidden="false" customHeight="true" outlineLevel="0" collapsed="false">
      <c r="AQ803" s="8"/>
      <c r="AR803" s="11"/>
      <c r="AS803" s="11"/>
      <c r="AT803" s="11"/>
      <c r="AU803" s="11"/>
      <c r="AV803" s="11"/>
      <c r="AW803" s="11"/>
      <c r="AX803" s="11"/>
      <c r="AY803" s="11"/>
    </row>
    <row r="804" customFormat="false" ht="15.75" hidden="false" customHeight="true" outlineLevel="0" collapsed="false">
      <c r="AQ804" s="8"/>
      <c r="AR804" s="11"/>
      <c r="AS804" s="11"/>
      <c r="AT804" s="11"/>
      <c r="AU804" s="11"/>
      <c r="AV804" s="11"/>
      <c r="AW804" s="11"/>
      <c r="AX804" s="11"/>
      <c r="AY804" s="11"/>
    </row>
    <row r="805" customFormat="false" ht="15.75" hidden="false" customHeight="true" outlineLevel="0" collapsed="false">
      <c r="AQ805" s="8"/>
      <c r="AR805" s="11"/>
      <c r="AS805" s="11"/>
      <c r="AT805" s="11"/>
      <c r="AU805" s="11"/>
      <c r="AV805" s="11"/>
      <c r="AW805" s="11"/>
      <c r="AX805" s="11"/>
      <c r="AY805" s="11"/>
    </row>
    <row r="806" customFormat="false" ht="15.75" hidden="false" customHeight="true" outlineLevel="0" collapsed="false">
      <c r="AQ806" s="8"/>
      <c r="AR806" s="11"/>
      <c r="AS806" s="11"/>
      <c r="AT806" s="11"/>
      <c r="AU806" s="11"/>
      <c r="AV806" s="11"/>
      <c r="AW806" s="11"/>
      <c r="AX806" s="11"/>
      <c r="AY806" s="11"/>
    </row>
    <row r="807" customFormat="false" ht="15.75" hidden="false" customHeight="true" outlineLevel="0" collapsed="false">
      <c r="AQ807" s="8"/>
      <c r="AR807" s="11"/>
      <c r="AS807" s="11"/>
      <c r="AT807" s="11"/>
      <c r="AU807" s="11"/>
      <c r="AV807" s="11"/>
      <c r="AW807" s="11"/>
      <c r="AX807" s="11"/>
      <c r="AY807" s="11"/>
    </row>
    <row r="808" customFormat="false" ht="15.75" hidden="false" customHeight="true" outlineLevel="0" collapsed="false">
      <c r="AQ808" s="8"/>
      <c r="AR808" s="11"/>
      <c r="AS808" s="11"/>
      <c r="AT808" s="11"/>
      <c r="AU808" s="11"/>
      <c r="AV808" s="11"/>
      <c r="AW808" s="11"/>
      <c r="AX808" s="11"/>
      <c r="AY808" s="11"/>
    </row>
    <row r="809" customFormat="false" ht="15.75" hidden="false" customHeight="true" outlineLevel="0" collapsed="false">
      <c r="AQ809" s="8"/>
      <c r="AR809" s="11"/>
      <c r="AS809" s="11"/>
      <c r="AT809" s="11"/>
      <c r="AU809" s="11"/>
      <c r="AV809" s="11"/>
      <c r="AW809" s="11"/>
      <c r="AX809" s="11"/>
      <c r="AY809" s="11"/>
    </row>
    <row r="810" customFormat="false" ht="15.75" hidden="false" customHeight="true" outlineLevel="0" collapsed="false">
      <c r="AQ810" s="8"/>
      <c r="AR810" s="11"/>
      <c r="AS810" s="11"/>
      <c r="AT810" s="11"/>
      <c r="AU810" s="11"/>
      <c r="AV810" s="11"/>
      <c r="AW810" s="11"/>
      <c r="AX810" s="11"/>
      <c r="AY810" s="11"/>
    </row>
    <row r="811" customFormat="false" ht="15.75" hidden="false" customHeight="true" outlineLevel="0" collapsed="false">
      <c r="AQ811" s="8"/>
      <c r="AR811" s="11"/>
      <c r="AS811" s="11"/>
      <c r="AT811" s="11"/>
      <c r="AU811" s="11"/>
      <c r="AV811" s="11"/>
      <c r="AW811" s="11"/>
      <c r="AX811" s="11"/>
      <c r="AY811" s="11"/>
    </row>
    <row r="812" customFormat="false" ht="15.75" hidden="false" customHeight="true" outlineLevel="0" collapsed="false">
      <c r="AQ812" s="8"/>
      <c r="AR812" s="11"/>
      <c r="AS812" s="11"/>
      <c r="AT812" s="11"/>
      <c r="AU812" s="11"/>
      <c r="AV812" s="11"/>
      <c r="AW812" s="11"/>
      <c r="AX812" s="11"/>
      <c r="AY812" s="11"/>
    </row>
    <row r="813" customFormat="false" ht="15.75" hidden="false" customHeight="true" outlineLevel="0" collapsed="false">
      <c r="AQ813" s="8"/>
      <c r="AR813" s="11"/>
      <c r="AS813" s="11"/>
      <c r="AT813" s="11"/>
      <c r="AU813" s="11"/>
      <c r="AV813" s="11"/>
      <c r="AW813" s="11"/>
      <c r="AX813" s="11"/>
      <c r="AY813" s="11"/>
    </row>
    <row r="814" customFormat="false" ht="15.75" hidden="false" customHeight="true" outlineLevel="0" collapsed="false">
      <c r="AQ814" s="8"/>
      <c r="AR814" s="11"/>
      <c r="AS814" s="11"/>
      <c r="AT814" s="11"/>
      <c r="AU814" s="11"/>
      <c r="AV814" s="11"/>
      <c r="AW814" s="11"/>
      <c r="AX814" s="11"/>
      <c r="AY814" s="11"/>
    </row>
    <row r="815" customFormat="false" ht="15.75" hidden="false" customHeight="true" outlineLevel="0" collapsed="false">
      <c r="AQ815" s="8"/>
      <c r="AR815" s="11"/>
      <c r="AS815" s="11"/>
      <c r="AT815" s="11"/>
      <c r="AU815" s="11"/>
      <c r="AV815" s="11"/>
      <c r="AW815" s="11"/>
      <c r="AX815" s="11"/>
      <c r="AY815" s="11"/>
    </row>
    <row r="816" customFormat="false" ht="15.75" hidden="false" customHeight="true" outlineLevel="0" collapsed="false">
      <c r="AQ816" s="8"/>
      <c r="AR816" s="11"/>
      <c r="AS816" s="11"/>
      <c r="AT816" s="11"/>
      <c r="AU816" s="11"/>
      <c r="AV816" s="11"/>
      <c r="AW816" s="11"/>
      <c r="AX816" s="11"/>
      <c r="AY816" s="11"/>
    </row>
    <row r="817" customFormat="false" ht="15.75" hidden="false" customHeight="true" outlineLevel="0" collapsed="false">
      <c r="AQ817" s="8"/>
      <c r="AR817" s="11"/>
      <c r="AS817" s="11"/>
      <c r="AT817" s="11"/>
      <c r="AU817" s="11"/>
      <c r="AV817" s="11"/>
      <c r="AW817" s="11"/>
      <c r="AX817" s="11"/>
      <c r="AY817" s="11"/>
    </row>
    <row r="818" customFormat="false" ht="15.75" hidden="false" customHeight="true" outlineLevel="0" collapsed="false">
      <c r="AQ818" s="8"/>
      <c r="AR818" s="11"/>
      <c r="AS818" s="11"/>
      <c r="AT818" s="11"/>
      <c r="AU818" s="11"/>
      <c r="AV818" s="11"/>
      <c r="AW818" s="11"/>
      <c r="AX818" s="11"/>
      <c r="AY818" s="11"/>
    </row>
    <row r="819" customFormat="false" ht="15.75" hidden="false" customHeight="true" outlineLevel="0" collapsed="false">
      <c r="AQ819" s="8"/>
      <c r="AR819" s="11"/>
      <c r="AS819" s="11"/>
      <c r="AT819" s="11"/>
      <c r="AU819" s="11"/>
      <c r="AV819" s="11"/>
      <c r="AW819" s="11"/>
      <c r="AX819" s="11"/>
      <c r="AY819" s="11"/>
    </row>
    <row r="820" customFormat="false" ht="15.75" hidden="false" customHeight="true" outlineLevel="0" collapsed="false">
      <c r="AQ820" s="8"/>
      <c r="AR820" s="11"/>
      <c r="AS820" s="11"/>
      <c r="AT820" s="11"/>
      <c r="AU820" s="11"/>
      <c r="AV820" s="11"/>
      <c r="AW820" s="11"/>
      <c r="AX820" s="11"/>
      <c r="AY820" s="11"/>
    </row>
    <row r="821" customFormat="false" ht="15.75" hidden="false" customHeight="true" outlineLevel="0" collapsed="false">
      <c r="AQ821" s="8"/>
      <c r="AR821" s="11"/>
      <c r="AS821" s="11"/>
      <c r="AT821" s="11"/>
      <c r="AU821" s="11"/>
      <c r="AV821" s="11"/>
      <c r="AW821" s="11"/>
      <c r="AX821" s="11"/>
      <c r="AY821" s="11"/>
    </row>
    <row r="822" customFormat="false" ht="15.75" hidden="false" customHeight="true" outlineLevel="0" collapsed="false">
      <c r="AQ822" s="8"/>
      <c r="AR822" s="11"/>
      <c r="AS822" s="11"/>
      <c r="AT822" s="11"/>
      <c r="AU822" s="11"/>
      <c r="AV822" s="11"/>
      <c r="AW822" s="11"/>
      <c r="AX822" s="11"/>
      <c r="AY822" s="11"/>
    </row>
    <row r="823" customFormat="false" ht="15.75" hidden="false" customHeight="true" outlineLevel="0" collapsed="false">
      <c r="AQ823" s="8"/>
      <c r="AR823" s="11"/>
      <c r="AS823" s="11"/>
      <c r="AT823" s="11"/>
      <c r="AU823" s="11"/>
      <c r="AV823" s="11"/>
      <c r="AW823" s="11"/>
      <c r="AX823" s="11"/>
      <c r="AY823" s="11"/>
    </row>
    <row r="824" customFormat="false" ht="15.75" hidden="false" customHeight="true" outlineLevel="0" collapsed="false">
      <c r="AQ824" s="8"/>
      <c r="AR824" s="11"/>
      <c r="AS824" s="11"/>
      <c r="AT824" s="11"/>
      <c r="AU824" s="11"/>
      <c r="AV824" s="11"/>
      <c r="AW824" s="11"/>
      <c r="AX824" s="11"/>
      <c r="AY824" s="11"/>
    </row>
    <row r="825" customFormat="false" ht="15.75" hidden="false" customHeight="true" outlineLevel="0" collapsed="false">
      <c r="AQ825" s="8"/>
      <c r="AR825" s="11"/>
      <c r="AS825" s="11"/>
      <c r="AT825" s="11"/>
      <c r="AU825" s="11"/>
      <c r="AV825" s="11"/>
      <c r="AW825" s="11"/>
      <c r="AX825" s="11"/>
      <c r="AY825" s="11"/>
    </row>
    <row r="826" customFormat="false" ht="15.75" hidden="false" customHeight="true" outlineLevel="0" collapsed="false">
      <c r="AQ826" s="8"/>
      <c r="AR826" s="11"/>
      <c r="AS826" s="11"/>
      <c r="AT826" s="11"/>
      <c r="AU826" s="11"/>
      <c r="AV826" s="11"/>
      <c r="AW826" s="11"/>
      <c r="AX826" s="11"/>
      <c r="AY826" s="11"/>
    </row>
    <row r="827" customFormat="false" ht="15.75" hidden="false" customHeight="true" outlineLevel="0" collapsed="false">
      <c r="AQ827" s="8"/>
      <c r="AR827" s="11"/>
      <c r="AS827" s="11"/>
      <c r="AT827" s="11"/>
      <c r="AU827" s="11"/>
      <c r="AV827" s="11"/>
      <c r="AW827" s="11"/>
      <c r="AX827" s="11"/>
      <c r="AY827" s="11"/>
    </row>
    <row r="828" customFormat="false" ht="15.75" hidden="false" customHeight="true" outlineLevel="0" collapsed="false">
      <c r="AQ828" s="8"/>
      <c r="AR828" s="11"/>
      <c r="AS828" s="11"/>
      <c r="AT828" s="11"/>
      <c r="AU828" s="11"/>
      <c r="AV828" s="11"/>
      <c r="AW828" s="11"/>
      <c r="AX828" s="11"/>
      <c r="AY828" s="11"/>
    </row>
    <row r="829" customFormat="false" ht="15.75" hidden="false" customHeight="true" outlineLevel="0" collapsed="false">
      <c r="AQ829" s="8"/>
      <c r="AR829" s="11"/>
      <c r="AS829" s="11"/>
      <c r="AT829" s="11"/>
      <c r="AU829" s="11"/>
      <c r="AV829" s="11"/>
      <c r="AW829" s="11"/>
      <c r="AX829" s="11"/>
      <c r="AY829" s="11"/>
    </row>
    <row r="830" customFormat="false" ht="15.75" hidden="false" customHeight="true" outlineLevel="0" collapsed="false">
      <c r="AQ830" s="8"/>
      <c r="AR830" s="11"/>
      <c r="AS830" s="11"/>
      <c r="AT830" s="11"/>
      <c r="AU830" s="11"/>
      <c r="AV830" s="11"/>
      <c r="AW830" s="11"/>
      <c r="AX830" s="11"/>
      <c r="AY830" s="11"/>
    </row>
    <row r="831" customFormat="false" ht="15.75" hidden="false" customHeight="true" outlineLevel="0" collapsed="false">
      <c r="AQ831" s="8"/>
      <c r="AR831" s="11"/>
      <c r="AS831" s="11"/>
      <c r="AT831" s="11"/>
      <c r="AU831" s="11"/>
      <c r="AV831" s="11"/>
      <c r="AW831" s="11"/>
      <c r="AX831" s="11"/>
      <c r="AY831" s="11"/>
    </row>
    <row r="832" customFormat="false" ht="15.75" hidden="false" customHeight="true" outlineLevel="0" collapsed="false">
      <c r="AQ832" s="8"/>
      <c r="AR832" s="11"/>
      <c r="AS832" s="11"/>
      <c r="AT832" s="11"/>
      <c r="AU832" s="11"/>
      <c r="AV832" s="11"/>
      <c r="AW832" s="11"/>
      <c r="AX832" s="11"/>
      <c r="AY832" s="11"/>
    </row>
    <row r="833" customFormat="false" ht="15.75" hidden="false" customHeight="true" outlineLevel="0" collapsed="false">
      <c r="AQ833" s="8"/>
      <c r="AR833" s="11"/>
      <c r="AS833" s="11"/>
      <c r="AT833" s="11"/>
      <c r="AU833" s="11"/>
      <c r="AV833" s="11"/>
      <c r="AW833" s="11"/>
      <c r="AX833" s="11"/>
      <c r="AY833" s="11"/>
    </row>
    <row r="834" customFormat="false" ht="15.75" hidden="false" customHeight="true" outlineLevel="0" collapsed="false">
      <c r="AQ834" s="8"/>
      <c r="AR834" s="11"/>
      <c r="AS834" s="11"/>
      <c r="AT834" s="11"/>
      <c r="AU834" s="11"/>
      <c r="AV834" s="11"/>
      <c r="AW834" s="11"/>
      <c r="AX834" s="11"/>
      <c r="AY834" s="11"/>
    </row>
    <row r="835" customFormat="false" ht="15.75" hidden="false" customHeight="true" outlineLevel="0" collapsed="false">
      <c r="AQ835" s="8"/>
      <c r="AR835" s="11"/>
      <c r="AS835" s="11"/>
      <c r="AT835" s="11"/>
      <c r="AU835" s="11"/>
      <c r="AV835" s="11"/>
      <c r="AW835" s="11"/>
      <c r="AX835" s="11"/>
      <c r="AY835" s="11"/>
    </row>
    <row r="836" customFormat="false" ht="15.75" hidden="false" customHeight="true" outlineLevel="0" collapsed="false">
      <c r="AQ836" s="8"/>
      <c r="AR836" s="11"/>
      <c r="AS836" s="11"/>
      <c r="AT836" s="11"/>
      <c r="AU836" s="11"/>
      <c r="AV836" s="11"/>
      <c r="AW836" s="11"/>
      <c r="AX836" s="11"/>
      <c r="AY836" s="11"/>
    </row>
    <row r="837" customFormat="false" ht="15.75" hidden="false" customHeight="true" outlineLevel="0" collapsed="false">
      <c r="AQ837" s="8"/>
      <c r="AR837" s="11"/>
      <c r="AS837" s="11"/>
      <c r="AT837" s="11"/>
      <c r="AU837" s="11"/>
      <c r="AV837" s="11"/>
      <c r="AW837" s="11"/>
      <c r="AX837" s="11"/>
      <c r="AY837" s="11"/>
    </row>
    <row r="838" customFormat="false" ht="15.75" hidden="false" customHeight="true" outlineLevel="0" collapsed="false">
      <c r="AQ838" s="8"/>
      <c r="AR838" s="11"/>
      <c r="AS838" s="11"/>
      <c r="AT838" s="11"/>
      <c r="AU838" s="11"/>
      <c r="AV838" s="11"/>
      <c r="AW838" s="11"/>
      <c r="AX838" s="11"/>
      <c r="AY838" s="11"/>
    </row>
    <row r="839" customFormat="false" ht="15.75" hidden="false" customHeight="true" outlineLevel="0" collapsed="false">
      <c r="AQ839" s="8"/>
      <c r="AR839" s="11"/>
      <c r="AS839" s="11"/>
      <c r="AT839" s="11"/>
      <c r="AU839" s="11"/>
      <c r="AV839" s="11"/>
      <c r="AW839" s="11"/>
      <c r="AX839" s="11"/>
      <c r="AY839" s="11"/>
    </row>
    <row r="840" customFormat="false" ht="15.75" hidden="false" customHeight="true" outlineLevel="0" collapsed="false">
      <c r="AQ840" s="8"/>
      <c r="AR840" s="11"/>
      <c r="AS840" s="11"/>
      <c r="AT840" s="11"/>
      <c r="AU840" s="11"/>
      <c r="AV840" s="11"/>
      <c r="AW840" s="11"/>
      <c r="AX840" s="11"/>
      <c r="AY840" s="11"/>
    </row>
    <row r="841" customFormat="false" ht="15.75" hidden="false" customHeight="true" outlineLevel="0" collapsed="false">
      <c r="AQ841" s="8"/>
      <c r="AR841" s="11"/>
      <c r="AS841" s="11"/>
      <c r="AT841" s="11"/>
      <c r="AU841" s="11"/>
      <c r="AV841" s="11"/>
      <c r="AW841" s="11"/>
      <c r="AX841" s="11"/>
      <c r="AY841" s="11"/>
    </row>
    <row r="842" customFormat="false" ht="15.75" hidden="false" customHeight="true" outlineLevel="0" collapsed="false">
      <c r="AQ842" s="8"/>
      <c r="AR842" s="11"/>
      <c r="AS842" s="11"/>
      <c r="AT842" s="11"/>
      <c r="AU842" s="11"/>
      <c r="AV842" s="11"/>
      <c r="AW842" s="11"/>
      <c r="AX842" s="11"/>
      <c r="AY842" s="11"/>
    </row>
    <row r="843" customFormat="false" ht="15.75" hidden="false" customHeight="true" outlineLevel="0" collapsed="false">
      <c r="AQ843" s="8"/>
      <c r="AR843" s="11"/>
      <c r="AS843" s="11"/>
      <c r="AT843" s="11"/>
      <c r="AU843" s="11"/>
      <c r="AV843" s="11"/>
      <c r="AW843" s="11"/>
      <c r="AX843" s="11"/>
      <c r="AY843" s="11"/>
    </row>
    <row r="844" customFormat="false" ht="15.75" hidden="false" customHeight="true" outlineLevel="0" collapsed="false">
      <c r="AQ844" s="8"/>
      <c r="AR844" s="11"/>
      <c r="AS844" s="11"/>
      <c r="AT844" s="11"/>
      <c r="AU844" s="11"/>
      <c r="AV844" s="11"/>
      <c r="AW844" s="11"/>
      <c r="AX844" s="11"/>
      <c r="AY844" s="11"/>
    </row>
    <row r="845" customFormat="false" ht="15.75" hidden="false" customHeight="true" outlineLevel="0" collapsed="false">
      <c r="AQ845" s="8"/>
      <c r="AR845" s="11"/>
      <c r="AS845" s="11"/>
      <c r="AT845" s="11"/>
      <c r="AU845" s="11"/>
      <c r="AV845" s="11"/>
      <c r="AW845" s="11"/>
      <c r="AX845" s="11"/>
      <c r="AY845" s="11"/>
    </row>
    <row r="846" customFormat="false" ht="15.75" hidden="false" customHeight="true" outlineLevel="0" collapsed="false">
      <c r="AQ846" s="8"/>
      <c r="AR846" s="11"/>
      <c r="AS846" s="11"/>
      <c r="AT846" s="11"/>
      <c r="AU846" s="11"/>
      <c r="AV846" s="11"/>
      <c r="AW846" s="11"/>
      <c r="AX846" s="11"/>
      <c r="AY846" s="11"/>
    </row>
    <row r="847" customFormat="false" ht="15.75" hidden="false" customHeight="true" outlineLevel="0" collapsed="false">
      <c r="AQ847" s="8"/>
      <c r="AR847" s="11"/>
      <c r="AS847" s="11"/>
      <c r="AT847" s="11"/>
      <c r="AU847" s="11"/>
      <c r="AV847" s="11"/>
      <c r="AW847" s="11"/>
      <c r="AX847" s="11"/>
      <c r="AY847" s="11"/>
    </row>
    <row r="848" customFormat="false" ht="15.75" hidden="false" customHeight="true" outlineLevel="0" collapsed="false">
      <c r="AQ848" s="8"/>
      <c r="AR848" s="11"/>
      <c r="AS848" s="11"/>
      <c r="AT848" s="11"/>
      <c r="AU848" s="11"/>
      <c r="AV848" s="11"/>
      <c r="AW848" s="11"/>
      <c r="AX848" s="11"/>
      <c r="AY848" s="11"/>
    </row>
    <row r="849" customFormat="false" ht="15.75" hidden="false" customHeight="true" outlineLevel="0" collapsed="false">
      <c r="AQ849" s="8"/>
      <c r="AR849" s="11"/>
      <c r="AS849" s="11"/>
      <c r="AT849" s="11"/>
      <c r="AU849" s="11"/>
      <c r="AV849" s="11"/>
      <c r="AW849" s="11"/>
      <c r="AX849" s="11"/>
      <c r="AY849" s="11"/>
    </row>
    <row r="850" customFormat="false" ht="15.75" hidden="false" customHeight="true" outlineLevel="0" collapsed="false">
      <c r="AQ850" s="8"/>
      <c r="AR850" s="11"/>
      <c r="AS850" s="11"/>
      <c r="AT850" s="11"/>
      <c r="AU850" s="11"/>
      <c r="AV850" s="11"/>
      <c r="AW850" s="11"/>
      <c r="AX850" s="11"/>
      <c r="AY850" s="11"/>
    </row>
    <row r="851" customFormat="false" ht="15.75" hidden="false" customHeight="true" outlineLevel="0" collapsed="false">
      <c r="AQ851" s="8"/>
      <c r="AR851" s="11"/>
      <c r="AS851" s="11"/>
      <c r="AT851" s="11"/>
      <c r="AU851" s="11"/>
      <c r="AV851" s="11"/>
      <c r="AW851" s="11"/>
      <c r="AX851" s="11"/>
      <c r="AY851" s="11"/>
    </row>
    <row r="852" customFormat="false" ht="15.75" hidden="false" customHeight="true" outlineLevel="0" collapsed="false">
      <c r="AQ852" s="8"/>
      <c r="AR852" s="11"/>
      <c r="AS852" s="11"/>
      <c r="AT852" s="11"/>
      <c r="AU852" s="11"/>
      <c r="AV852" s="11"/>
      <c r="AW852" s="11"/>
      <c r="AX852" s="11"/>
      <c r="AY852" s="11"/>
    </row>
    <row r="853" customFormat="false" ht="15.75" hidden="false" customHeight="true" outlineLevel="0" collapsed="false">
      <c r="AQ853" s="8"/>
      <c r="AR853" s="11"/>
      <c r="AS853" s="11"/>
      <c r="AT853" s="11"/>
      <c r="AU853" s="11"/>
      <c r="AV853" s="11"/>
      <c r="AW853" s="11"/>
      <c r="AX853" s="11"/>
      <c r="AY853" s="11"/>
    </row>
    <row r="854" customFormat="false" ht="15.75" hidden="false" customHeight="true" outlineLevel="0" collapsed="false">
      <c r="AQ854" s="8"/>
      <c r="AR854" s="11"/>
      <c r="AS854" s="11"/>
      <c r="AT854" s="11"/>
      <c r="AU854" s="11"/>
      <c r="AV854" s="11"/>
      <c r="AW854" s="11"/>
      <c r="AX854" s="11"/>
      <c r="AY854" s="11"/>
    </row>
    <row r="855" customFormat="false" ht="15.75" hidden="false" customHeight="true" outlineLevel="0" collapsed="false">
      <c r="AQ855" s="8"/>
      <c r="AR855" s="11"/>
      <c r="AS855" s="11"/>
      <c r="AT855" s="11"/>
      <c r="AU855" s="11"/>
      <c r="AV855" s="11"/>
      <c r="AW855" s="11"/>
      <c r="AX855" s="11"/>
      <c r="AY855" s="11"/>
    </row>
    <row r="856" customFormat="false" ht="15.75" hidden="false" customHeight="true" outlineLevel="0" collapsed="false">
      <c r="AQ856" s="8"/>
      <c r="AR856" s="11"/>
      <c r="AS856" s="11"/>
      <c r="AT856" s="11"/>
      <c r="AU856" s="11"/>
      <c r="AV856" s="11"/>
      <c r="AW856" s="11"/>
      <c r="AX856" s="11"/>
      <c r="AY856" s="11"/>
    </row>
    <row r="857" customFormat="false" ht="15.75" hidden="false" customHeight="true" outlineLevel="0" collapsed="false">
      <c r="AQ857" s="8"/>
      <c r="AR857" s="11"/>
      <c r="AS857" s="11"/>
      <c r="AT857" s="11"/>
      <c r="AU857" s="11"/>
      <c r="AV857" s="11"/>
      <c r="AW857" s="11"/>
      <c r="AX857" s="11"/>
      <c r="AY857" s="11"/>
    </row>
    <row r="858" customFormat="false" ht="15.75" hidden="false" customHeight="true" outlineLevel="0" collapsed="false">
      <c r="AQ858" s="8"/>
      <c r="AR858" s="11"/>
      <c r="AS858" s="11"/>
      <c r="AT858" s="11"/>
      <c r="AU858" s="11"/>
      <c r="AV858" s="11"/>
      <c r="AW858" s="11"/>
      <c r="AX858" s="11"/>
      <c r="AY858" s="11"/>
    </row>
    <row r="859" customFormat="false" ht="15.75" hidden="false" customHeight="true" outlineLevel="0" collapsed="false">
      <c r="AQ859" s="8"/>
      <c r="AR859" s="11"/>
      <c r="AS859" s="11"/>
      <c r="AT859" s="11"/>
      <c r="AU859" s="11"/>
      <c r="AV859" s="11"/>
      <c r="AW859" s="11"/>
      <c r="AX859" s="11"/>
      <c r="AY859" s="11"/>
    </row>
    <row r="860" customFormat="false" ht="15.75" hidden="false" customHeight="true" outlineLevel="0" collapsed="false">
      <c r="AQ860" s="8"/>
      <c r="AR860" s="11"/>
      <c r="AS860" s="11"/>
      <c r="AT860" s="11"/>
      <c r="AU860" s="11"/>
      <c r="AV860" s="11"/>
      <c r="AW860" s="11"/>
      <c r="AX860" s="11"/>
      <c r="AY860" s="11"/>
    </row>
    <row r="861" customFormat="false" ht="15.75" hidden="false" customHeight="true" outlineLevel="0" collapsed="false">
      <c r="AQ861" s="8"/>
      <c r="AR861" s="11"/>
      <c r="AS861" s="11"/>
      <c r="AT861" s="11"/>
      <c r="AU861" s="11"/>
      <c r="AV861" s="11"/>
      <c r="AW861" s="11"/>
      <c r="AX861" s="11"/>
      <c r="AY861" s="11"/>
    </row>
    <row r="862" customFormat="false" ht="15.75" hidden="false" customHeight="true" outlineLevel="0" collapsed="false">
      <c r="AQ862" s="8"/>
      <c r="AR862" s="11"/>
      <c r="AS862" s="11"/>
      <c r="AT862" s="11"/>
      <c r="AU862" s="11"/>
      <c r="AV862" s="11"/>
      <c r="AW862" s="11"/>
      <c r="AX862" s="11"/>
      <c r="AY862" s="11"/>
    </row>
    <row r="863" customFormat="false" ht="15.75" hidden="false" customHeight="true" outlineLevel="0" collapsed="false">
      <c r="AQ863" s="8"/>
      <c r="AR863" s="11"/>
      <c r="AS863" s="11"/>
      <c r="AT863" s="11"/>
      <c r="AU863" s="11"/>
      <c r="AV863" s="11"/>
      <c r="AW863" s="11"/>
      <c r="AX863" s="11"/>
      <c r="AY863" s="11"/>
    </row>
    <row r="864" customFormat="false" ht="15.75" hidden="false" customHeight="true" outlineLevel="0" collapsed="false">
      <c r="AQ864" s="8"/>
      <c r="AR864" s="11"/>
      <c r="AS864" s="11"/>
      <c r="AT864" s="11"/>
      <c r="AU864" s="11"/>
      <c r="AV864" s="11"/>
      <c r="AW864" s="11"/>
      <c r="AX864" s="11"/>
      <c r="AY864" s="11"/>
    </row>
    <row r="865" customFormat="false" ht="15.75" hidden="false" customHeight="true" outlineLevel="0" collapsed="false">
      <c r="AQ865" s="8"/>
      <c r="AR865" s="11"/>
      <c r="AS865" s="11"/>
      <c r="AT865" s="11"/>
      <c r="AU865" s="11"/>
      <c r="AV865" s="11"/>
      <c r="AW865" s="11"/>
      <c r="AX865" s="11"/>
      <c r="AY865" s="11"/>
    </row>
    <row r="866" customFormat="false" ht="15.75" hidden="false" customHeight="true" outlineLevel="0" collapsed="false">
      <c r="AQ866" s="8"/>
      <c r="AR866" s="11"/>
      <c r="AS866" s="11"/>
      <c r="AT866" s="11"/>
      <c r="AU866" s="11"/>
      <c r="AV866" s="11"/>
      <c r="AW866" s="11"/>
      <c r="AX866" s="11"/>
      <c r="AY866" s="11"/>
    </row>
    <row r="867" customFormat="false" ht="15.75" hidden="false" customHeight="true" outlineLevel="0" collapsed="false">
      <c r="AQ867" s="8"/>
      <c r="AR867" s="11"/>
      <c r="AS867" s="11"/>
      <c r="AT867" s="11"/>
      <c r="AU867" s="11"/>
      <c r="AV867" s="11"/>
      <c r="AW867" s="11"/>
      <c r="AX867" s="11"/>
      <c r="AY867" s="11"/>
    </row>
    <row r="868" customFormat="false" ht="15.75" hidden="false" customHeight="true" outlineLevel="0" collapsed="false">
      <c r="AQ868" s="8"/>
      <c r="AR868" s="11"/>
      <c r="AS868" s="11"/>
      <c r="AT868" s="11"/>
      <c r="AU868" s="11"/>
      <c r="AV868" s="11"/>
      <c r="AW868" s="11"/>
      <c r="AX868" s="11"/>
      <c r="AY868" s="11"/>
    </row>
    <row r="869" customFormat="false" ht="15.75" hidden="false" customHeight="true" outlineLevel="0" collapsed="false">
      <c r="AQ869" s="8"/>
      <c r="AR869" s="11"/>
      <c r="AS869" s="11"/>
      <c r="AT869" s="11"/>
      <c r="AU869" s="11"/>
      <c r="AV869" s="11"/>
      <c r="AW869" s="11"/>
      <c r="AX869" s="11"/>
      <c r="AY869" s="11"/>
    </row>
    <row r="870" customFormat="false" ht="15.75" hidden="false" customHeight="true" outlineLevel="0" collapsed="false">
      <c r="AQ870" s="8"/>
      <c r="AR870" s="11"/>
      <c r="AS870" s="11"/>
      <c r="AT870" s="11"/>
      <c r="AU870" s="11"/>
      <c r="AV870" s="11"/>
      <c r="AW870" s="11"/>
      <c r="AX870" s="11"/>
      <c r="AY870" s="11"/>
    </row>
    <row r="871" customFormat="false" ht="15.75" hidden="false" customHeight="true" outlineLevel="0" collapsed="false">
      <c r="AQ871" s="8"/>
      <c r="AR871" s="11"/>
      <c r="AS871" s="11"/>
      <c r="AT871" s="11"/>
      <c r="AU871" s="11"/>
      <c r="AV871" s="11"/>
      <c r="AW871" s="11"/>
      <c r="AX871" s="11"/>
      <c r="AY871" s="11"/>
    </row>
    <row r="872" customFormat="false" ht="15.75" hidden="false" customHeight="true" outlineLevel="0" collapsed="false">
      <c r="AQ872" s="8"/>
      <c r="AR872" s="11"/>
      <c r="AS872" s="11"/>
      <c r="AT872" s="11"/>
      <c r="AU872" s="11"/>
      <c r="AV872" s="11"/>
      <c r="AW872" s="11"/>
      <c r="AX872" s="11"/>
      <c r="AY872" s="11"/>
    </row>
    <row r="873" customFormat="false" ht="15.75" hidden="false" customHeight="true" outlineLevel="0" collapsed="false">
      <c r="AQ873" s="8"/>
      <c r="AR873" s="11"/>
      <c r="AS873" s="11"/>
      <c r="AT873" s="11"/>
      <c r="AU873" s="11"/>
      <c r="AV873" s="11"/>
      <c r="AW873" s="11"/>
      <c r="AX873" s="11"/>
      <c r="AY873" s="11"/>
    </row>
    <row r="874" customFormat="false" ht="15.75" hidden="false" customHeight="true" outlineLevel="0" collapsed="false">
      <c r="AQ874" s="8"/>
      <c r="AR874" s="11"/>
      <c r="AS874" s="11"/>
      <c r="AT874" s="11"/>
      <c r="AU874" s="11"/>
      <c r="AV874" s="11"/>
      <c r="AW874" s="11"/>
      <c r="AX874" s="11"/>
      <c r="AY874" s="11"/>
    </row>
    <row r="875" customFormat="false" ht="15.75" hidden="false" customHeight="true" outlineLevel="0" collapsed="false">
      <c r="AQ875" s="8"/>
      <c r="AR875" s="11"/>
      <c r="AS875" s="11"/>
      <c r="AT875" s="11"/>
      <c r="AU875" s="11"/>
      <c r="AV875" s="11"/>
      <c r="AW875" s="11"/>
      <c r="AX875" s="11"/>
      <c r="AY875" s="11"/>
    </row>
    <row r="876" customFormat="false" ht="15.75" hidden="false" customHeight="true" outlineLevel="0" collapsed="false">
      <c r="AQ876" s="8"/>
      <c r="AR876" s="11"/>
      <c r="AS876" s="11"/>
      <c r="AT876" s="11"/>
      <c r="AU876" s="11"/>
      <c r="AV876" s="11"/>
      <c r="AW876" s="11"/>
      <c r="AX876" s="11"/>
      <c r="AY876" s="11"/>
    </row>
    <row r="877" customFormat="false" ht="15.75" hidden="false" customHeight="true" outlineLevel="0" collapsed="false">
      <c r="AQ877" s="8"/>
      <c r="AR877" s="11"/>
      <c r="AS877" s="11"/>
      <c r="AT877" s="11"/>
      <c r="AU877" s="11"/>
      <c r="AV877" s="11"/>
      <c r="AW877" s="11"/>
      <c r="AX877" s="11"/>
      <c r="AY877" s="11"/>
    </row>
    <row r="878" customFormat="false" ht="15.75" hidden="false" customHeight="true" outlineLevel="0" collapsed="false">
      <c r="AQ878" s="8"/>
      <c r="AR878" s="11"/>
      <c r="AS878" s="11"/>
      <c r="AT878" s="11"/>
      <c r="AU878" s="11"/>
      <c r="AV878" s="11"/>
      <c r="AW878" s="11"/>
      <c r="AX878" s="11"/>
      <c r="AY878" s="11"/>
    </row>
    <row r="879" customFormat="false" ht="15.75" hidden="false" customHeight="true" outlineLevel="0" collapsed="false">
      <c r="AQ879" s="8"/>
      <c r="AR879" s="11"/>
      <c r="AS879" s="11"/>
      <c r="AT879" s="11"/>
      <c r="AU879" s="11"/>
      <c r="AV879" s="11"/>
      <c r="AW879" s="11"/>
      <c r="AX879" s="11"/>
      <c r="AY879" s="11"/>
    </row>
    <row r="880" customFormat="false" ht="15.75" hidden="false" customHeight="true" outlineLevel="0" collapsed="false">
      <c r="AQ880" s="8"/>
      <c r="AR880" s="11"/>
      <c r="AS880" s="11"/>
      <c r="AT880" s="11"/>
      <c r="AU880" s="11"/>
      <c r="AV880" s="11"/>
      <c r="AW880" s="11"/>
      <c r="AX880" s="11"/>
      <c r="AY880" s="11"/>
    </row>
    <row r="881" customFormat="false" ht="15.75" hidden="false" customHeight="true" outlineLevel="0" collapsed="false">
      <c r="AQ881" s="8"/>
      <c r="AR881" s="11"/>
      <c r="AS881" s="11"/>
      <c r="AT881" s="11"/>
      <c r="AU881" s="11"/>
      <c r="AV881" s="11"/>
      <c r="AW881" s="11"/>
      <c r="AX881" s="11"/>
      <c r="AY881" s="11"/>
    </row>
    <row r="882" customFormat="false" ht="15.75" hidden="false" customHeight="true" outlineLevel="0" collapsed="false">
      <c r="AQ882" s="8"/>
      <c r="AR882" s="11"/>
      <c r="AS882" s="11"/>
      <c r="AT882" s="11"/>
      <c r="AU882" s="11"/>
      <c r="AV882" s="11"/>
      <c r="AW882" s="11"/>
      <c r="AX882" s="11"/>
      <c r="AY882" s="11"/>
    </row>
    <row r="883" customFormat="false" ht="15.75" hidden="false" customHeight="true" outlineLevel="0" collapsed="false">
      <c r="AQ883" s="8"/>
      <c r="AR883" s="11"/>
      <c r="AS883" s="11"/>
      <c r="AT883" s="11"/>
      <c r="AU883" s="11"/>
      <c r="AV883" s="11"/>
      <c r="AW883" s="11"/>
      <c r="AX883" s="11"/>
      <c r="AY883" s="11"/>
    </row>
    <row r="884" customFormat="false" ht="15.75" hidden="false" customHeight="true" outlineLevel="0" collapsed="false">
      <c r="AQ884" s="8"/>
      <c r="AR884" s="11"/>
      <c r="AS884" s="11"/>
      <c r="AT884" s="11"/>
      <c r="AU884" s="11"/>
      <c r="AV884" s="11"/>
      <c r="AW884" s="11"/>
      <c r="AX884" s="11"/>
      <c r="AY884" s="11"/>
    </row>
    <row r="885" customFormat="false" ht="15.75" hidden="false" customHeight="true" outlineLevel="0" collapsed="false">
      <c r="AQ885" s="8"/>
      <c r="AR885" s="11"/>
      <c r="AS885" s="11"/>
      <c r="AT885" s="11"/>
      <c r="AU885" s="11"/>
      <c r="AV885" s="11"/>
      <c r="AW885" s="11"/>
      <c r="AX885" s="11"/>
      <c r="AY885" s="11"/>
    </row>
    <row r="886" customFormat="false" ht="15.75" hidden="false" customHeight="true" outlineLevel="0" collapsed="false">
      <c r="AQ886" s="8"/>
      <c r="AR886" s="11"/>
      <c r="AS886" s="11"/>
      <c r="AT886" s="11"/>
      <c r="AU886" s="11"/>
      <c r="AV886" s="11"/>
      <c r="AW886" s="11"/>
      <c r="AX886" s="11"/>
      <c r="AY886" s="11"/>
    </row>
    <row r="887" customFormat="false" ht="15.75" hidden="false" customHeight="true" outlineLevel="0" collapsed="false">
      <c r="AQ887" s="8"/>
      <c r="AR887" s="11"/>
      <c r="AS887" s="11"/>
      <c r="AT887" s="11"/>
      <c r="AU887" s="11"/>
      <c r="AV887" s="11"/>
      <c r="AW887" s="11"/>
      <c r="AX887" s="11"/>
      <c r="AY887" s="11"/>
    </row>
    <row r="888" customFormat="false" ht="15.75" hidden="false" customHeight="true" outlineLevel="0" collapsed="false">
      <c r="AQ888" s="8"/>
      <c r="AR888" s="11"/>
      <c r="AS888" s="11"/>
      <c r="AT888" s="11"/>
      <c r="AU888" s="11"/>
      <c r="AV888" s="11"/>
      <c r="AW888" s="11"/>
      <c r="AX888" s="11"/>
      <c r="AY888" s="11"/>
    </row>
    <row r="889" customFormat="false" ht="15.75" hidden="false" customHeight="true" outlineLevel="0" collapsed="false">
      <c r="AQ889" s="8"/>
      <c r="AR889" s="11"/>
      <c r="AS889" s="11"/>
      <c r="AT889" s="11"/>
      <c r="AU889" s="11"/>
      <c r="AV889" s="11"/>
      <c r="AW889" s="11"/>
      <c r="AX889" s="11"/>
      <c r="AY889" s="11"/>
    </row>
    <row r="890" customFormat="false" ht="15.75" hidden="false" customHeight="true" outlineLevel="0" collapsed="false">
      <c r="AQ890" s="8"/>
      <c r="AR890" s="11"/>
      <c r="AS890" s="11"/>
      <c r="AT890" s="11"/>
      <c r="AU890" s="11"/>
      <c r="AV890" s="11"/>
      <c r="AW890" s="11"/>
      <c r="AX890" s="11"/>
      <c r="AY890" s="11"/>
    </row>
    <row r="891" customFormat="false" ht="15.75" hidden="false" customHeight="true" outlineLevel="0" collapsed="false">
      <c r="AQ891" s="8"/>
      <c r="AR891" s="11"/>
      <c r="AS891" s="11"/>
      <c r="AT891" s="11"/>
      <c r="AU891" s="11"/>
      <c r="AV891" s="11"/>
      <c r="AW891" s="11"/>
      <c r="AX891" s="11"/>
      <c r="AY891" s="11"/>
    </row>
    <row r="892" customFormat="false" ht="15.75" hidden="false" customHeight="true" outlineLevel="0" collapsed="false">
      <c r="AQ892" s="8"/>
      <c r="AR892" s="11"/>
      <c r="AS892" s="11"/>
      <c r="AT892" s="11"/>
      <c r="AU892" s="11"/>
      <c r="AV892" s="11"/>
      <c r="AW892" s="11"/>
      <c r="AX892" s="11"/>
      <c r="AY892" s="11"/>
    </row>
    <row r="893" customFormat="false" ht="15.75" hidden="false" customHeight="true" outlineLevel="0" collapsed="false">
      <c r="AQ893" s="8"/>
      <c r="AR893" s="11"/>
      <c r="AS893" s="11"/>
      <c r="AT893" s="11"/>
      <c r="AU893" s="11"/>
      <c r="AV893" s="11"/>
      <c r="AW893" s="11"/>
      <c r="AX893" s="11"/>
      <c r="AY893" s="11"/>
    </row>
    <row r="894" customFormat="false" ht="15.75" hidden="false" customHeight="true" outlineLevel="0" collapsed="false">
      <c r="AQ894" s="8"/>
      <c r="AR894" s="11"/>
      <c r="AS894" s="11"/>
      <c r="AT894" s="11"/>
      <c r="AU894" s="11"/>
      <c r="AV894" s="11"/>
      <c r="AW894" s="11"/>
      <c r="AX894" s="11"/>
      <c r="AY894" s="11"/>
    </row>
    <row r="895" customFormat="false" ht="15.75" hidden="false" customHeight="true" outlineLevel="0" collapsed="false">
      <c r="AQ895" s="8"/>
      <c r="AR895" s="11"/>
      <c r="AS895" s="11"/>
      <c r="AT895" s="11"/>
      <c r="AU895" s="11"/>
      <c r="AV895" s="11"/>
      <c r="AW895" s="11"/>
      <c r="AX895" s="11"/>
      <c r="AY895" s="11"/>
    </row>
    <row r="896" customFormat="false" ht="15.75" hidden="false" customHeight="true" outlineLevel="0" collapsed="false">
      <c r="AQ896" s="8"/>
      <c r="AR896" s="11"/>
      <c r="AS896" s="11"/>
      <c r="AT896" s="11"/>
      <c r="AU896" s="11"/>
      <c r="AV896" s="11"/>
      <c r="AW896" s="11"/>
      <c r="AX896" s="11"/>
      <c r="AY896" s="11"/>
    </row>
    <row r="897" customFormat="false" ht="15.75" hidden="false" customHeight="true" outlineLevel="0" collapsed="false">
      <c r="AQ897" s="8"/>
      <c r="AR897" s="11"/>
      <c r="AS897" s="11"/>
      <c r="AT897" s="11"/>
      <c r="AU897" s="11"/>
      <c r="AV897" s="11"/>
      <c r="AW897" s="11"/>
      <c r="AX897" s="11"/>
      <c r="AY897" s="11"/>
    </row>
    <row r="898" customFormat="false" ht="15.75" hidden="false" customHeight="true" outlineLevel="0" collapsed="false">
      <c r="AQ898" s="8"/>
      <c r="AR898" s="11"/>
      <c r="AS898" s="11"/>
      <c r="AT898" s="11"/>
      <c r="AU898" s="11"/>
      <c r="AV898" s="11"/>
      <c r="AW898" s="11"/>
      <c r="AX898" s="11"/>
      <c r="AY898" s="11"/>
    </row>
    <row r="899" customFormat="false" ht="15.75" hidden="false" customHeight="true" outlineLevel="0" collapsed="false">
      <c r="AQ899" s="8"/>
      <c r="AR899" s="11"/>
      <c r="AS899" s="11"/>
      <c r="AT899" s="11"/>
      <c r="AU899" s="11"/>
      <c r="AV899" s="11"/>
      <c r="AW899" s="11"/>
      <c r="AX899" s="11"/>
      <c r="AY899" s="11"/>
    </row>
    <row r="900" customFormat="false" ht="15.75" hidden="false" customHeight="true" outlineLevel="0" collapsed="false">
      <c r="AQ900" s="8"/>
      <c r="AR900" s="11"/>
      <c r="AS900" s="11"/>
      <c r="AT900" s="11"/>
      <c r="AU900" s="11"/>
      <c r="AV900" s="11"/>
      <c r="AW900" s="11"/>
      <c r="AX900" s="11"/>
      <c r="AY900" s="11"/>
    </row>
    <row r="901" customFormat="false" ht="15.75" hidden="false" customHeight="true" outlineLevel="0" collapsed="false">
      <c r="AQ901" s="8"/>
      <c r="AR901" s="11"/>
      <c r="AS901" s="11"/>
      <c r="AT901" s="11"/>
      <c r="AU901" s="11"/>
      <c r="AV901" s="11"/>
      <c r="AW901" s="11"/>
      <c r="AX901" s="11"/>
      <c r="AY901" s="11"/>
    </row>
    <row r="902" customFormat="false" ht="15.75" hidden="false" customHeight="true" outlineLevel="0" collapsed="false">
      <c r="AQ902" s="8"/>
      <c r="AR902" s="11"/>
      <c r="AS902" s="11"/>
      <c r="AT902" s="11"/>
      <c r="AU902" s="11"/>
      <c r="AV902" s="11"/>
      <c r="AW902" s="11"/>
      <c r="AX902" s="11"/>
      <c r="AY902" s="11"/>
    </row>
    <row r="903" customFormat="false" ht="15.75" hidden="false" customHeight="true" outlineLevel="0" collapsed="false">
      <c r="AQ903" s="8"/>
      <c r="AR903" s="11"/>
      <c r="AS903" s="11"/>
      <c r="AT903" s="11"/>
      <c r="AU903" s="11"/>
      <c r="AV903" s="11"/>
      <c r="AW903" s="11"/>
      <c r="AX903" s="11"/>
      <c r="AY903" s="11"/>
    </row>
    <row r="904" customFormat="false" ht="15.75" hidden="false" customHeight="true" outlineLevel="0" collapsed="false">
      <c r="AQ904" s="8"/>
      <c r="AR904" s="11"/>
      <c r="AS904" s="11"/>
      <c r="AT904" s="11"/>
      <c r="AU904" s="11"/>
      <c r="AV904" s="11"/>
      <c r="AW904" s="11"/>
      <c r="AX904" s="11"/>
      <c r="AY904" s="11"/>
    </row>
    <row r="905" customFormat="false" ht="15.75" hidden="false" customHeight="true" outlineLevel="0" collapsed="false">
      <c r="AQ905" s="8"/>
      <c r="AR905" s="11"/>
      <c r="AS905" s="11"/>
      <c r="AT905" s="11"/>
      <c r="AU905" s="11"/>
      <c r="AV905" s="11"/>
      <c r="AW905" s="11"/>
      <c r="AX905" s="11"/>
      <c r="AY905" s="11"/>
    </row>
    <row r="906" customFormat="false" ht="15.75" hidden="false" customHeight="true" outlineLevel="0" collapsed="false">
      <c r="AQ906" s="8"/>
      <c r="AR906" s="11"/>
      <c r="AS906" s="11"/>
      <c r="AT906" s="11"/>
      <c r="AU906" s="11"/>
      <c r="AV906" s="11"/>
      <c r="AW906" s="11"/>
      <c r="AX906" s="11"/>
      <c r="AY906" s="11"/>
    </row>
    <row r="907" customFormat="false" ht="15.75" hidden="false" customHeight="true" outlineLevel="0" collapsed="false">
      <c r="AQ907" s="8"/>
      <c r="AR907" s="11"/>
      <c r="AS907" s="11"/>
      <c r="AT907" s="11"/>
      <c r="AU907" s="11"/>
      <c r="AV907" s="11"/>
      <c r="AW907" s="11"/>
      <c r="AX907" s="11"/>
      <c r="AY907" s="11"/>
    </row>
    <row r="908" customFormat="false" ht="15.75" hidden="false" customHeight="true" outlineLevel="0" collapsed="false">
      <c r="AQ908" s="8"/>
      <c r="AR908" s="11"/>
      <c r="AS908" s="11"/>
      <c r="AT908" s="11"/>
      <c r="AU908" s="11"/>
      <c r="AV908" s="11"/>
      <c r="AW908" s="11"/>
      <c r="AX908" s="11"/>
      <c r="AY908" s="11"/>
    </row>
    <row r="909" customFormat="false" ht="15.75" hidden="false" customHeight="true" outlineLevel="0" collapsed="false">
      <c r="AQ909" s="8"/>
      <c r="AR909" s="11"/>
      <c r="AS909" s="11"/>
      <c r="AT909" s="11"/>
      <c r="AU909" s="11"/>
      <c r="AV909" s="11"/>
      <c r="AW909" s="11"/>
      <c r="AX909" s="11"/>
      <c r="AY909" s="11"/>
    </row>
    <row r="910" customFormat="false" ht="15.75" hidden="false" customHeight="true" outlineLevel="0" collapsed="false">
      <c r="AQ910" s="8"/>
      <c r="AR910" s="11"/>
      <c r="AS910" s="11"/>
      <c r="AT910" s="11"/>
      <c r="AU910" s="11"/>
      <c r="AV910" s="11"/>
      <c r="AW910" s="11"/>
      <c r="AX910" s="11"/>
      <c r="AY910" s="11"/>
    </row>
    <row r="911" customFormat="false" ht="15.75" hidden="false" customHeight="true" outlineLevel="0" collapsed="false">
      <c r="AQ911" s="8"/>
      <c r="AR911" s="11"/>
      <c r="AS911" s="11"/>
      <c r="AT911" s="11"/>
      <c r="AU911" s="11"/>
      <c r="AV911" s="11"/>
      <c r="AW911" s="11"/>
      <c r="AX911" s="11"/>
      <c r="AY911" s="11"/>
    </row>
    <row r="912" customFormat="false" ht="15.75" hidden="false" customHeight="true" outlineLevel="0" collapsed="false">
      <c r="AQ912" s="8"/>
      <c r="AR912" s="11"/>
      <c r="AS912" s="11"/>
      <c r="AT912" s="11"/>
      <c r="AU912" s="11"/>
      <c r="AV912" s="11"/>
      <c r="AW912" s="11"/>
      <c r="AX912" s="11"/>
      <c r="AY912" s="11"/>
    </row>
    <row r="913" customFormat="false" ht="15.75" hidden="false" customHeight="true" outlineLevel="0" collapsed="false">
      <c r="AQ913" s="8"/>
      <c r="AR913" s="11"/>
      <c r="AS913" s="11"/>
      <c r="AT913" s="11"/>
      <c r="AU913" s="11"/>
      <c r="AV913" s="11"/>
      <c r="AW913" s="11"/>
      <c r="AX913" s="11"/>
      <c r="AY913" s="11"/>
    </row>
    <row r="914" customFormat="false" ht="15.75" hidden="false" customHeight="true" outlineLevel="0" collapsed="false">
      <c r="AQ914" s="8"/>
      <c r="AR914" s="11"/>
      <c r="AS914" s="11"/>
      <c r="AT914" s="11"/>
      <c r="AU914" s="11"/>
      <c r="AV914" s="11"/>
      <c r="AW914" s="11"/>
      <c r="AX914" s="11"/>
      <c r="AY914" s="11"/>
    </row>
    <row r="915" customFormat="false" ht="15.75" hidden="false" customHeight="true" outlineLevel="0" collapsed="false">
      <c r="AQ915" s="8"/>
      <c r="AR915" s="11"/>
      <c r="AS915" s="11"/>
      <c r="AT915" s="11"/>
      <c r="AU915" s="11"/>
      <c r="AV915" s="11"/>
      <c r="AW915" s="11"/>
      <c r="AX915" s="11"/>
      <c r="AY915" s="11"/>
    </row>
    <row r="916" customFormat="false" ht="15.75" hidden="false" customHeight="true" outlineLevel="0" collapsed="false">
      <c r="AQ916" s="8"/>
      <c r="AR916" s="11"/>
      <c r="AS916" s="11"/>
      <c r="AT916" s="11"/>
      <c r="AU916" s="11"/>
      <c r="AV916" s="11"/>
      <c r="AW916" s="11"/>
      <c r="AX916" s="11"/>
      <c r="AY916" s="11"/>
    </row>
    <row r="917" customFormat="false" ht="15.75" hidden="false" customHeight="true" outlineLevel="0" collapsed="false">
      <c r="AQ917" s="8"/>
      <c r="AR917" s="11"/>
      <c r="AS917" s="11"/>
      <c r="AT917" s="11"/>
      <c r="AU917" s="11"/>
      <c r="AV917" s="11"/>
      <c r="AW917" s="11"/>
      <c r="AX917" s="11"/>
      <c r="AY917" s="11"/>
    </row>
    <row r="918" customFormat="false" ht="15.75" hidden="false" customHeight="true" outlineLevel="0" collapsed="false">
      <c r="AQ918" s="8"/>
      <c r="AR918" s="11"/>
      <c r="AS918" s="11"/>
      <c r="AT918" s="11"/>
      <c r="AU918" s="11"/>
      <c r="AV918" s="11"/>
      <c r="AW918" s="11"/>
      <c r="AX918" s="11"/>
      <c r="AY918" s="11"/>
    </row>
    <row r="919" customFormat="false" ht="15.75" hidden="false" customHeight="true" outlineLevel="0" collapsed="false">
      <c r="AQ919" s="8"/>
      <c r="AR919" s="11"/>
      <c r="AS919" s="11"/>
      <c r="AT919" s="11"/>
      <c r="AU919" s="11"/>
      <c r="AV919" s="11"/>
      <c r="AW919" s="11"/>
      <c r="AX919" s="11"/>
      <c r="AY919" s="11"/>
    </row>
    <row r="920" customFormat="false" ht="15.75" hidden="false" customHeight="true" outlineLevel="0" collapsed="false">
      <c r="AQ920" s="8"/>
      <c r="AR920" s="11"/>
      <c r="AS920" s="11"/>
      <c r="AT920" s="11"/>
      <c r="AU920" s="11"/>
      <c r="AV920" s="11"/>
      <c r="AW920" s="11"/>
      <c r="AX920" s="11"/>
      <c r="AY920" s="11"/>
    </row>
    <row r="921" customFormat="false" ht="15.75" hidden="false" customHeight="true" outlineLevel="0" collapsed="false">
      <c r="AQ921" s="8"/>
      <c r="AR921" s="11"/>
      <c r="AS921" s="11"/>
      <c r="AT921" s="11"/>
      <c r="AU921" s="11"/>
      <c r="AV921" s="11"/>
      <c r="AW921" s="11"/>
      <c r="AX921" s="11"/>
      <c r="AY921" s="11"/>
    </row>
    <row r="922" customFormat="false" ht="15.75" hidden="false" customHeight="true" outlineLevel="0" collapsed="false">
      <c r="AQ922" s="8"/>
      <c r="AR922" s="11"/>
      <c r="AS922" s="11"/>
      <c r="AT922" s="11"/>
      <c r="AU922" s="11"/>
      <c r="AV922" s="11"/>
      <c r="AW922" s="11"/>
      <c r="AX922" s="11"/>
      <c r="AY922" s="11"/>
    </row>
    <row r="923" customFormat="false" ht="15.75" hidden="false" customHeight="true" outlineLevel="0" collapsed="false">
      <c r="AQ923" s="8"/>
      <c r="AR923" s="11"/>
      <c r="AS923" s="11"/>
      <c r="AT923" s="11"/>
      <c r="AU923" s="11"/>
      <c r="AV923" s="11"/>
      <c r="AW923" s="11"/>
      <c r="AX923" s="11"/>
      <c r="AY923" s="11"/>
    </row>
    <row r="924" customFormat="false" ht="15.75" hidden="false" customHeight="true" outlineLevel="0" collapsed="false">
      <c r="AQ924" s="8"/>
      <c r="AR924" s="11"/>
      <c r="AS924" s="11"/>
      <c r="AT924" s="11"/>
      <c r="AU924" s="11"/>
      <c r="AV924" s="11"/>
      <c r="AW924" s="11"/>
      <c r="AX924" s="11"/>
      <c r="AY924" s="11"/>
    </row>
    <row r="925" customFormat="false" ht="15.75" hidden="false" customHeight="true" outlineLevel="0" collapsed="false">
      <c r="AQ925" s="8"/>
      <c r="AR925" s="11"/>
      <c r="AS925" s="11"/>
      <c r="AT925" s="11"/>
      <c r="AU925" s="11"/>
      <c r="AV925" s="11"/>
      <c r="AW925" s="11"/>
      <c r="AX925" s="11"/>
      <c r="AY925" s="11"/>
    </row>
    <row r="926" customFormat="false" ht="15.75" hidden="false" customHeight="true" outlineLevel="0" collapsed="false">
      <c r="AQ926" s="8"/>
      <c r="AR926" s="11"/>
      <c r="AS926" s="11"/>
      <c r="AT926" s="11"/>
      <c r="AU926" s="11"/>
      <c r="AV926" s="11"/>
      <c r="AW926" s="11"/>
      <c r="AX926" s="11"/>
      <c r="AY926" s="11"/>
    </row>
    <row r="927" customFormat="false" ht="15.75" hidden="false" customHeight="true" outlineLevel="0" collapsed="false">
      <c r="AQ927" s="8"/>
      <c r="AR927" s="11"/>
      <c r="AS927" s="11"/>
      <c r="AT927" s="11"/>
      <c r="AU927" s="11"/>
      <c r="AV927" s="11"/>
      <c r="AW927" s="11"/>
      <c r="AX927" s="11"/>
      <c r="AY927" s="11"/>
    </row>
    <row r="928" customFormat="false" ht="15.75" hidden="false" customHeight="true" outlineLevel="0" collapsed="false">
      <c r="AQ928" s="8"/>
      <c r="AR928" s="11"/>
      <c r="AS928" s="11"/>
      <c r="AT928" s="11"/>
      <c r="AU928" s="11"/>
      <c r="AV928" s="11"/>
      <c r="AW928" s="11"/>
      <c r="AX928" s="11"/>
      <c r="AY928" s="11"/>
    </row>
    <row r="929" customFormat="false" ht="15.75" hidden="false" customHeight="true" outlineLevel="0" collapsed="false">
      <c r="AQ929" s="8"/>
      <c r="AR929" s="11"/>
      <c r="AS929" s="11"/>
      <c r="AT929" s="11"/>
      <c r="AU929" s="11"/>
      <c r="AV929" s="11"/>
      <c r="AW929" s="11"/>
      <c r="AX929" s="11"/>
      <c r="AY929" s="11"/>
    </row>
    <row r="930" customFormat="false" ht="15.75" hidden="false" customHeight="true" outlineLevel="0" collapsed="false">
      <c r="AQ930" s="8"/>
      <c r="AR930" s="11"/>
      <c r="AS930" s="11"/>
      <c r="AT930" s="11"/>
      <c r="AU930" s="11"/>
      <c r="AV930" s="11"/>
      <c r="AW930" s="11"/>
      <c r="AX930" s="11"/>
      <c r="AY930" s="11"/>
    </row>
    <row r="931" customFormat="false" ht="15.75" hidden="false" customHeight="true" outlineLevel="0" collapsed="false">
      <c r="AQ931" s="8"/>
      <c r="AR931" s="11"/>
      <c r="AS931" s="11"/>
      <c r="AT931" s="11"/>
      <c r="AU931" s="11"/>
      <c r="AV931" s="11"/>
      <c r="AW931" s="11"/>
      <c r="AX931" s="11"/>
      <c r="AY931" s="11"/>
    </row>
    <row r="932" customFormat="false" ht="15.75" hidden="false" customHeight="true" outlineLevel="0" collapsed="false">
      <c r="AQ932" s="8"/>
      <c r="AR932" s="11"/>
      <c r="AS932" s="11"/>
      <c r="AT932" s="11"/>
      <c r="AU932" s="11"/>
      <c r="AV932" s="11"/>
      <c r="AW932" s="11"/>
      <c r="AX932" s="11"/>
      <c r="AY932" s="11"/>
    </row>
    <row r="933" customFormat="false" ht="15.75" hidden="false" customHeight="true" outlineLevel="0" collapsed="false">
      <c r="AQ933" s="8"/>
      <c r="AR933" s="11"/>
      <c r="AS933" s="11"/>
      <c r="AT933" s="11"/>
      <c r="AU933" s="11"/>
      <c r="AV933" s="11"/>
      <c r="AW933" s="11"/>
      <c r="AX933" s="11"/>
      <c r="AY933" s="11"/>
    </row>
    <row r="934" customFormat="false" ht="15.75" hidden="false" customHeight="true" outlineLevel="0" collapsed="false">
      <c r="AQ934" s="8"/>
      <c r="AR934" s="11"/>
      <c r="AS934" s="11"/>
      <c r="AT934" s="11"/>
      <c r="AU934" s="11"/>
      <c r="AV934" s="11"/>
      <c r="AW934" s="11"/>
      <c r="AX934" s="11"/>
      <c r="AY934" s="11"/>
    </row>
    <row r="935" customFormat="false" ht="15.75" hidden="false" customHeight="true" outlineLevel="0" collapsed="false">
      <c r="AQ935" s="8"/>
      <c r="AR935" s="11"/>
      <c r="AS935" s="11"/>
      <c r="AT935" s="11"/>
      <c r="AU935" s="11"/>
      <c r="AV935" s="11"/>
      <c r="AW935" s="11"/>
      <c r="AX935" s="11"/>
      <c r="AY935" s="11"/>
    </row>
    <row r="936" customFormat="false" ht="15.75" hidden="false" customHeight="true" outlineLevel="0" collapsed="false">
      <c r="AQ936" s="8"/>
      <c r="AR936" s="11"/>
      <c r="AS936" s="11"/>
      <c r="AT936" s="11"/>
      <c r="AU936" s="11"/>
      <c r="AV936" s="11"/>
      <c r="AW936" s="11"/>
      <c r="AX936" s="11"/>
      <c r="AY936" s="11"/>
    </row>
    <row r="937" customFormat="false" ht="15.75" hidden="false" customHeight="true" outlineLevel="0" collapsed="false">
      <c r="AQ937" s="8"/>
      <c r="AR937" s="11"/>
      <c r="AS937" s="11"/>
      <c r="AT937" s="11"/>
      <c r="AU937" s="11"/>
      <c r="AV937" s="11"/>
      <c r="AW937" s="11"/>
      <c r="AX937" s="11"/>
      <c r="AY937" s="11"/>
    </row>
    <row r="938" customFormat="false" ht="15.75" hidden="false" customHeight="true" outlineLevel="0" collapsed="false">
      <c r="AQ938" s="8"/>
      <c r="AR938" s="11"/>
      <c r="AS938" s="11"/>
      <c r="AT938" s="11"/>
      <c r="AU938" s="11"/>
      <c r="AV938" s="11"/>
      <c r="AW938" s="11"/>
      <c r="AX938" s="11"/>
      <c r="AY938" s="11"/>
    </row>
    <row r="939" customFormat="false" ht="15.75" hidden="false" customHeight="true" outlineLevel="0" collapsed="false">
      <c r="AQ939" s="8"/>
      <c r="AR939" s="11"/>
      <c r="AS939" s="11"/>
      <c r="AT939" s="11"/>
      <c r="AU939" s="11"/>
      <c r="AV939" s="11"/>
      <c r="AW939" s="11"/>
      <c r="AX939" s="11"/>
      <c r="AY939" s="11"/>
    </row>
    <row r="940" customFormat="false" ht="15.75" hidden="false" customHeight="true" outlineLevel="0" collapsed="false">
      <c r="AQ940" s="8"/>
      <c r="AR940" s="11"/>
      <c r="AS940" s="11"/>
      <c r="AT940" s="11"/>
      <c r="AU940" s="11"/>
      <c r="AV940" s="11"/>
      <c r="AW940" s="11"/>
      <c r="AX940" s="11"/>
      <c r="AY940" s="11"/>
    </row>
    <row r="941" customFormat="false" ht="15.75" hidden="false" customHeight="true" outlineLevel="0" collapsed="false">
      <c r="AQ941" s="8"/>
      <c r="AR941" s="11"/>
      <c r="AS941" s="11"/>
      <c r="AT941" s="11"/>
      <c r="AU941" s="11"/>
      <c r="AV941" s="11"/>
      <c r="AW941" s="11"/>
      <c r="AX941" s="11"/>
      <c r="AY941" s="11"/>
    </row>
    <row r="942" customFormat="false" ht="15.75" hidden="false" customHeight="true" outlineLevel="0" collapsed="false">
      <c r="AQ942" s="8"/>
      <c r="AR942" s="11"/>
      <c r="AS942" s="11"/>
      <c r="AT942" s="11"/>
      <c r="AU942" s="11"/>
      <c r="AV942" s="11"/>
      <c r="AW942" s="11"/>
      <c r="AX942" s="11"/>
      <c r="AY942" s="11"/>
    </row>
    <row r="943" customFormat="false" ht="15.75" hidden="false" customHeight="true" outlineLevel="0" collapsed="false">
      <c r="AQ943" s="8"/>
      <c r="AR943" s="11"/>
      <c r="AS943" s="11"/>
      <c r="AT943" s="11"/>
      <c r="AU943" s="11"/>
      <c r="AV943" s="11"/>
      <c r="AW943" s="11"/>
      <c r="AX943" s="11"/>
      <c r="AY943" s="11"/>
    </row>
    <row r="944" customFormat="false" ht="15.75" hidden="false" customHeight="true" outlineLevel="0" collapsed="false">
      <c r="AQ944" s="8"/>
      <c r="AR944" s="11"/>
      <c r="AS944" s="11"/>
      <c r="AT944" s="11"/>
      <c r="AU944" s="11"/>
      <c r="AV944" s="11"/>
      <c r="AW944" s="11"/>
      <c r="AX944" s="11"/>
      <c r="AY944" s="11"/>
    </row>
    <row r="945" customFormat="false" ht="15.75" hidden="false" customHeight="true" outlineLevel="0" collapsed="false">
      <c r="AQ945" s="8"/>
      <c r="AR945" s="11"/>
      <c r="AS945" s="11"/>
      <c r="AT945" s="11"/>
      <c r="AU945" s="11"/>
      <c r="AV945" s="11"/>
      <c r="AW945" s="11"/>
      <c r="AX945" s="11"/>
      <c r="AY945" s="11"/>
    </row>
    <row r="946" customFormat="false" ht="15.75" hidden="false" customHeight="true" outlineLevel="0" collapsed="false">
      <c r="AQ946" s="8"/>
      <c r="AR946" s="11"/>
      <c r="AS946" s="11"/>
      <c r="AT946" s="11"/>
      <c r="AU946" s="11"/>
      <c r="AV946" s="11"/>
      <c r="AW946" s="11"/>
      <c r="AX946" s="11"/>
      <c r="AY946" s="11"/>
    </row>
    <row r="947" customFormat="false" ht="15.75" hidden="false" customHeight="true" outlineLevel="0" collapsed="false">
      <c r="AQ947" s="8"/>
      <c r="AR947" s="11"/>
      <c r="AS947" s="11"/>
      <c r="AT947" s="11"/>
      <c r="AU947" s="11"/>
      <c r="AV947" s="11"/>
      <c r="AW947" s="11"/>
      <c r="AX947" s="11"/>
      <c r="AY947" s="11"/>
    </row>
    <row r="948" customFormat="false" ht="15.75" hidden="false" customHeight="true" outlineLevel="0" collapsed="false">
      <c r="AQ948" s="8"/>
      <c r="AR948" s="11"/>
      <c r="AS948" s="11"/>
      <c r="AT948" s="11"/>
      <c r="AU948" s="11"/>
      <c r="AV948" s="11"/>
      <c r="AW948" s="11"/>
      <c r="AX948" s="11"/>
      <c r="AY948" s="11"/>
    </row>
    <row r="949" customFormat="false" ht="15.75" hidden="false" customHeight="true" outlineLevel="0" collapsed="false">
      <c r="AQ949" s="8"/>
      <c r="AR949" s="11"/>
      <c r="AS949" s="11"/>
      <c r="AT949" s="11"/>
      <c r="AU949" s="11"/>
      <c r="AV949" s="11"/>
      <c r="AW949" s="11"/>
      <c r="AX949" s="11"/>
      <c r="AY949" s="11"/>
    </row>
    <row r="950" customFormat="false" ht="15.75" hidden="false" customHeight="true" outlineLevel="0" collapsed="false">
      <c r="AQ950" s="8"/>
      <c r="AR950" s="11"/>
      <c r="AS950" s="11"/>
      <c r="AT950" s="11"/>
      <c r="AU950" s="11"/>
      <c r="AV950" s="11"/>
      <c r="AW950" s="11"/>
      <c r="AX950" s="11"/>
      <c r="AY950" s="11"/>
    </row>
    <row r="951" customFormat="false" ht="15.75" hidden="false" customHeight="true" outlineLevel="0" collapsed="false">
      <c r="AQ951" s="8"/>
      <c r="AR951" s="11"/>
      <c r="AS951" s="11"/>
      <c r="AT951" s="11"/>
      <c r="AU951" s="11"/>
      <c r="AV951" s="11"/>
      <c r="AW951" s="11"/>
      <c r="AX951" s="11"/>
      <c r="AY951" s="11"/>
    </row>
    <row r="952" customFormat="false" ht="15.75" hidden="false" customHeight="true" outlineLevel="0" collapsed="false">
      <c r="AQ952" s="8"/>
      <c r="AR952" s="11"/>
      <c r="AS952" s="11"/>
      <c r="AT952" s="11"/>
      <c r="AU952" s="11"/>
      <c r="AV952" s="11"/>
      <c r="AW952" s="11"/>
      <c r="AX952" s="11"/>
      <c r="AY952" s="11"/>
    </row>
    <row r="953" customFormat="false" ht="15.75" hidden="false" customHeight="true" outlineLevel="0" collapsed="false">
      <c r="AQ953" s="8"/>
      <c r="AR953" s="11"/>
      <c r="AS953" s="11"/>
      <c r="AT953" s="11"/>
      <c r="AU953" s="11"/>
      <c r="AV953" s="11"/>
      <c r="AW953" s="11"/>
      <c r="AX953" s="11"/>
      <c r="AY953" s="11"/>
    </row>
    <row r="954" customFormat="false" ht="15.75" hidden="false" customHeight="true" outlineLevel="0" collapsed="false">
      <c r="AQ954" s="8"/>
      <c r="AR954" s="11"/>
      <c r="AS954" s="11"/>
      <c r="AT954" s="11"/>
      <c r="AU954" s="11"/>
      <c r="AV954" s="11"/>
      <c r="AW954" s="11"/>
      <c r="AX954" s="11"/>
      <c r="AY954" s="11"/>
    </row>
    <row r="955" customFormat="false" ht="15.75" hidden="false" customHeight="true" outlineLevel="0" collapsed="false">
      <c r="AQ955" s="8"/>
      <c r="AR955" s="11"/>
      <c r="AS955" s="11"/>
      <c r="AT955" s="11"/>
      <c r="AU955" s="11"/>
      <c r="AV955" s="11"/>
      <c r="AW955" s="11"/>
      <c r="AX955" s="11"/>
      <c r="AY955" s="11"/>
    </row>
    <row r="956" customFormat="false" ht="15.75" hidden="false" customHeight="true" outlineLevel="0" collapsed="false">
      <c r="AQ956" s="8"/>
      <c r="AR956" s="11"/>
      <c r="AS956" s="11"/>
      <c r="AT956" s="11"/>
      <c r="AU956" s="11"/>
      <c r="AV956" s="11"/>
      <c r="AW956" s="11"/>
      <c r="AX956" s="11"/>
      <c r="AY956" s="11"/>
    </row>
    <row r="957" customFormat="false" ht="15.75" hidden="false" customHeight="true" outlineLevel="0" collapsed="false">
      <c r="AQ957" s="8"/>
      <c r="AR957" s="11"/>
      <c r="AS957" s="11"/>
      <c r="AT957" s="11"/>
      <c r="AU957" s="11"/>
      <c r="AV957" s="11"/>
      <c r="AW957" s="11"/>
      <c r="AX957" s="11"/>
      <c r="AY957" s="11"/>
    </row>
    <row r="958" customFormat="false" ht="15.75" hidden="false" customHeight="true" outlineLevel="0" collapsed="false">
      <c r="AQ958" s="8"/>
      <c r="AR958" s="11"/>
      <c r="AS958" s="11"/>
      <c r="AT958" s="11"/>
      <c r="AU958" s="11"/>
      <c r="AV958" s="11"/>
      <c r="AW958" s="11"/>
      <c r="AX958" s="11"/>
      <c r="AY958" s="11"/>
    </row>
    <row r="959" customFormat="false" ht="15.75" hidden="false" customHeight="true" outlineLevel="0" collapsed="false">
      <c r="AQ959" s="8"/>
      <c r="AR959" s="11"/>
      <c r="AS959" s="11"/>
      <c r="AT959" s="11"/>
      <c r="AU959" s="11"/>
      <c r="AV959" s="11"/>
      <c r="AW959" s="11"/>
      <c r="AX959" s="11"/>
      <c r="AY959" s="11"/>
    </row>
    <row r="960" customFormat="false" ht="15.75" hidden="false" customHeight="true" outlineLevel="0" collapsed="false">
      <c r="AQ960" s="8"/>
      <c r="AR960" s="11"/>
      <c r="AS960" s="11"/>
      <c r="AT960" s="11"/>
      <c r="AU960" s="11"/>
      <c r="AV960" s="11"/>
      <c r="AW960" s="11"/>
      <c r="AX960" s="11"/>
      <c r="AY960" s="11"/>
    </row>
    <row r="961" customFormat="false" ht="15.75" hidden="false" customHeight="true" outlineLevel="0" collapsed="false">
      <c r="AQ961" s="8"/>
      <c r="AR961" s="11"/>
      <c r="AS961" s="11"/>
      <c r="AT961" s="11"/>
      <c r="AU961" s="11"/>
      <c r="AV961" s="11"/>
      <c r="AW961" s="11"/>
      <c r="AX961" s="11"/>
      <c r="AY961" s="11"/>
    </row>
    <row r="962" customFormat="false" ht="15.75" hidden="false" customHeight="true" outlineLevel="0" collapsed="false">
      <c r="AQ962" s="8"/>
      <c r="AR962" s="11"/>
      <c r="AS962" s="11"/>
      <c r="AT962" s="11"/>
      <c r="AU962" s="11"/>
      <c r="AV962" s="11"/>
      <c r="AW962" s="11"/>
      <c r="AX962" s="11"/>
      <c r="AY962" s="11"/>
    </row>
    <row r="963" customFormat="false" ht="15.75" hidden="false" customHeight="true" outlineLevel="0" collapsed="false">
      <c r="AQ963" s="8"/>
      <c r="AR963" s="11"/>
      <c r="AS963" s="11"/>
      <c r="AT963" s="11"/>
      <c r="AU963" s="11"/>
      <c r="AV963" s="11"/>
      <c r="AW963" s="11"/>
      <c r="AX963" s="11"/>
      <c r="AY963" s="11"/>
    </row>
    <row r="964" customFormat="false" ht="15.75" hidden="false" customHeight="true" outlineLevel="0" collapsed="false">
      <c r="AQ964" s="8"/>
      <c r="AR964" s="11"/>
      <c r="AS964" s="11"/>
      <c r="AT964" s="11"/>
      <c r="AU964" s="11"/>
      <c r="AV964" s="11"/>
      <c r="AW964" s="11"/>
      <c r="AX964" s="11"/>
      <c r="AY964" s="11"/>
    </row>
    <row r="965" customFormat="false" ht="15.75" hidden="false" customHeight="true" outlineLevel="0" collapsed="false">
      <c r="AQ965" s="8"/>
      <c r="AR965" s="11"/>
      <c r="AS965" s="11"/>
      <c r="AT965" s="11"/>
      <c r="AU965" s="11"/>
      <c r="AV965" s="11"/>
      <c r="AW965" s="11"/>
      <c r="AX965" s="11"/>
      <c r="AY965" s="11"/>
    </row>
    <row r="966" customFormat="false" ht="15.75" hidden="false" customHeight="true" outlineLevel="0" collapsed="false">
      <c r="AQ966" s="8"/>
      <c r="AR966" s="11"/>
      <c r="AS966" s="11"/>
      <c r="AT966" s="11"/>
      <c r="AU966" s="11"/>
      <c r="AV966" s="11"/>
      <c r="AW966" s="11"/>
      <c r="AX966" s="11"/>
      <c r="AY966" s="11"/>
    </row>
    <row r="967" customFormat="false" ht="15.75" hidden="false" customHeight="true" outlineLevel="0" collapsed="false">
      <c r="AQ967" s="8"/>
      <c r="AR967" s="11"/>
      <c r="AS967" s="11"/>
      <c r="AT967" s="11"/>
      <c r="AU967" s="11"/>
      <c r="AV967" s="11"/>
      <c r="AW967" s="11"/>
      <c r="AX967" s="11"/>
      <c r="AY967" s="11"/>
    </row>
    <row r="968" customFormat="false" ht="15.75" hidden="false" customHeight="true" outlineLevel="0" collapsed="false">
      <c r="AQ968" s="8"/>
      <c r="AR968" s="11"/>
      <c r="AS968" s="11"/>
      <c r="AT968" s="11"/>
      <c r="AU968" s="11"/>
      <c r="AV968" s="11"/>
      <c r="AW968" s="11"/>
      <c r="AX968" s="11"/>
      <c r="AY968" s="11"/>
    </row>
    <row r="969" customFormat="false" ht="15.75" hidden="false" customHeight="true" outlineLevel="0" collapsed="false">
      <c r="AQ969" s="8"/>
      <c r="AR969" s="11"/>
      <c r="AS969" s="11"/>
      <c r="AT969" s="11"/>
      <c r="AU969" s="11"/>
      <c r="AV969" s="11"/>
      <c r="AW969" s="11"/>
      <c r="AX969" s="11"/>
      <c r="AY969" s="11"/>
    </row>
    <row r="970" customFormat="false" ht="15.75" hidden="false" customHeight="true" outlineLevel="0" collapsed="false">
      <c r="AQ970" s="8"/>
      <c r="AR970" s="11"/>
      <c r="AS970" s="11"/>
      <c r="AT970" s="11"/>
      <c r="AU970" s="11"/>
      <c r="AV970" s="11"/>
      <c r="AW970" s="11"/>
      <c r="AX970" s="11"/>
      <c r="AY970" s="11"/>
    </row>
    <row r="971" customFormat="false" ht="15.75" hidden="false" customHeight="true" outlineLevel="0" collapsed="false">
      <c r="AQ971" s="8"/>
      <c r="AR971" s="11"/>
      <c r="AS971" s="11"/>
      <c r="AT971" s="11"/>
      <c r="AU971" s="11"/>
      <c r="AV971" s="11"/>
      <c r="AW971" s="11"/>
      <c r="AX971" s="11"/>
      <c r="AY971" s="11"/>
    </row>
    <row r="972" customFormat="false" ht="15.75" hidden="false" customHeight="true" outlineLevel="0" collapsed="false">
      <c r="AQ972" s="8"/>
      <c r="AR972" s="11"/>
      <c r="AS972" s="11"/>
      <c r="AT972" s="11"/>
      <c r="AU972" s="11"/>
      <c r="AV972" s="11"/>
      <c r="AW972" s="11"/>
      <c r="AX972" s="11"/>
      <c r="AY972" s="11"/>
    </row>
    <row r="973" customFormat="false" ht="15.75" hidden="false" customHeight="true" outlineLevel="0" collapsed="false">
      <c r="AQ973" s="8"/>
      <c r="AR973" s="11"/>
      <c r="AS973" s="11"/>
      <c r="AT973" s="11"/>
      <c r="AU973" s="11"/>
      <c r="AV973" s="11"/>
      <c r="AW973" s="11"/>
      <c r="AX973" s="11"/>
      <c r="AY973" s="11"/>
    </row>
    <row r="974" customFormat="false" ht="15.75" hidden="false" customHeight="true" outlineLevel="0" collapsed="false">
      <c r="AQ974" s="8"/>
      <c r="AR974" s="11"/>
      <c r="AS974" s="11"/>
      <c r="AT974" s="11"/>
      <c r="AU974" s="11"/>
      <c r="AV974" s="11"/>
      <c r="AW974" s="11"/>
      <c r="AX974" s="11"/>
      <c r="AY974" s="11"/>
    </row>
    <row r="975" customFormat="false" ht="15.75" hidden="false" customHeight="true" outlineLevel="0" collapsed="false">
      <c r="AQ975" s="8"/>
      <c r="AR975" s="11"/>
      <c r="AS975" s="11"/>
      <c r="AT975" s="11"/>
      <c r="AU975" s="11"/>
      <c r="AV975" s="11"/>
      <c r="AW975" s="11"/>
      <c r="AX975" s="11"/>
      <c r="AY975" s="11"/>
    </row>
    <row r="976" customFormat="false" ht="15.75" hidden="false" customHeight="true" outlineLevel="0" collapsed="false">
      <c r="AQ976" s="8"/>
      <c r="AR976" s="11"/>
      <c r="AS976" s="11"/>
      <c r="AT976" s="11"/>
      <c r="AU976" s="11"/>
      <c r="AV976" s="11"/>
      <c r="AW976" s="11"/>
      <c r="AX976" s="11"/>
      <c r="AY976" s="11"/>
    </row>
    <row r="977" customFormat="false" ht="15.75" hidden="false" customHeight="true" outlineLevel="0" collapsed="false">
      <c r="AQ977" s="8"/>
      <c r="AR977" s="11"/>
      <c r="AS977" s="11"/>
      <c r="AT977" s="11"/>
      <c r="AU977" s="11"/>
      <c r="AV977" s="11"/>
      <c r="AW977" s="11"/>
      <c r="AX977" s="11"/>
      <c r="AY977" s="11"/>
    </row>
    <row r="978" customFormat="false" ht="15.75" hidden="false" customHeight="true" outlineLevel="0" collapsed="false">
      <c r="AQ978" s="8"/>
      <c r="AR978" s="11"/>
      <c r="AS978" s="11"/>
      <c r="AT978" s="11"/>
      <c r="AU978" s="11"/>
      <c r="AV978" s="11"/>
      <c r="AW978" s="11"/>
      <c r="AX978" s="11"/>
      <c r="AY978" s="11"/>
    </row>
    <row r="979" customFormat="false" ht="15.75" hidden="false" customHeight="true" outlineLevel="0" collapsed="false">
      <c r="AQ979" s="8"/>
      <c r="AR979" s="11"/>
      <c r="AS979" s="11"/>
      <c r="AT979" s="11"/>
      <c r="AU979" s="11"/>
      <c r="AV979" s="11"/>
      <c r="AW979" s="11"/>
      <c r="AX979" s="11"/>
      <c r="AY979" s="11"/>
    </row>
    <row r="980" customFormat="false" ht="15.75" hidden="false" customHeight="true" outlineLevel="0" collapsed="false">
      <c r="AQ980" s="8"/>
      <c r="AR980" s="11"/>
      <c r="AS980" s="11"/>
      <c r="AT980" s="11"/>
      <c r="AU980" s="11"/>
      <c r="AV980" s="11"/>
      <c r="AW980" s="11"/>
      <c r="AX980" s="11"/>
      <c r="AY980" s="11"/>
    </row>
    <row r="981" customFormat="false" ht="15.75" hidden="false" customHeight="true" outlineLevel="0" collapsed="false">
      <c r="AQ981" s="8"/>
      <c r="AR981" s="11"/>
      <c r="AS981" s="11"/>
      <c r="AT981" s="11"/>
      <c r="AU981" s="11"/>
      <c r="AV981" s="11"/>
      <c r="AW981" s="11"/>
      <c r="AX981" s="11"/>
      <c r="AY981" s="11"/>
    </row>
    <row r="982" customFormat="false" ht="15.75" hidden="false" customHeight="true" outlineLevel="0" collapsed="false">
      <c r="AQ982" s="8"/>
      <c r="AR982" s="11"/>
      <c r="AS982" s="11"/>
      <c r="AT982" s="11"/>
      <c r="AU982" s="11"/>
      <c r="AV982" s="11"/>
      <c r="AW982" s="11"/>
      <c r="AX982" s="11"/>
      <c r="AY982" s="11"/>
    </row>
    <row r="983" customFormat="false" ht="15.75" hidden="false" customHeight="true" outlineLevel="0" collapsed="false">
      <c r="AQ983" s="8"/>
      <c r="AR983" s="11"/>
      <c r="AS983" s="11"/>
      <c r="AT983" s="11"/>
      <c r="AU983" s="11"/>
      <c r="AV983" s="11"/>
      <c r="AW983" s="11"/>
      <c r="AX983" s="11"/>
      <c r="AY983" s="11"/>
    </row>
    <row r="984" customFormat="false" ht="15.75" hidden="false" customHeight="true" outlineLevel="0" collapsed="false">
      <c r="AQ984" s="8"/>
      <c r="AR984" s="11"/>
      <c r="AS984" s="11"/>
      <c r="AT984" s="11"/>
      <c r="AU984" s="11"/>
      <c r="AV984" s="11"/>
      <c r="AW984" s="11"/>
      <c r="AX984" s="11"/>
      <c r="AY984" s="11"/>
    </row>
    <row r="985" customFormat="false" ht="15.75" hidden="false" customHeight="true" outlineLevel="0" collapsed="false">
      <c r="AQ985" s="8"/>
      <c r="AR985" s="11"/>
      <c r="AS985" s="11"/>
      <c r="AT985" s="11"/>
      <c r="AU985" s="11"/>
      <c r="AV985" s="11"/>
      <c r="AW985" s="11"/>
      <c r="AX985" s="11"/>
      <c r="AY985" s="11"/>
    </row>
    <row r="986" customFormat="false" ht="15.75" hidden="false" customHeight="true" outlineLevel="0" collapsed="false">
      <c r="AQ986" s="8"/>
      <c r="AR986" s="11"/>
      <c r="AS986" s="11"/>
      <c r="AT986" s="11"/>
      <c r="AU986" s="11"/>
      <c r="AV986" s="11"/>
      <c r="AW986" s="11"/>
      <c r="AX986" s="11"/>
      <c r="AY986" s="11"/>
    </row>
    <row r="987" customFormat="false" ht="15.75" hidden="false" customHeight="true" outlineLevel="0" collapsed="false">
      <c r="AQ987" s="8"/>
      <c r="AR987" s="11"/>
      <c r="AS987" s="11"/>
      <c r="AT987" s="11"/>
      <c r="AU987" s="11"/>
      <c r="AV987" s="11"/>
      <c r="AW987" s="11"/>
      <c r="AX987" s="11"/>
      <c r="AY987" s="11"/>
    </row>
    <row r="988" customFormat="false" ht="15.75" hidden="false" customHeight="true" outlineLevel="0" collapsed="false">
      <c r="AQ988" s="8"/>
      <c r="AR988" s="11"/>
      <c r="AS988" s="11"/>
      <c r="AT988" s="11"/>
      <c r="AU988" s="11"/>
      <c r="AV988" s="11"/>
      <c r="AW988" s="11"/>
      <c r="AX988" s="11"/>
      <c r="AY988" s="11"/>
    </row>
    <row r="989" customFormat="false" ht="15.75" hidden="false" customHeight="true" outlineLevel="0" collapsed="false">
      <c r="AQ989" s="8"/>
      <c r="AR989" s="11"/>
      <c r="AS989" s="11"/>
      <c r="AT989" s="11"/>
      <c r="AU989" s="11"/>
      <c r="AV989" s="11"/>
      <c r="AW989" s="11"/>
      <c r="AX989" s="11"/>
      <c r="AY989" s="11"/>
    </row>
    <row r="990" customFormat="false" ht="15.75" hidden="false" customHeight="true" outlineLevel="0" collapsed="false">
      <c r="AQ990" s="8"/>
      <c r="AR990" s="11"/>
      <c r="AS990" s="11"/>
      <c r="AT990" s="11"/>
      <c r="AU990" s="11"/>
      <c r="AV990" s="11"/>
      <c r="AW990" s="11"/>
      <c r="AX990" s="11"/>
      <c r="AY990" s="11"/>
    </row>
    <row r="991" customFormat="false" ht="15.75" hidden="false" customHeight="true" outlineLevel="0" collapsed="false">
      <c r="AQ991" s="8"/>
      <c r="AR991" s="11"/>
      <c r="AS991" s="11"/>
      <c r="AT991" s="11"/>
      <c r="AU991" s="11"/>
      <c r="AV991" s="11"/>
      <c r="AW991" s="11"/>
      <c r="AX991" s="11"/>
      <c r="AY991" s="11"/>
    </row>
    <row r="992" customFormat="false" ht="15.75" hidden="false" customHeight="true" outlineLevel="0" collapsed="false">
      <c r="AQ992" s="8"/>
      <c r="AR992" s="11"/>
      <c r="AS992" s="11"/>
      <c r="AT992" s="11"/>
      <c r="AU992" s="11"/>
      <c r="AV992" s="11"/>
      <c r="AW992" s="11"/>
      <c r="AX992" s="11"/>
      <c r="AY992" s="11"/>
    </row>
    <row r="993" customFormat="false" ht="15.75" hidden="false" customHeight="true" outlineLevel="0" collapsed="false">
      <c r="AQ993" s="8"/>
      <c r="AR993" s="11"/>
      <c r="AS993" s="11"/>
      <c r="AT993" s="11"/>
      <c r="AU993" s="11"/>
      <c r="AV993" s="11"/>
      <c r="AW993" s="11"/>
      <c r="AX993" s="11"/>
      <c r="AY993" s="11"/>
    </row>
    <row r="994" customFormat="false" ht="15.75" hidden="false" customHeight="true" outlineLevel="0" collapsed="false">
      <c r="AQ994" s="8"/>
      <c r="AR994" s="11"/>
      <c r="AS994" s="11"/>
      <c r="AT994" s="11"/>
      <c r="AU994" s="11"/>
      <c r="AV994" s="11"/>
      <c r="AW994" s="11"/>
      <c r="AX994" s="11"/>
      <c r="AY994" s="11"/>
    </row>
    <row r="995" customFormat="false" ht="15.75" hidden="false" customHeight="true" outlineLevel="0" collapsed="false">
      <c r="AQ995" s="8"/>
      <c r="AR995" s="11"/>
      <c r="AS995" s="11"/>
      <c r="AT995" s="11"/>
      <c r="AU995" s="11"/>
      <c r="AV995" s="11"/>
      <c r="AW995" s="11"/>
      <c r="AX995" s="11"/>
      <c r="AY995" s="11"/>
    </row>
    <row r="996" customFormat="false" ht="15.75" hidden="false" customHeight="true" outlineLevel="0" collapsed="false">
      <c r="AQ996" s="8"/>
      <c r="AR996" s="11"/>
      <c r="AS996" s="11"/>
      <c r="AT996" s="11"/>
      <c r="AU996" s="11"/>
      <c r="AV996" s="11"/>
      <c r="AW996" s="11"/>
      <c r="AX996" s="11"/>
      <c r="AY996" s="11"/>
    </row>
    <row r="997" customFormat="false" ht="15.75" hidden="false" customHeight="true" outlineLevel="0" collapsed="false">
      <c r="AQ997" s="8"/>
      <c r="AR997" s="11"/>
      <c r="AS997" s="11"/>
      <c r="AT997" s="11"/>
      <c r="AU997" s="11"/>
      <c r="AV997" s="11"/>
      <c r="AW997" s="11"/>
      <c r="AX997" s="11"/>
      <c r="AY997" s="11"/>
    </row>
    <row r="998" customFormat="false" ht="15.75" hidden="false" customHeight="true" outlineLevel="0" collapsed="false">
      <c r="AQ998" s="8"/>
      <c r="AR998" s="11"/>
      <c r="AS998" s="11"/>
      <c r="AT998" s="11"/>
      <c r="AU998" s="11"/>
      <c r="AV998" s="11"/>
      <c r="AW998" s="11"/>
      <c r="AX998" s="11"/>
      <c r="AY998" s="11"/>
    </row>
    <row r="999" customFormat="false" ht="15.75" hidden="false" customHeight="true" outlineLevel="0" collapsed="false">
      <c r="AQ999" s="8"/>
      <c r="AR999" s="11"/>
      <c r="AS999" s="11"/>
      <c r="AT999" s="11"/>
      <c r="AU999" s="11"/>
      <c r="AV999" s="11"/>
      <c r="AW999" s="11"/>
      <c r="AX999" s="11"/>
      <c r="AY999" s="11"/>
    </row>
    <row r="1000" customFormat="false" ht="15.75" hidden="false" customHeight="true" outlineLevel="0" collapsed="false">
      <c r="AQ1000" s="8"/>
      <c r="AR1000" s="11"/>
      <c r="AS1000" s="11"/>
      <c r="AT1000" s="11"/>
      <c r="AU1000" s="11"/>
      <c r="AV1000" s="11"/>
      <c r="AW1000" s="11"/>
      <c r="AX1000" s="11"/>
      <c r="AY1000" s="11"/>
    </row>
  </sheetData>
  <mergeCells count="3">
    <mergeCell ref="A1:AP1"/>
    <mergeCell ref="A2:AP2"/>
    <mergeCell ref="A3:AP3"/>
  </mergeCells>
  <conditionalFormatting sqref="A1:AY1000">
    <cfRule type="expression" priority="2" aboveAverage="0" equalAverage="0" bottom="0" percent="0" rank="0" text="" dxfId="4">
      <formula>$AQ$5:$AQ$20000="CONTRATADO"</formula>
    </cfRule>
  </conditionalFormatting>
  <conditionalFormatting sqref="A1:AY1000">
    <cfRule type="expression" priority="3" aboveAverage="0" equalAverage="0" bottom="0" percent="0" rank="0" text="" dxfId="5">
      <formula>$AQ$5:$AQ$20000="DISPONÍVEL"</formula>
    </cfRule>
  </conditionalFormatting>
  <conditionalFormatting sqref="A1:AY1000">
    <cfRule type="expression" priority="4" aboveAverage="0" equalAverage="0" bottom="0" percent="0" rank="0" text="" dxfId="6">
      <formula>$AQ$5:$AQ$20000="1ª CONVOCAÇÃO "</formula>
    </cfRule>
  </conditionalFormatting>
  <conditionalFormatting sqref="A1:AY1000">
    <cfRule type="expression" priority="5" aboveAverage="0" equalAverage="0" bottom="0" percent="0" rank="0" text="" dxfId="7">
      <formula>$AQ$5:$AQ$20000="2ª CONVOCAÇÃO"</formula>
    </cfRule>
  </conditionalFormatting>
  <conditionalFormatting sqref="A1:AY1000">
    <cfRule type="expression" priority="6" aboveAverage="0" equalAverage="0" bottom="0" percent="0" rank="0" text="" dxfId="8">
      <formula>$AQ$5:$AQ$20000="DESCLASSIFICADO"</formula>
    </cfRule>
  </conditionalFormatting>
  <conditionalFormatting sqref="A1:AY1000">
    <cfRule type="expression" priority="7" aboveAverage="0" equalAverage="0" bottom="0" percent="0" rank="0" text="" dxfId="9">
      <formula>$AQ$5:$AQ$20000="NÃO ATENDE/AGUARDANDO RETORNO"</formula>
    </cfRule>
  </conditionalFormatting>
  <conditionalFormatting sqref="A1:AY1000">
    <cfRule type="expression" priority="8" aboveAverage="0" equalAverage="0" bottom="0" percent="0" rank="0" text="" dxfId="10">
      <formula>$AQ$5:$AQ$20000="REMANEJADO"</formula>
    </cfRule>
  </conditionalFormatting>
  <dataValidations count="1">
    <dataValidation allowBlank="true" errorStyle="stop" operator="between" showDropDown="false" showErrorMessage="true" showInputMessage="false" sqref="AQ5:AQ1000" type="list">
      <formula1>"1ª CONVOCAÇÃO ,2ª CONVOCAÇÃO,CONTRATADO,DESCLASSIFICADO,NÃO ATENDE/AGUARDANDO RETORNO,REMANEJADO,DISPONÍVEL,RECONVOCAÇÃO SEMESTRALIDADE"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&amp;LCLASSIFICAÇÃO FINAL&amp;RTJGO - EDITAL 01/2023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94.58"/>
    <col collapsed="false" customWidth="true" hidden="true" outlineLevel="0" max="2" min="2" style="0" width="13.02"/>
    <col collapsed="false" customWidth="true" hidden="true" outlineLevel="0" max="3" min="3" style="0" width="10.99"/>
    <col collapsed="false" customWidth="true" hidden="true" outlineLevel="0" max="4" min="4" style="0" width="10.12"/>
    <col collapsed="false" customWidth="true" hidden="true" outlineLevel="0" max="5" min="5" style="0" width="14.69"/>
    <col collapsed="false" customWidth="true" hidden="true" outlineLevel="0" max="6" min="6" style="0" width="17.59"/>
    <col collapsed="false" customWidth="true" hidden="true" outlineLevel="0" max="7" min="7" style="0" width="8.43"/>
    <col collapsed="false" customWidth="true" hidden="true" outlineLevel="0" max="8" min="8" style="0" width="9.13"/>
    <col collapsed="false" customWidth="true" hidden="true" outlineLevel="0" max="9" min="9" style="0" width="13.29"/>
    <col collapsed="false" customWidth="true" hidden="true" outlineLevel="0" max="10" min="10" style="0" width="9"/>
    <col collapsed="false" customWidth="true" hidden="true" outlineLevel="0" max="11" min="11" style="0" width="8.86"/>
    <col collapsed="false" customWidth="true" hidden="true" outlineLevel="0" max="12" min="12" style="0" width="22.57"/>
    <col collapsed="false" customWidth="true" hidden="true" outlineLevel="0" max="13" min="13" style="0" width="27.99"/>
    <col collapsed="false" customWidth="true" hidden="true" outlineLevel="0" max="14" min="14" style="0" width="18.71"/>
    <col collapsed="false" customWidth="true" hidden="true" outlineLevel="0" max="15" min="15" style="0" width="27.71"/>
    <col collapsed="false" customWidth="true" hidden="true" outlineLevel="0" max="16" min="16" style="0" width="10.71"/>
    <col collapsed="false" customWidth="true" hidden="true" outlineLevel="0" max="17" min="17" style="0" width="14.01"/>
    <col collapsed="false" customWidth="true" hidden="true" outlineLevel="0" max="18" min="18" style="0" width="4.86"/>
    <col collapsed="false" customWidth="true" hidden="true" outlineLevel="0" max="19" min="19" style="0" width="36.57"/>
    <col collapsed="false" customWidth="true" hidden="true" outlineLevel="0" max="20" min="20" style="0" width="27.99"/>
    <col collapsed="false" customWidth="true" hidden="true" outlineLevel="0" max="21" min="21" style="0" width="16.57"/>
    <col collapsed="false" customWidth="true" hidden="false" outlineLevel="0" max="22" min="22" style="0" width="8"/>
    <col collapsed="false" customWidth="true" hidden="true" outlineLevel="0" max="23" min="23" style="0" width="21.71"/>
    <col collapsed="false" customWidth="true" hidden="true" outlineLevel="0" max="24" min="24" style="0" width="25"/>
    <col collapsed="false" customWidth="true" hidden="true" outlineLevel="0" max="25" min="25" style="0" width="18"/>
    <col collapsed="false" customWidth="true" hidden="false" outlineLevel="0" max="26" min="26" style="0" width="49.87"/>
    <col collapsed="false" customWidth="true" hidden="true" outlineLevel="0" max="27" min="27" style="0" width="14.57"/>
    <col collapsed="false" customWidth="true" hidden="true" outlineLevel="0" max="28" min="28" style="0" width="17.86"/>
    <col collapsed="false" customWidth="true" hidden="true" outlineLevel="0" max="29" min="29" style="0" width="20.98"/>
    <col collapsed="false" customWidth="true" hidden="true" outlineLevel="0" max="30" min="30" style="0" width="16.57"/>
    <col collapsed="false" customWidth="true" hidden="true" outlineLevel="0" max="31" min="31" style="0" width="9.71"/>
    <col collapsed="false" customWidth="true" hidden="true" outlineLevel="0" max="32" min="32" style="0" width="18.43"/>
    <col collapsed="false" customWidth="true" hidden="false" outlineLevel="0" max="33" min="33" style="0" width="10.99"/>
    <col collapsed="false" customWidth="true" hidden="true" outlineLevel="0" max="34" min="34" style="0" width="28.57"/>
    <col collapsed="false" customWidth="true" hidden="true" outlineLevel="0" max="35" min="35" style="0" width="24.71"/>
    <col collapsed="false" customWidth="true" hidden="true" outlineLevel="0" max="36" min="36" style="0" width="11.86"/>
    <col collapsed="false" customWidth="true" hidden="true" outlineLevel="0" max="37" min="37" style="0" width="23.88"/>
    <col collapsed="false" customWidth="true" hidden="true" outlineLevel="0" max="38" min="38" style="0" width="20.86"/>
    <col collapsed="false" customWidth="true" hidden="true" outlineLevel="0" max="39" min="39" style="0" width="19.43"/>
    <col collapsed="false" customWidth="true" hidden="true" outlineLevel="0" max="40" min="40" style="0" width="11.14"/>
    <col collapsed="false" customWidth="true" hidden="true" outlineLevel="0" max="41" min="41" style="0" width="13.7"/>
    <col collapsed="false" customWidth="true" hidden="true" outlineLevel="0" max="42" min="42" style="0" width="15.88"/>
    <col collapsed="false" customWidth="true" hidden="false" outlineLevel="0" max="43" min="43" style="0" width="24.29"/>
    <col collapsed="false" customWidth="true" hidden="true" outlineLevel="0" max="51" min="44" style="0" width="31.86"/>
  </cols>
  <sheetData>
    <row r="1" customFormat="false" ht="18.75" hidden="false" customHeight="true" outlineLevel="0" collapsed="false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11"/>
      <c r="AS1" s="11"/>
      <c r="AT1" s="11"/>
      <c r="AU1" s="11"/>
      <c r="AV1" s="11"/>
      <c r="AW1" s="11"/>
      <c r="AX1" s="11"/>
      <c r="AY1" s="11"/>
    </row>
    <row r="2" customFormat="false" ht="18.75" hidden="false" customHeight="true" outlineLevel="0" collapsed="false">
      <c r="A2" s="63" t="s">
        <v>3375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11"/>
      <c r="AS2" s="11"/>
      <c r="AT2" s="11"/>
      <c r="AU2" s="11"/>
      <c r="AV2" s="11"/>
      <c r="AW2" s="11"/>
      <c r="AX2" s="11"/>
      <c r="AY2" s="11"/>
    </row>
    <row r="3" customFormat="false" ht="18.75" hidden="false" customHeight="true" outlineLevel="0" collapsed="false">
      <c r="A3" s="64" t="s">
        <v>3376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11"/>
      <c r="AS3" s="11"/>
      <c r="AT3" s="11"/>
      <c r="AU3" s="11"/>
      <c r="AV3" s="11"/>
      <c r="AW3" s="11"/>
      <c r="AX3" s="11"/>
      <c r="AY3" s="11"/>
    </row>
    <row r="4" customFormat="false" ht="28.5" hidden="false" customHeight="true" outlineLevel="0" collapsed="false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19" t="s">
        <v>20</v>
      </c>
      <c r="P4" s="19" t="s">
        <v>21</v>
      </c>
      <c r="Q4" s="19" t="s">
        <v>22</v>
      </c>
      <c r="R4" s="19" t="s">
        <v>23</v>
      </c>
      <c r="S4" s="19" t="s">
        <v>24</v>
      </c>
      <c r="T4" s="19" t="s">
        <v>25</v>
      </c>
      <c r="U4" s="19" t="s">
        <v>26</v>
      </c>
      <c r="V4" s="19" t="s">
        <v>27</v>
      </c>
      <c r="W4" s="19" t="s">
        <v>28</v>
      </c>
      <c r="X4" s="19" t="s">
        <v>29</v>
      </c>
      <c r="Y4" s="19" t="s">
        <v>30</v>
      </c>
      <c r="Z4" s="15" t="s">
        <v>37</v>
      </c>
      <c r="AA4" s="19" t="s">
        <v>31</v>
      </c>
      <c r="AB4" s="19" t="s">
        <v>32</v>
      </c>
      <c r="AC4" s="19" t="s">
        <v>33</v>
      </c>
      <c r="AD4" s="19" t="s">
        <v>34</v>
      </c>
      <c r="AE4" s="19" t="s">
        <v>35</v>
      </c>
      <c r="AF4" s="19" t="s">
        <v>36</v>
      </c>
      <c r="AG4" s="19" t="s">
        <v>38</v>
      </c>
      <c r="AH4" s="15" t="s">
        <v>39</v>
      </c>
      <c r="AI4" s="15" t="s">
        <v>40</v>
      </c>
      <c r="AJ4" s="19" t="s">
        <v>41</v>
      </c>
      <c r="AK4" s="19" t="s">
        <v>42</v>
      </c>
      <c r="AL4" s="19" t="s">
        <v>3377</v>
      </c>
      <c r="AM4" s="19" t="s">
        <v>44</v>
      </c>
      <c r="AN4" s="15" t="s">
        <v>45</v>
      </c>
      <c r="AO4" s="15" t="s">
        <v>46</v>
      </c>
      <c r="AP4" s="15" t="s">
        <v>5</v>
      </c>
      <c r="AQ4" s="15" t="s">
        <v>47</v>
      </c>
      <c r="AR4" s="18" t="s">
        <v>48</v>
      </c>
      <c r="AS4" s="15" t="s">
        <v>49</v>
      </c>
      <c r="AT4" s="18" t="s">
        <v>50</v>
      </c>
      <c r="AU4" s="15" t="s">
        <v>51</v>
      </c>
      <c r="AV4" s="19" t="s">
        <v>52</v>
      </c>
      <c r="AW4" s="15" t="s">
        <v>53</v>
      </c>
      <c r="AX4" s="19" t="s">
        <v>54</v>
      </c>
      <c r="AY4" s="15" t="s">
        <v>55</v>
      </c>
    </row>
    <row r="5" customFormat="false" ht="15" hidden="false" customHeight="false" outlineLevel="0" collapsed="false">
      <c r="A5" s="65" t="s">
        <v>1945</v>
      </c>
      <c r="B5" s="66"/>
      <c r="C5" s="67" t="n">
        <v>3066855155</v>
      </c>
      <c r="D5" s="67" t="s">
        <v>81</v>
      </c>
      <c r="E5" s="67" t="s">
        <v>107</v>
      </c>
      <c r="F5" s="67" t="s">
        <v>59</v>
      </c>
      <c r="G5" s="67" t="s">
        <v>60</v>
      </c>
      <c r="H5" s="66"/>
      <c r="I5" s="67" t="s">
        <v>61</v>
      </c>
      <c r="J5" s="67" t="n">
        <v>74922660</v>
      </c>
      <c r="K5" s="67" t="s">
        <v>62</v>
      </c>
      <c r="L5" s="67" t="s">
        <v>84</v>
      </c>
      <c r="M5" s="67" t="s">
        <v>1948</v>
      </c>
      <c r="N5" s="67" t="s">
        <v>1949</v>
      </c>
      <c r="O5" s="67" t="s">
        <v>1950</v>
      </c>
      <c r="P5" s="66"/>
      <c r="Q5" s="67" t="s">
        <v>1951</v>
      </c>
      <c r="R5" s="67" t="s">
        <v>76</v>
      </c>
      <c r="S5" s="67" t="s">
        <v>3378</v>
      </c>
      <c r="T5" s="67" t="s">
        <v>3379</v>
      </c>
      <c r="U5" s="67" t="s">
        <v>70</v>
      </c>
      <c r="V5" s="67" t="s">
        <v>71</v>
      </c>
      <c r="W5" s="68" t="n">
        <v>43862</v>
      </c>
      <c r="X5" s="68" t="n">
        <v>45992</v>
      </c>
      <c r="Y5" s="67" t="s">
        <v>72</v>
      </c>
      <c r="Z5" s="67" t="s">
        <v>75</v>
      </c>
      <c r="AA5" s="67" t="s">
        <v>149</v>
      </c>
      <c r="AB5" s="67" t="s">
        <v>74</v>
      </c>
      <c r="AC5" s="66"/>
      <c r="AD5" s="67" t="n">
        <v>0</v>
      </c>
      <c r="AE5" s="66"/>
      <c r="AF5" s="66"/>
      <c r="AG5" s="67" t="s">
        <v>1954</v>
      </c>
      <c r="AH5" s="67" t="n">
        <v>10</v>
      </c>
      <c r="AI5" s="67" t="n">
        <v>30</v>
      </c>
      <c r="AJ5" s="67" t="s">
        <v>76</v>
      </c>
      <c r="AK5" s="69" t="n">
        <v>37090</v>
      </c>
      <c r="AL5" s="69" t="n">
        <v>45006.4138888889</v>
      </c>
      <c r="AM5" s="68" t="n">
        <v>45009.4930555556</v>
      </c>
      <c r="AN5" s="67" t="n">
        <v>5</v>
      </c>
      <c r="AO5" s="67" t="n">
        <v>40</v>
      </c>
      <c r="AP5" s="67" t="n">
        <v>1</v>
      </c>
      <c r="AQ5" s="22" t="s">
        <v>0</v>
      </c>
      <c r="AR5" s="23" t="s">
        <v>1955</v>
      </c>
      <c r="AS5" s="42" t="s">
        <v>78</v>
      </c>
      <c r="AT5" s="23"/>
      <c r="AU5" s="23"/>
      <c r="AV5" s="23"/>
      <c r="AW5" s="23"/>
      <c r="AX5" s="23"/>
      <c r="AY5" s="23"/>
    </row>
  </sheetData>
  <mergeCells count="3">
    <mergeCell ref="A1:AQ1"/>
    <mergeCell ref="A2:AQ2"/>
    <mergeCell ref="A3:AQ3"/>
  </mergeCells>
  <conditionalFormatting sqref="A1:AY5">
    <cfRule type="expression" priority="2" aboveAverage="0" equalAverage="0" bottom="0" percent="0" rank="0" text="" dxfId="4">
      <formula>$AQ$5:$AQ$19005="CONTRATADO"</formula>
    </cfRule>
  </conditionalFormatting>
  <conditionalFormatting sqref="A1:AY5">
    <cfRule type="expression" priority="3" aboveAverage="0" equalAverage="0" bottom="0" percent="0" rank="0" text="" dxfId="5">
      <formula>$AQ$5:$AQ$19005="DISPONÍVEL"</formula>
    </cfRule>
  </conditionalFormatting>
  <conditionalFormatting sqref="A1:AY5">
    <cfRule type="expression" priority="4" aboveAverage="0" equalAverage="0" bottom="0" percent="0" rank="0" text="" dxfId="6">
      <formula>$AQ$5:$AQ$19005="1ª CONVOCAÇÃO "</formula>
    </cfRule>
  </conditionalFormatting>
  <conditionalFormatting sqref="A1:AY5">
    <cfRule type="expression" priority="5" aboveAverage="0" equalAverage="0" bottom="0" percent="0" rank="0" text="" dxfId="7">
      <formula>$AQ$5:$AQ$19005="2ª CONVOCAÇÃO"</formula>
    </cfRule>
  </conditionalFormatting>
  <conditionalFormatting sqref="A1:AY5">
    <cfRule type="expression" priority="6" aboveAverage="0" equalAverage="0" bottom="0" percent="0" rank="0" text="" dxfId="8">
      <formula>$AQ$5:$AQ$19005="DESCLASSIFICADO"</formula>
    </cfRule>
  </conditionalFormatting>
  <conditionalFormatting sqref="A1:AY5">
    <cfRule type="expression" priority="7" aboveAverage="0" equalAverage="0" bottom="0" percent="0" rank="0" text="" dxfId="9">
      <formula>$AQ$5:$AQ$19005="NÃO ATENDE/AGUARDANDO RETORNO"</formula>
    </cfRule>
  </conditionalFormatting>
  <conditionalFormatting sqref="A1:AY5">
    <cfRule type="expression" priority="8" aboveAverage="0" equalAverage="0" bottom="0" percent="0" rank="0" text="" dxfId="10">
      <formula>$AQ$5:$AQ$19005="REMANEJADO"</formula>
    </cfRule>
  </conditionalFormatting>
  <dataValidations count="1">
    <dataValidation allowBlank="true" errorStyle="stop" operator="between" showDropDown="false" showErrorMessage="true" showInputMessage="false" sqref="AQ5" type="list">
      <formula1>"1ª CONVOCAÇÃO 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&amp;LCLASSIFICAÇÃO FINAL&amp;RTJGO - EDITAL 01/2023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true"/>
  </sheetPr>
  <dimension ref="A1:AY1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35"/>
    <col collapsed="false" customWidth="true" hidden="true" outlineLevel="0" max="2" min="2" style="0" width="9"/>
    <col collapsed="false" customWidth="true" hidden="true" outlineLevel="0" max="3" min="3" style="0" width="11.99"/>
    <col collapsed="false" customWidth="true" hidden="true" outlineLevel="0" max="4" min="4" style="0" width="11.71"/>
    <col collapsed="false" customWidth="true" hidden="true" outlineLevel="0" max="5" min="5" style="0" width="14.69"/>
    <col collapsed="false" customWidth="true" hidden="true" outlineLevel="0" max="6" min="6" style="0" width="17.59"/>
    <col collapsed="false" customWidth="true" hidden="true" outlineLevel="0" max="7" min="7" style="0" width="7.41"/>
    <col collapsed="false" customWidth="true" hidden="true" outlineLevel="0" max="8" min="8" style="0" width="9.13"/>
    <col collapsed="false" customWidth="true" hidden="true" outlineLevel="0" max="9" min="9" style="0" width="13.29"/>
    <col collapsed="false" customWidth="true" hidden="true" outlineLevel="0" max="10" min="10" style="0" width="9"/>
    <col collapsed="false" customWidth="true" hidden="true" outlineLevel="0" max="11" min="11" style="0" width="8.86"/>
    <col collapsed="false" customWidth="true" hidden="true" outlineLevel="0" max="12" min="12" style="0" width="22.57"/>
    <col collapsed="false" customWidth="true" hidden="true" outlineLevel="0" max="13" min="13" style="0" width="83.57"/>
    <col collapsed="false" customWidth="true" hidden="true" outlineLevel="0" max="14" min="14" style="0" width="32.71"/>
    <col collapsed="false" customWidth="true" hidden="true" outlineLevel="0" max="15" min="15" style="0" width="45.98"/>
    <col collapsed="false" customWidth="true" hidden="true" outlineLevel="0" max="16" min="16" style="0" width="12.86"/>
    <col collapsed="false" customWidth="true" hidden="true" outlineLevel="0" max="17" min="17" style="0" width="14.01"/>
    <col collapsed="false" customWidth="true" hidden="true" outlineLevel="0" max="18" min="18" style="0" width="5.14"/>
    <col collapsed="false" customWidth="true" hidden="true" outlineLevel="0" max="19" min="19" style="0" width="18.71"/>
    <col collapsed="false" customWidth="true" hidden="true" outlineLevel="0" max="20" min="20" style="0" width="43.71"/>
    <col collapsed="false" customWidth="true" hidden="true" outlineLevel="0" max="21" min="21" style="0" width="16.57"/>
    <col collapsed="false" customWidth="true" hidden="false" outlineLevel="0" max="22" min="22" style="0" width="10.58"/>
    <col collapsed="false" customWidth="true" hidden="true" outlineLevel="0" max="23" min="23" style="0" width="21.71"/>
    <col collapsed="false" customWidth="true" hidden="true" outlineLevel="0" max="24" min="24" style="0" width="25"/>
    <col collapsed="false" customWidth="true" hidden="true" outlineLevel="0" max="25" min="25" style="0" width="18"/>
    <col collapsed="false" customWidth="true" hidden="true" outlineLevel="0" max="26" min="26" style="0" width="14.57"/>
    <col collapsed="false" customWidth="true" hidden="true" outlineLevel="0" max="27" min="27" style="0" width="17.86"/>
    <col collapsed="false" customWidth="true" hidden="true" outlineLevel="0" max="28" min="28" style="0" width="20.98"/>
    <col collapsed="false" customWidth="true" hidden="true" outlineLevel="0" max="29" min="29" style="0" width="16.57"/>
    <col collapsed="false" customWidth="true" hidden="true" outlineLevel="0" max="30" min="30" style="0" width="9.71"/>
    <col collapsed="false" customWidth="true" hidden="true" outlineLevel="0" max="31" min="31" style="0" width="18.43"/>
    <col collapsed="false" customWidth="true" hidden="false" outlineLevel="0" max="32" min="32" style="0" width="49.87"/>
    <col collapsed="false" customWidth="true" hidden="false" outlineLevel="0" max="33" min="33" style="0" width="10.12"/>
    <col collapsed="false" customWidth="true" hidden="true" outlineLevel="0" max="34" min="34" style="0" width="28.57"/>
    <col collapsed="false" customWidth="true" hidden="true" outlineLevel="0" max="35" min="35" style="0" width="24.71"/>
    <col collapsed="false" customWidth="true" hidden="true" outlineLevel="0" max="36" min="36" style="0" width="23.88"/>
    <col collapsed="false" customWidth="true" hidden="true" outlineLevel="0" max="37" min="37" style="0" width="11.86"/>
    <col collapsed="false" customWidth="true" hidden="true" outlineLevel="0" max="38" min="38" style="0" width="20.86"/>
    <col collapsed="false" customWidth="true" hidden="true" outlineLevel="0" max="39" min="39" style="0" width="19.43"/>
    <col collapsed="false" customWidth="true" hidden="true" outlineLevel="0" max="40" min="40" style="0" width="11.14"/>
    <col collapsed="false" customWidth="true" hidden="true" outlineLevel="0" max="41" min="41" style="0" width="13.7"/>
    <col collapsed="false" customWidth="true" hidden="true" outlineLevel="0" max="42" min="42" style="0" width="15.88"/>
    <col collapsed="false" customWidth="true" hidden="false" outlineLevel="0" max="43" min="43" style="0" width="39.86"/>
    <col collapsed="false" customWidth="true" hidden="true" outlineLevel="0" max="51" min="44" style="0" width="31.86"/>
  </cols>
  <sheetData>
    <row r="1" customFormat="false" ht="18.75" hidden="false" customHeight="true" outlineLevel="0" collapsed="false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70"/>
      <c r="AR1" s="11"/>
      <c r="AS1" s="11"/>
      <c r="AT1" s="11"/>
      <c r="AU1" s="11"/>
      <c r="AV1" s="11"/>
      <c r="AW1" s="11"/>
      <c r="AX1" s="11"/>
      <c r="AY1" s="11"/>
    </row>
    <row r="2" customFormat="false" ht="18.75" hidden="false" customHeight="true" outlineLevel="0" collapsed="false">
      <c r="A2" s="63" t="s">
        <v>3380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70"/>
      <c r="AR2" s="11"/>
      <c r="AS2" s="11"/>
      <c r="AT2" s="11"/>
      <c r="AU2" s="11"/>
      <c r="AV2" s="11"/>
      <c r="AW2" s="11"/>
      <c r="AX2" s="11"/>
      <c r="AY2" s="11"/>
    </row>
    <row r="3" customFormat="false" ht="18.75" hidden="false" customHeight="true" outlineLevel="0" collapsed="false">
      <c r="A3" s="64" t="s">
        <v>3376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70"/>
      <c r="AR3" s="11"/>
      <c r="AS3" s="11"/>
      <c r="AT3" s="11"/>
      <c r="AU3" s="11"/>
      <c r="AV3" s="11"/>
      <c r="AW3" s="11"/>
      <c r="AX3" s="11"/>
      <c r="AY3" s="11"/>
    </row>
    <row r="4" customFormat="false" ht="28.5" hidden="false" customHeight="true" outlineLevel="0" collapsed="false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19" t="s">
        <v>20</v>
      </c>
      <c r="P4" s="19" t="s">
        <v>21</v>
      </c>
      <c r="Q4" s="19" t="s">
        <v>22</v>
      </c>
      <c r="R4" s="19" t="s">
        <v>23</v>
      </c>
      <c r="S4" s="19" t="s">
        <v>24</v>
      </c>
      <c r="T4" s="19" t="s">
        <v>25</v>
      </c>
      <c r="U4" s="19" t="s">
        <v>26</v>
      </c>
      <c r="V4" s="19" t="s">
        <v>27</v>
      </c>
      <c r="W4" s="19" t="s">
        <v>28</v>
      </c>
      <c r="X4" s="19" t="s">
        <v>29</v>
      </c>
      <c r="Y4" s="19" t="s">
        <v>30</v>
      </c>
      <c r="Z4" s="19" t="s">
        <v>31</v>
      </c>
      <c r="AA4" s="19" t="s">
        <v>32</v>
      </c>
      <c r="AB4" s="19" t="s">
        <v>33</v>
      </c>
      <c r="AC4" s="19" t="s">
        <v>34</v>
      </c>
      <c r="AD4" s="19" t="s">
        <v>35</v>
      </c>
      <c r="AE4" s="19" t="s">
        <v>36</v>
      </c>
      <c r="AF4" s="15" t="s">
        <v>37</v>
      </c>
      <c r="AG4" s="19" t="s">
        <v>38</v>
      </c>
      <c r="AH4" s="15" t="s">
        <v>39</v>
      </c>
      <c r="AI4" s="15" t="s">
        <v>40</v>
      </c>
      <c r="AJ4" s="18" t="s">
        <v>42</v>
      </c>
      <c r="AK4" s="19" t="s">
        <v>41</v>
      </c>
      <c r="AL4" s="19" t="s">
        <v>3377</v>
      </c>
      <c r="AM4" s="19" t="s">
        <v>44</v>
      </c>
      <c r="AN4" s="15" t="s">
        <v>45</v>
      </c>
      <c r="AO4" s="15" t="s">
        <v>46</v>
      </c>
      <c r="AP4" s="15" t="s">
        <v>5</v>
      </c>
      <c r="AQ4" s="15" t="s">
        <v>47</v>
      </c>
      <c r="AR4" s="18" t="s">
        <v>48</v>
      </c>
      <c r="AS4" s="20" t="s">
        <v>49</v>
      </c>
      <c r="AT4" s="71" t="s">
        <v>50</v>
      </c>
      <c r="AU4" s="20" t="s">
        <v>51</v>
      </c>
      <c r="AV4" s="19" t="s">
        <v>52</v>
      </c>
      <c r="AW4" s="20" t="s">
        <v>53</v>
      </c>
      <c r="AX4" s="21" t="s">
        <v>54</v>
      </c>
      <c r="AY4" s="20" t="s">
        <v>55</v>
      </c>
    </row>
    <row r="5" customFormat="false" ht="15" hidden="true" customHeight="false" outlineLevel="0" collapsed="false">
      <c r="A5" s="27" t="s">
        <v>3381</v>
      </c>
      <c r="B5" s="24"/>
      <c r="C5" s="24" t="n">
        <v>443848157</v>
      </c>
      <c r="D5" s="24" t="s">
        <v>57</v>
      </c>
      <c r="E5" s="24" t="s">
        <v>188</v>
      </c>
      <c r="F5" s="24" t="s">
        <v>59</v>
      </c>
      <c r="G5" s="24" t="s">
        <v>156</v>
      </c>
      <c r="H5" s="24"/>
      <c r="I5" s="24" t="s">
        <v>61</v>
      </c>
      <c r="J5" s="24" t="n">
        <v>74463330</v>
      </c>
      <c r="K5" s="24" t="s">
        <v>62</v>
      </c>
      <c r="L5" s="24" t="s">
        <v>63</v>
      </c>
      <c r="M5" s="24" t="s">
        <v>3382</v>
      </c>
      <c r="N5" s="24" t="s">
        <v>237</v>
      </c>
      <c r="O5" s="24" t="s">
        <v>238</v>
      </c>
      <c r="P5" s="24" t="s">
        <v>239</v>
      </c>
      <c r="Q5" s="24" t="s">
        <v>240</v>
      </c>
      <c r="R5" s="24" t="s">
        <v>61</v>
      </c>
      <c r="S5" s="24"/>
      <c r="T5" s="24" t="s">
        <v>183</v>
      </c>
      <c r="U5" s="24" t="s">
        <v>70</v>
      </c>
      <c r="V5" s="24" t="s">
        <v>71</v>
      </c>
      <c r="W5" s="72" t="n">
        <v>43466</v>
      </c>
      <c r="X5" s="72" t="n">
        <v>45627</v>
      </c>
      <c r="Y5" s="24" t="s">
        <v>72</v>
      </c>
      <c r="Z5" s="24" t="s">
        <v>91</v>
      </c>
      <c r="AA5" s="24" t="s">
        <v>74</v>
      </c>
      <c r="AB5" s="24"/>
      <c r="AC5" s="24" t="n">
        <v>0</v>
      </c>
      <c r="AD5" s="24"/>
      <c r="AE5" s="24"/>
      <c r="AF5" s="24" t="s">
        <v>75</v>
      </c>
      <c r="AG5" s="24" t="s">
        <v>242</v>
      </c>
      <c r="AH5" s="24" t="n">
        <v>10</v>
      </c>
      <c r="AI5" s="24" t="n">
        <v>30</v>
      </c>
      <c r="AJ5" s="73" t="n">
        <v>30158</v>
      </c>
      <c r="AK5" s="24" t="s">
        <v>61</v>
      </c>
      <c r="AL5" s="73" t="n">
        <v>45005.7354166667</v>
      </c>
      <c r="AM5" s="72" t="n">
        <v>45006.4909722222</v>
      </c>
      <c r="AN5" s="24" t="n">
        <v>6</v>
      </c>
      <c r="AO5" s="24" t="n">
        <v>40</v>
      </c>
      <c r="AP5" s="24" t="n">
        <v>1</v>
      </c>
      <c r="AQ5" s="22" t="s">
        <v>0</v>
      </c>
      <c r="AR5" s="23" t="s">
        <v>243</v>
      </c>
      <c r="AS5" s="23" t="s">
        <v>78</v>
      </c>
      <c r="AT5" s="23"/>
      <c r="AU5" s="23"/>
      <c r="AV5" s="23"/>
      <c r="AW5" s="23"/>
      <c r="AX5" s="23"/>
      <c r="AY5" s="23"/>
    </row>
    <row r="6" customFormat="false" ht="15" hidden="true" customHeight="false" outlineLevel="0" collapsed="false">
      <c r="A6" s="27" t="s">
        <v>576</v>
      </c>
      <c r="B6" s="24" t="n">
        <v>5620508</v>
      </c>
      <c r="C6" s="24" t="n">
        <v>3924423105</v>
      </c>
      <c r="D6" s="24" t="s">
        <v>81</v>
      </c>
      <c r="E6" s="24" t="s">
        <v>107</v>
      </c>
      <c r="F6" s="24" t="s">
        <v>59</v>
      </c>
      <c r="G6" s="24" t="s">
        <v>96</v>
      </c>
      <c r="H6" s="24"/>
      <c r="I6" s="24" t="s">
        <v>61</v>
      </c>
      <c r="J6" s="24" t="n">
        <v>70686455</v>
      </c>
      <c r="K6" s="24" t="s">
        <v>580</v>
      </c>
      <c r="L6" s="24" t="s">
        <v>581</v>
      </c>
      <c r="M6" s="24" t="s">
        <v>3383</v>
      </c>
      <c r="N6" s="24" t="s">
        <v>583</v>
      </c>
      <c r="O6" s="24" t="s">
        <v>584</v>
      </c>
      <c r="P6" s="24"/>
      <c r="Q6" s="24" t="s">
        <v>585</v>
      </c>
      <c r="R6" s="24" t="s">
        <v>61</v>
      </c>
      <c r="S6" s="24"/>
      <c r="T6" s="24" t="s">
        <v>1153</v>
      </c>
      <c r="U6" s="24" t="s">
        <v>70</v>
      </c>
      <c r="V6" s="24" t="s">
        <v>71</v>
      </c>
      <c r="W6" s="72" t="n">
        <v>43466</v>
      </c>
      <c r="X6" s="72" t="n">
        <v>45292</v>
      </c>
      <c r="Y6" s="24" t="s">
        <v>72</v>
      </c>
      <c r="Z6" s="24" t="s">
        <v>149</v>
      </c>
      <c r="AA6" s="24" t="s">
        <v>74</v>
      </c>
      <c r="AB6" s="24"/>
      <c r="AC6" s="24" t="n">
        <v>0</v>
      </c>
      <c r="AD6" s="24"/>
      <c r="AE6" s="24"/>
      <c r="AF6" s="24" t="s">
        <v>75</v>
      </c>
      <c r="AG6" s="24" t="s">
        <v>242</v>
      </c>
      <c r="AH6" s="24" t="n">
        <v>10</v>
      </c>
      <c r="AI6" s="24" t="n">
        <v>30</v>
      </c>
      <c r="AJ6" s="73" t="n">
        <v>33856</v>
      </c>
      <c r="AK6" s="24" t="s">
        <v>76</v>
      </c>
      <c r="AL6" s="73" t="n">
        <v>45007.76875</v>
      </c>
      <c r="AM6" s="72" t="n">
        <v>45007.7694444444</v>
      </c>
      <c r="AN6" s="24" t="n">
        <v>8</v>
      </c>
      <c r="AO6" s="24" t="n">
        <v>40</v>
      </c>
      <c r="AP6" s="24" t="n">
        <v>2</v>
      </c>
      <c r="AQ6" s="22" t="s">
        <v>0</v>
      </c>
      <c r="AR6" s="23" t="s">
        <v>587</v>
      </c>
      <c r="AS6" s="23" t="s">
        <v>78</v>
      </c>
      <c r="AT6" s="23"/>
      <c r="AU6" s="23"/>
      <c r="AV6" s="23"/>
      <c r="AW6" s="23"/>
      <c r="AX6" s="23"/>
      <c r="AY6" s="23"/>
    </row>
    <row r="7" customFormat="false" ht="15" hidden="true" customHeight="false" outlineLevel="0" collapsed="false">
      <c r="A7" s="27" t="s">
        <v>606</v>
      </c>
      <c r="B7" s="24" t="n">
        <v>1275670</v>
      </c>
      <c r="C7" s="24" t="n">
        <v>5891332175</v>
      </c>
      <c r="D7" s="24" t="s">
        <v>57</v>
      </c>
      <c r="E7" s="24" t="s">
        <v>107</v>
      </c>
      <c r="F7" s="24" t="s">
        <v>59</v>
      </c>
      <c r="G7" s="24" t="s">
        <v>96</v>
      </c>
      <c r="H7" s="24"/>
      <c r="I7" s="24" t="s">
        <v>61</v>
      </c>
      <c r="J7" s="24" t="n">
        <v>74590510</v>
      </c>
      <c r="K7" s="24" t="s">
        <v>62</v>
      </c>
      <c r="L7" s="24" t="s">
        <v>63</v>
      </c>
      <c r="M7" s="24" t="s">
        <v>610</v>
      </c>
      <c r="N7" s="24" t="s">
        <v>611</v>
      </c>
      <c r="O7" s="24" t="s">
        <v>612</v>
      </c>
      <c r="P7" s="24" t="s">
        <v>613</v>
      </c>
      <c r="Q7" s="24" t="s">
        <v>613</v>
      </c>
      <c r="R7" s="24" t="s">
        <v>61</v>
      </c>
      <c r="S7" s="24"/>
      <c r="T7" s="24" t="s">
        <v>3384</v>
      </c>
      <c r="U7" s="24" t="s">
        <v>70</v>
      </c>
      <c r="V7" s="24" t="s">
        <v>71</v>
      </c>
      <c r="W7" s="72" t="n">
        <v>44228</v>
      </c>
      <c r="X7" s="72" t="n">
        <v>45505</v>
      </c>
      <c r="Y7" s="24" t="s">
        <v>72</v>
      </c>
      <c r="Z7" s="24" t="s">
        <v>149</v>
      </c>
      <c r="AA7" s="24" t="s">
        <v>74</v>
      </c>
      <c r="AB7" s="24"/>
      <c r="AC7" s="24" t="n">
        <v>0</v>
      </c>
      <c r="AD7" s="24"/>
      <c r="AE7" s="24"/>
      <c r="AF7" s="24" t="s">
        <v>75</v>
      </c>
      <c r="AG7" s="24" t="s">
        <v>242</v>
      </c>
      <c r="AH7" s="24" t="n">
        <v>10</v>
      </c>
      <c r="AI7" s="24" t="n">
        <v>30</v>
      </c>
      <c r="AJ7" s="73" t="n">
        <v>33934</v>
      </c>
      <c r="AK7" s="24" t="s">
        <v>61</v>
      </c>
      <c r="AL7" s="73" t="n">
        <v>45009.3715277778</v>
      </c>
      <c r="AM7" s="72" t="n">
        <v>45009.4006944444</v>
      </c>
      <c r="AN7" s="24" t="n">
        <v>6</v>
      </c>
      <c r="AO7" s="24" t="n">
        <v>40</v>
      </c>
      <c r="AP7" s="24" t="n">
        <v>3</v>
      </c>
      <c r="AQ7" s="22" t="s">
        <v>0</v>
      </c>
      <c r="AR7" s="27" t="s">
        <v>615</v>
      </c>
      <c r="AS7" s="27" t="s">
        <v>78</v>
      </c>
      <c r="AT7" s="23"/>
      <c r="AU7" s="23"/>
      <c r="AV7" s="23"/>
      <c r="AW7" s="23"/>
      <c r="AX7" s="23"/>
      <c r="AY7" s="23"/>
    </row>
    <row r="8" customFormat="false" ht="15" hidden="false" customHeight="false" outlineLevel="0" collapsed="false">
      <c r="A8" s="27" t="s">
        <v>709</v>
      </c>
      <c r="B8" s="24" t="n">
        <v>46001979</v>
      </c>
      <c r="C8" s="24" t="n">
        <v>41974982840</v>
      </c>
      <c r="D8" s="24" t="s">
        <v>81</v>
      </c>
      <c r="E8" s="24" t="s">
        <v>107</v>
      </c>
      <c r="F8" s="24" t="s">
        <v>59</v>
      </c>
      <c r="G8" s="24" t="s">
        <v>96</v>
      </c>
      <c r="H8" s="24"/>
      <c r="I8" s="24" t="s">
        <v>61</v>
      </c>
      <c r="J8" s="24" t="n">
        <v>16016010</v>
      </c>
      <c r="K8" s="24" t="s">
        <v>713</v>
      </c>
      <c r="L8" s="24" t="s">
        <v>714</v>
      </c>
      <c r="M8" s="24" t="s">
        <v>715</v>
      </c>
      <c r="N8" s="24" t="s">
        <v>716</v>
      </c>
      <c r="O8" s="24" t="s">
        <v>717</v>
      </c>
      <c r="P8" s="24" t="s">
        <v>718</v>
      </c>
      <c r="Q8" s="24" t="s">
        <v>719</v>
      </c>
      <c r="R8" s="24" t="s">
        <v>61</v>
      </c>
      <c r="S8" s="24"/>
      <c r="T8" s="24" t="s">
        <v>3385</v>
      </c>
      <c r="U8" s="24" t="s">
        <v>70</v>
      </c>
      <c r="V8" s="24" t="s">
        <v>71</v>
      </c>
      <c r="W8" s="72" t="n">
        <v>41671</v>
      </c>
      <c r="X8" s="72" t="n">
        <v>45261</v>
      </c>
      <c r="Y8" s="24" t="s">
        <v>72</v>
      </c>
      <c r="Z8" s="24" t="s">
        <v>149</v>
      </c>
      <c r="AA8" s="24" t="s">
        <v>74</v>
      </c>
      <c r="AB8" s="24"/>
      <c r="AC8" s="24" t="n">
        <v>0</v>
      </c>
      <c r="AD8" s="24"/>
      <c r="AE8" s="24"/>
      <c r="AF8" s="24" t="s">
        <v>75</v>
      </c>
      <c r="AG8" s="24" t="s">
        <v>242</v>
      </c>
      <c r="AH8" s="24" t="n">
        <v>10</v>
      </c>
      <c r="AI8" s="24" t="n">
        <v>30</v>
      </c>
      <c r="AJ8" s="73" t="n">
        <v>34641</v>
      </c>
      <c r="AK8" s="24" t="s">
        <v>76</v>
      </c>
      <c r="AL8" s="73" t="n">
        <v>45002.925</v>
      </c>
      <c r="AM8" s="72" t="n">
        <v>45002.9256944444</v>
      </c>
      <c r="AN8" s="24" t="n">
        <v>9</v>
      </c>
      <c r="AO8" s="24" t="n">
        <v>40</v>
      </c>
      <c r="AP8" s="24" t="n">
        <v>4</v>
      </c>
      <c r="AQ8" s="22" t="s">
        <v>1</v>
      </c>
      <c r="AR8" s="27" t="s">
        <v>721</v>
      </c>
      <c r="AS8" s="27" t="s">
        <v>206</v>
      </c>
      <c r="AT8" s="27" t="s">
        <v>722</v>
      </c>
      <c r="AU8" s="27" t="s">
        <v>723</v>
      </c>
      <c r="AV8" s="27"/>
      <c r="AW8" s="27"/>
      <c r="AX8" s="27"/>
      <c r="AY8" s="27"/>
    </row>
    <row r="9" customFormat="false" ht="15" hidden="true" customHeight="false" outlineLevel="0" collapsed="false">
      <c r="A9" s="27" t="s">
        <v>3386</v>
      </c>
      <c r="B9" s="24"/>
      <c r="C9" s="24" t="n">
        <v>6103114330</v>
      </c>
      <c r="D9" s="24" t="s">
        <v>81</v>
      </c>
      <c r="E9" s="24" t="s">
        <v>107</v>
      </c>
      <c r="F9" s="24" t="s">
        <v>59</v>
      </c>
      <c r="G9" s="24" t="s">
        <v>156</v>
      </c>
      <c r="H9" s="24"/>
      <c r="I9" s="24" t="s">
        <v>61</v>
      </c>
      <c r="J9" s="24" t="n">
        <v>74494430</v>
      </c>
      <c r="K9" s="24" t="s">
        <v>62</v>
      </c>
      <c r="L9" s="24" t="s">
        <v>63</v>
      </c>
      <c r="M9" s="24" t="s">
        <v>3387</v>
      </c>
      <c r="N9" s="24" t="s">
        <v>728</v>
      </c>
      <c r="O9" s="24" t="s">
        <v>729</v>
      </c>
      <c r="P9" s="24"/>
      <c r="Q9" s="24" t="s">
        <v>730</v>
      </c>
      <c r="R9" s="24" t="s">
        <v>61</v>
      </c>
      <c r="S9" s="24"/>
      <c r="T9" s="24" t="s">
        <v>906</v>
      </c>
      <c r="U9" s="24" t="s">
        <v>70</v>
      </c>
      <c r="V9" s="24" t="s">
        <v>71</v>
      </c>
      <c r="W9" s="72" t="n">
        <v>44228</v>
      </c>
      <c r="X9" s="72" t="n">
        <v>45992</v>
      </c>
      <c r="Y9" s="24" t="s">
        <v>72</v>
      </c>
      <c r="Z9" s="24" t="s">
        <v>149</v>
      </c>
      <c r="AA9" s="24" t="s">
        <v>74</v>
      </c>
      <c r="AB9" s="24"/>
      <c r="AC9" s="24" t="n">
        <v>0</v>
      </c>
      <c r="AD9" s="24"/>
      <c r="AE9" s="24"/>
      <c r="AF9" s="24" t="s">
        <v>75</v>
      </c>
      <c r="AG9" s="24" t="s">
        <v>242</v>
      </c>
      <c r="AH9" s="24" t="n">
        <v>10</v>
      </c>
      <c r="AI9" s="24" t="n">
        <v>30</v>
      </c>
      <c r="AJ9" s="73" t="n">
        <v>34783</v>
      </c>
      <c r="AK9" s="24" t="s">
        <v>61</v>
      </c>
      <c r="AL9" s="73" t="n">
        <v>45000.43125</v>
      </c>
      <c r="AM9" s="72" t="n">
        <v>45000.4333333333</v>
      </c>
      <c r="AN9" s="24" t="n">
        <v>5</v>
      </c>
      <c r="AO9" s="24" t="n">
        <v>40</v>
      </c>
      <c r="AP9" s="24" t="n">
        <v>5</v>
      </c>
      <c r="AQ9" s="22" t="s">
        <v>0</v>
      </c>
      <c r="AR9" s="23" t="s">
        <v>732</v>
      </c>
      <c r="AS9" s="23" t="s">
        <v>78</v>
      </c>
      <c r="AT9" s="23"/>
      <c r="AU9" s="23"/>
      <c r="AV9" s="23"/>
      <c r="AW9" s="23"/>
      <c r="AX9" s="23"/>
      <c r="AY9" s="23"/>
    </row>
    <row r="10" customFormat="false" ht="15" hidden="true" customHeight="false" outlineLevel="0" collapsed="false">
      <c r="A10" s="27" t="s">
        <v>1715</v>
      </c>
      <c r="B10" s="24" t="n">
        <v>5415863</v>
      </c>
      <c r="C10" s="24" t="n">
        <v>3307290126</v>
      </c>
      <c r="D10" s="24" t="s">
        <v>57</v>
      </c>
      <c r="E10" s="24" t="s">
        <v>107</v>
      </c>
      <c r="F10" s="24" t="s">
        <v>59</v>
      </c>
      <c r="G10" s="24" t="s">
        <v>156</v>
      </c>
      <c r="H10" s="24"/>
      <c r="I10" s="24" t="s">
        <v>61</v>
      </c>
      <c r="J10" s="24" t="n">
        <v>74350660</v>
      </c>
      <c r="K10" s="24" t="s">
        <v>62</v>
      </c>
      <c r="L10" s="24" t="s">
        <v>63</v>
      </c>
      <c r="M10" s="24" t="s">
        <v>1719</v>
      </c>
      <c r="N10" s="24" t="s">
        <v>1720</v>
      </c>
      <c r="O10" s="24" t="s">
        <v>1721</v>
      </c>
      <c r="P10" s="24"/>
      <c r="Q10" s="24" t="s">
        <v>1722</v>
      </c>
      <c r="R10" s="24" t="s">
        <v>61</v>
      </c>
      <c r="S10" s="24"/>
      <c r="T10" s="24" t="s">
        <v>1723</v>
      </c>
      <c r="U10" s="24" t="s">
        <v>70</v>
      </c>
      <c r="V10" s="24" t="s">
        <v>71</v>
      </c>
      <c r="W10" s="72" t="n">
        <v>43678</v>
      </c>
      <c r="X10" s="72" t="n">
        <v>45444</v>
      </c>
      <c r="Y10" s="24" t="s">
        <v>72</v>
      </c>
      <c r="Z10" s="24" t="s">
        <v>149</v>
      </c>
      <c r="AA10" s="24" t="s">
        <v>74</v>
      </c>
      <c r="AB10" s="24"/>
      <c r="AC10" s="24" t="n">
        <v>0</v>
      </c>
      <c r="AD10" s="24"/>
      <c r="AE10" s="24"/>
      <c r="AF10" s="24" t="s">
        <v>75</v>
      </c>
      <c r="AG10" s="24" t="s">
        <v>242</v>
      </c>
      <c r="AH10" s="24" t="n">
        <v>10</v>
      </c>
      <c r="AI10" s="24" t="n">
        <v>30</v>
      </c>
      <c r="AJ10" s="73" t="n">
        <v>36927</v>
      </c>
      <c r="AK10" s="24" t="s">
        <v>76</v>
      </c>
      <c r="AL10" s="73" t="n">
        <v>45008.7145833333</v>
      </c>
      <c r="AM10" s="72" t="n">
        <v>45009.0083333333</v>
      </c>
      <c r="AN10" s="24" t="n">
        <v>8</v>
      </c>
      <c r="AO10" s="24" t="n">
        <v>40</v>
      </c>
      <c r="AP10" s="24" t="n">
        <v>6</v>
      </c>
      <c r="AQ10" s="22" t="s">
        <v>0</v>
      </c>
      <c r="AR10" s="23" t="s">
        <v>1724</v>
      </c>
      <c r="AS10" s="27" t="s">
        <v>78</v>
      </c>
      <c r="AT10" s="23"/>
      <c r="AU10" s="23"/>
      <c r="AV10" s="23"/>
      <c r="AW10" s="23"/>
      <c r="AX10" s="23"/>
      <c r="AY10" s="23"/>
    </row>
    <row r="11" customFormat="false" ht="15" hidden="true" customHeight="false" outlineLevel="0" collapsed="false">
      <c r="A11" s="27" t="s">
        <v>3388</v>
      </c>
      <c r="B11" s="24" t="n">
        <v>6835848</v>
      </c>
      <c r="C11" s="24" t="n">
        <v>7666207190</v>
      </c>
      <c r="D11" s="24" t="s">
        <v>81</v>
      </c>
      <c r="E11" s="24" t="s">
        <v>107</v>
      </c>
      <c r="F11" s="24" t="s">
        <v>59</v>
      </c>
      <c r="G11" s="24" t="s">
        <v>156</v>
      </c>
      <c r="H11" s="24"/>
      <c r="I11" s="24" t="s">
        <v>61</v>
      </c>
      <c r="J11" s="24" t="n">
        <v>75261486</v>
      </c>
      <c r="K11" s="24" t="s">
        <v>62</v>
      </c>
      <c r="L11" s="24" t="s">
        <v>365</v>
      </c>
      <c r="M11" s="24" t="s">
        <v>1738</v>
      </c>
      <c r="N11" s="24" t="s">
        <v>1739</v>
      </c>
      <c r="O11" s="24" t="s">
        <v>1740</v>
      </c>
      <c r="P11" s="24"/>
      <c r="Q11" s="24" t="s">
        <v>1741</v>
      </c>
      <c r="R11" s="24" t="s">
        <v>61</v>
      </c>
      <c r="S11" s="24"/>
      <c r="T11" s="24" t="s">
        <v>3389</v>
      </c>
      <c r="U11" s="24" t="s">
        <v>70</v>
      </c>
      <c r="V11" s="24" t="s">
        <v>71</v>
      </c>
      <c r="W11" s="72" t="n">
        <v>43525</v>
      </c>
      <c r="X11" s="72" t="n">
        <v>45383</v>
      </c>
      <c r="Y11" s="24" t="s">
        <v>72</v>
      </c>
      <c r="Z11" s="24" t="s">
        <v>149</v>
      </c>
      <c r="AA11" s="24" t="s">
        <v>74</v>
      </c>
      <c r="AB11" s="24"/>
      <c r="AC11" s="24" t="n">
        <v>0</v>
      </c>
      <c r="AD11" s="24"/>
      <c r="AE11" s="24"/>
      <c r="AF11" s="24" t="s">
        <v>75</v>
      </c>
      <c r="AG11" s="24" t="s">
        <v>242</v>
      </c>
      <c r="AH11" s="24" t="n">
        <v>10</v>
      </c>
      <c r="AI11" s="24" t="n">
        <v>30</v>
      </c>
      <c r="AJ11" s="73" t="n">
        <v>36934</v>
      </c>
      <c r="AK11" s="24" t="s">
        <v>76</v>
      </c>
      <c r="AL11" s="73" t="n">
        <v>45005.5805555556</v>
      </c>
      <c r="AM11" s="72" t="n">
        <v>45005.5833333333</v>
      </c>
      <c r="AN11" s="24" t="n">
        <v>8</v>
      </c>
      <c r="AO11" s="24" t="n">
        <v>40</v>
      </c>
      <c r="AP11" s="24" t="n">
        <v>7</v>
      </c>
      <c r="AQ11" s="22" t="s">
        <v>3390</v>
      </c>
      <c r="AR11" s="23" t="s">
        <v>1743</v>
      </c>
      <c r="AS11" s="27" t="s">
        <v>220</v>
      </c>
      <c r="AT11" s="27"/>
      <c r="AU11" s="27"/>
      <c r="AV11" s="27"/>
      <c r="AW11" s="27"/>
      <c r="AX11" s="27"/>
      <c r="AY11" s="27"/>
    </row>
    <row r="12" customFormat="false" ht="15" hidden="false" customHeight="false" outlineLevel="0" collapsed="false">
      <c r="A12" s="27" t="s">
        <v>2078</v>
      </c>
      <c r="B12" s="24"/>
      <c r="C12" s="24" t="n">
        <v>6157523140</v>
      </c>
      <c r="D12" s="24" t="s">
        <v>81</v>
      </c>
      <c r="E12" s="24" t="s">
        <v>107</v>
      </c>
      <c r="F12" s="24" t="s">
        <v>59</v>
      </c>
      <c r="G12" s="24" t="s">
        <v>96</v>
      </c>
      <c r="H12" s="24"/>
      <c r="I12" s="24" t="s">
        <v>61</v>
      </c>
      <c r="J12" s="24" t="n">
        <v>76600000</v>
      </c>
      <c r="K12" s="24" t="s">
        <v>62</v>
      </c>
      <c r="L12" s="24" t="s">
        <v>2081</v>
      </c>
      <c r="M12" s="24" t="s">
        <v>3391</v>
      </c>
      <c r="N12" s="24" t="s">
        <v>2083</v>
      </c>
      <c r="O12" s="24" t="s">
        <v>2084</v>
      </c>
      <c r="P12" s="24" t="s">
        <v>2085</v>
      </c>
      <c r="Q12" s="24" t="s">
        <v>2086</v>
      </c>
      <c r="R12" s="24" t="s">
        <v>61</v>
      </c>
      <c r="S12" s="24"/>
      <c r="T12" s="24" t="s">
        <v>836</v>
      </c>
      <c r="U12" s="24" t="s">
        <v>70</v>
      </c>
      <c r="V12" s="24" t="s">
        <v>71</v>
      </c>
      <c r="W12" s="72" t="n">
        <v>43497</v>
      </c>
      <c r="X12" s="72" t="n">
        <v>45323</v>
      </c>
      <c r="Y12" s="24" t="s">
        <v>72</v>
      </c>
      <c r="Z12" s="24" t="s">
        <v>91</v>
      </c>
      <c r="AA12" s="24" t="s">
        <v>74</v>
      </c>
      <c r="AB12" s="24"/>
      <c r="AC12" s="24" t="n">
        <v>0</v>
      </c>
      <c r="AD12" s="24"/>
      <c r="AE12" s="24"/>
      <c r="AF12" s="24" t="s">
        <v>75</v>
      </c>
      <c r="AG12" s="24" t="s">
        <v>242</v>
      </c>
      <c r="AH12" s="24" t="n">
        <v>10</v>
      </c>
      <c r="AI12" s="24" t="n">
        <v>30</v>
      </c>
      <c r="AJ12" s="73" t="n">
        <v>37176</v>
      </c>
      <c r="AK12" s="24" t="s">
        <v>76</v>
      </c>
      <c r="AL12" s="73" t="n">
        <v>45000.6708333333</v>
      </c>
      <c r="AM12" s="72" t="n">
        <v>45000.6715277778</v>
      </c>
      <c r="AN12" s="24" t="n">
        <v>8</v>
      </c>
      <c r="AO12" s="24" t="n">
        <v>40</v>
      </c>
      <c r="AP12" s="24" t="n">
        <v>8</v>
      </c>
      <c r="AQ12" s="22" t="s">
        <v>1</v>
      </c>
      <c r="AR12" s="27" t="s">
        <v>2087</v>
      </c>
      <c r="AS12" s="27" t="s">
        <v>1698</v>
      </c>
      <c r="AT12" s="74" t="n">
        <v>45050</v>
      </c>
      <c r="AU12" s="27" t="s">
        <v>805</v>
      </c>
      <c r="AV12" s="23"/>
      <c r="AW12" s="23"/>
      <c r="AX12" s="23"/>
      <c r="AY12" s="23"/>
    </row>
    <row r="13" customFormat="false" ht="15" hidden="true" customHeight="false" outlineLevel="0" collapsed="false">
      <c r="A13" s="27" t="s">
        <v>2519</v>
      </c>
      <c r="B13" s="24" t="n">
        <v>6890097</v>
      </c>
      <c r="C13" s="24" t="n">
        <v>4357029120</v>
      </c>
      <c r="D13" s="24" t="s">
        <v>81</v>
      </c>
      <c r="E13" s="24" t="s">
        <v>107</v>
      </c>
      <c r="F13" s="24" t="s">
        <v>59</v>
      </c>
      <c r="G13" s="24" t="s">
        <v>96</v>
      </c>
      <c r="H13" s="24"/>
      <c r="I13" s="24" t="s">
        <v>61</v>
      </c>
      <c r="J13" s="24" t="n">
        <v>74474315</v>
      </c>
      <c r="K13" s="24" t="s">
        <v>62</v>
      </c>
      <c r="L13" s="24" t="s">
        <v>63</v>
      </c>
      <c r="M13" s="24" t="s">
        <v>2523</v>
      </c>
      <c r="N13" s="24" t="s">
        <v>768</v>
      </c>
      <c r="O13" s="24" t="s">
        <v>2524</v>
      </c>
      <c r="P13" s="24" t="s">
        <v>2525</v>
      </c>
      <c r="Q13" s="24" t="s">
        <v>2526</v>
      </c>
      <c r="R13" s="24" t="s">
        <v>61</v>
      </c>
      <c r="S13" s="24"/>
      <c r="T13" s="24" t="s">
        <v>1284</v>
      </c>
      <c r="U13" s="24" t="s">
        <v>70</v>
      </c>
      <c r="V13" s="24" t="s">
        <v>71</v>
      </c>
      <c r="W13" s="72" t="n">
        <v>44197</v>
      </c>
      <c r="X13" s="72" t="n">
        <v>45717</v>
      </c>
      <c r="Y13" s="24" t="s">
        <v>72</v>
      </c>
      <c r="Z13" s="24" t="s">
        <v>149</v>
      </c>
      <c r="AA13" s="24" t="s">
        <v>74</v>
      </c>
      <c r="AB13" s="24"/>
      <c r="AC13" s="24" t="n">
        <v>0</v>
      </c>
      <c r="AD13" s="24"/>
      <c r="AE13" s="24"/>
      <c r="AF13" s="24" t="s">
        <v>75</v>
      </c>
      <c r="AG13" s="24" t="s">
        <v>242</v>
      </c>
      <c r="AH13" s="24" t="n">
        <v>10</v>
      </c>
      <c r="AI13" s="24" t="n">
        <v>30</v>
      </c>
      <c r="AJ13" s="73" t="n">
        <v>37432</v>
      </c>
      <c r="AK13" s="24" t="s">
        <v>76</v>
      </c>
      <c r="AL13" s="73" t="n">
        <v>45002.8097222222</v>
      </c>
      <c r="AM13" s="72" t="n">
        <v>45002.8104166667</v>
      </c>
      <c r="AN13" s="24" t="n">
        <v>5</v>
      </c>
      <c r="AO13" s="24" t="n">
        <v>40</v>
      </c>
      <c r="AP13" s="24" t="n">
        <v>9</v>
      </c>
      <c r="AQ13" s="22" t="s">
        <v>0</v>
      </c>
      <c r="AR13" s="27" t="s">
        <v>2527</v>
      </c>
      <c r="AS13" s="27" t="s">
        <v>206</v>
      </c>
      <c r="AT13" s="74" t="n">
        <v>45050</v>
      </c>
      <c r="AU13" s="27" t="s">
        <v>78</v>
      </c>
      <c r="AV13" s="23"/>
      <c r="AW13" s="23"/>
      <c r="AX13" s="23"/>
      <c r="AY13" s="23"/>
    </row>
    <row r="14" customFormat="false" ht="15" hidden="false" customHeight="false" outlineLevel="0" collapsed="false">
      <c r="A14" s="27" t="s">
        <v>2551</v>
      </c>
      <c r="B14" s="24" t="n">
        <v>6838371</v>
      </c>
      <c r="C14" s="24" t="n">
        <v>2998465129</v>
      </c>
      <c r="D14" s="24" t="s">
        <v>57</v>
      </c>
      <c r="E14" s="24" t="s">
        <v>107</v>
      </c>
      <c r="F14" s="24" t="s">
        <v>59</v>
      </c>
      <c r="G14" s="24" t="s">
        <v>156</v>
      </c>
      <c r="H14" s="24"/>
      <c r="I14" s="24" t="s">
        <v>61</v>
      </c>
      <c r="J14" s="24" t="n">
        <v>74865040</v>
      </c>
      <c r="K14" s="24" t="s">
        <v>62</v>
      </c>
      <c r="L14" s="24" t="s">
        <v>84</v>
      </c>
      <c r="M14" s="24" t="s">
        <v>2555</v>
      </c>
      <c r="N14" s="24" t="s">
        <v>2556</v>
      </c>
      <c r="O14" s="24" t="s">
        <v>2557</v>
      </c>
      <c r="P14" s="24"/>
      <c r="Q14" s="24" t="s">
        <v>2558</v>
      </c>
      <c r="R14" s="24" t="s">
        <v>61</v>
      </c>
      <c r="S14" s="24"/>
      <c r="T14" s="24" t="s">
        <v>672</v>
      </c>
      <c r="U14" s="24" t="s">
        <v>70</v>
      </c>
      <c r="V14" s="24" t="s">
        <v>71</v>
      </c>
      <c r="W14" s="72" t="n">
        <v>43831</v>
      </c>
      <c r="X14" s="72" t="n">
        <v>45658</v>
      </c>
      <c r="Y14" s="24" t="s">
        <v>72</v>
      </c>
      <c r="Z14" s="24" t="s">
        <v>149</v>
      </c>
      <c r="AA14" s="24" t="s">
        <v>74</v>
      </c>
      <c r="AB14" s="24"/>
      <c r="AC14" s="24" t="n">
        <v>0</v>
      </c>
      <c r="AD14" s="24"/>
      <c r="AE14" s="24"/>
      <c r="AF14" s="24" t="s">
        <v>75</v>
      </c>
      <c r="AG14" s="24" t="s">
        <v>242</v>
      </c>
      <c r="AH14" s="24" t="n">
        <v>10</v>
      </c>
      <c r="AI14" s="24" t="n">
        <v>30</v>
      </c>
      <c r="AJ14" s="73" t="n">
        <v>37452</v>
      </c>
      <c r="AK14" s="24" t="s">
        <v>76</v>
      </c>
      <c r="AL14" s="73" t="n">
        <v>45000.7326388889</v>
      </c>
      <c r="AM14" s="72" t="n">
        <v>45000.7347222222</v>
      </c>
      <c r="AN14" s="24" t="n">
        <v>5</v>
      </c>
      <c r="AO14" s="24" t="n">
        <v>40</v>
      </c>
      <c r="AP14" s="24" t="n">
        <v>10</v>
      </c>
      <c r="AQ14" s="22" t="s">
        <v>1</v>
      </c>
      <c r="AR14" s="49" t="s">
        <v>2559</v>
      </c>
      <c r="AS14" s="27" t="s">
        <v>206</v>
      </c>
      <c r="AT14" s="74" t="n">
        <v>45050</v>
      </c>
      <c r="AU14" s="27" t="s">
        <v>2560</v>
      </c>
      <c r="AV14" s="23"/>
      <c r="AW14" s="23"/>
      <c r="AX14" s="23"/>
      <c r="AY14" s="23"/>
    </row>
  </sheetData>
  <autoFilter ref="A4:AY14">
    <filterColumn colId="42">
      <filters>
        <filter val="DESCLASSIFICADO"/>
      </filters>
    </filterColumn>
  </autoFilter>
  <mergeCells count="3">
    <mergeCell ref="A1:AP1"/>
    <mergeCell ref="A2:AP2"/>
    <mergeCell ref="A3:AP3"/>
  </mergeCells>
  <conditionalFormatting sqref="AR5:AS14 AU12:AU14">
    <cfRule type="expression" priority="2" aboveAverage="0" equalAverage="0" bottom="0" percent="0" rank="0" text="" dxfId="4">
      <formula>$AQ$5:$AQ$20000="CONTRATADO"</formula>
    </cfRule>
  </conditionalFormatting>
  <conditionalFormatting sqref="AR5:AS14 AU12:AU14">
    <cfRule type="expression" priority="3" aboveAverage="0" equalAverage="0" bottom="0" percent="0" rank="0" text="" dxfId="5">
      <formula>$AQ$5:$AQ$20000="DISPONÍVEL"</formula>
    </cfRule>
  </conditionalFormatting>
  <conditionalFormatting sqref="AR5:AS14 AU12:AU14">
    <cfRule type="expression" priority="4" aboveAverage="0" equalAverage="0" bottom="0" percent="0" rank="0" text="" dxfId="6">
      <formula>$AQ$5:$AQ$20000="1ª CONVOCAÇÃO "</formula>
    </cfRule>
  </conditionalFormatting>
  <conditionalFormatting sqref="AR5:AS14 AU12:AU14">
    <cfRule type="expression" priority="5" aboveAverage="0" equalAverage="0" bottom="0" percent="0" rank="0" text="" dxfId="7">
      <formula>$AQ$5:$AQ$20000="2ª CONVOCAÇÃO"</formula>
    </cfRule>
  </conditionalFormatting>
  <conditionalFormatting sqref="AR5:AS14 AU12:AU14">
    <cfRule type="expression" priority="6" aboveAverage="0" equalAverage="0" bottom="0" percent="0" rank="0" text="" dxfId="8">
      <formula>$AQ$5:$AQ$20000="DESCLASSIFICADO"</formula>
    </cfRule>
  </conditionalFormatting>
  <conditionalFormatting sqref="AR5:AS14 AU12:AU14">
    <cfRule type="expression" priority="7" aboveAverage="0" equalAverage="0" bottom="0" percent="0" rank="0" text="" dxfId="9">
      <formula>$AQ$5:$AQ$20000="NÃO ATENDE/AGUARDANDO RETORNO"</formula>
    </cfRule>
  </conditionalFormatting>
  <conditionalFormatting sqref="AR5:AS14 AU12:AU14">
    <cfRule type="expression" priority="8" aboveAverage="0" equalAverage="0" bottom="0" percent="0" rank="0" text="" dxfId="10">
      <formula>$AQ$5:$AQ$20000="REMANEJADO"</formula>
    </cfRule>
  </conditionalFormatting>
  <conditionalFormatting sqref="A1:AY14">
    <cfRule type="expression" priority="9" aboveAverage="0" equalAverage="0" bottom="0" percent="0" rank="0" text="" dxfId="4">
      <formula>$AQ$5:$AQ$19014="CONTRATADO"</formula>
    </cfRule>
  </conditionalFormatting>
  <conditionalFormatting sqref="A1:AY14">
    <cfRule type="expression" priority="10" aboveAverage="0" equalAverage="0" bottom="0" percent="0" rank="0" text="" dxfId="5">
      <formula>$AQ$5:$AQ$19014="DISPONÍVEL"</formula>
    </cfRule>
  </conditionalFormatting>
  <conditionalFormatting sqref="A1:AY14">
    <cfRule type="expression" priority="11" aboveAverage="0" equalAverage="0" bottom="0" percent="0" rank="0" text="" dxfId="6">
      <formula>$AQ$5:$AQ$19014="1ª CONVOCAÇÃO "</formula>
    </cfRule>
  </conditionalFormatting>
  <conditionalFormatting sqref="A1:AY14">
    <cfRule type="expression" priority="12" aboveAverage="0" equalAverage="0" bottom="0" percent="0" rank="0" text="" dxfId="7">
      <formula>$AQ$5:$AQ$19014="2ª CONVOCAÇÃO"</formula>
    </cfRule>
  </conditionalFormatting>
  <conditionalFormatting sqref="A1:AY14">
    <cfRule type="expression" priority="13" aboveAverage="0" equalAverage="0" bottom="0" percent="0" rank="0" text="" dxfId="8">
      <formula>$AQ$5:$AQ$19014="DESCLASSIFICADO"</formula>
    </cfRule>
  </conditionalFormatting>
  <conditionalFormatting sqref="A1:AY14">
    <cfRule type="expression" priority="14" aboveAverage="0" equalAverage="0" bottom="0" percent="0" rank="0" text="" dxfId="9">
      <formula>$AQ$5:$AQ$19014="NÃO ATENDE/AGUARDANDO RETORNO"</formula>
    </cfRule>
  </conditionalFormatting>
  <conditionalFormatting sqref="A1:AY14">
    <cfRule type="expression" priority="15" aboveAverage="0" equalAverage="0" bottom="0" percent="0" rank="0" text="" dxfId="10">
      <formula>$AQ$5:$AQ$19014="REMANEJADO"</formula>
    </cfRule>
  </conditionalFormatting>
  <dataValidations count="1">
    <dataValidation allowBlank="true" errorStyle="stop" operator="between" showDropDown="false" showErrorMessage="true" showInputMessage="false" sqref="AQ5:AQ14" type="list">
      <formula1>"1ª CONVOCAÇÃO 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&amp;LCLASSIFICAÇÃO FINAL&amp;RTJGO - EDITAL 01/2023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2024-02-07T15:06:18Z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