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4" activeTab="4"/>
  </bookViews>
  <sheets>
    <sheet name="Todas as cidades aqui- Superior" sheetId="1" state="hidden" r:id="rId1"/>
    <sheet name="AMPLA" sheetId="2" state="hidden" r:id="rId2"/>
    <sheet name="NEGRO" sheetId="3" state="hidden" r:id="rId3"/>
    <sheet name="PCD" sheetId="4" state="hidden" r:id="rId4"/>
    <sheet name="ANÁPOLIS" sheetId="5" r:id="rId5"/>
    <sheet name="ABADIÂNIA" sheetId="6" r:id="rId6"/>
    <sheet name="ACREÚNA" sheetId="7" r:id="rId7"/>
    <sheet name="ALVORADA DO NORTE" sheetId="8" r:id="rId8"/>
    <sheet name="ANICUNS" sheetId="9" r:id="rId9"/>
    <sheet name="ÁGUAS LINDAS" sheetId="10" r:id="rId10"/>
    <sheet name="APARECIDA DE GOIÂNIA" sheetId="11" r:id="rId11"/>
    <sheet name="ARAGARÇAS" sheetId="12" r:id="rId12"/>
    <sheet name="BELA VISTA" sheetId="13" r:id="rId13"/>
    <sheet name="BOM JESUS" sheetId="14" r:id="rId14"/>
    <sheet name="CACHOEIRA ALTA" sheetId="15" r:id="rId15"/>
    <sheet name="CALDAS NOVAS" sheetId="16" r:id="rId16"/>
    <sheet name="CAMPINORTE" sheetId="17" r:id="rId17"/>
    <sheet name="CAMPOS BELOS" sheetId="18" r:id="rId18"/>
    <sheet name="CATALÃO" sheetId="19" r:id="rId19"/>
    <sheet name="CERES" sheetId="20" r:id="rId20"/>
    <sheet name="CIDADE OCIDENTAL" sheetId="21" r:id="rId21"/>
    <sheet name="COCALZINHO" sheetId="22" r:id="rId22"/>
    <sheet name="CORUMBÁ DE GOIÁS" sheetId="23" r:id="rId23"/>
    <sheet name="CORUMBAÍBA" sheetId="24" r:id="rId24"/>
    <sheet name="CRISTALINA" sheetId="25" r:id="rId25"/>
    <sheet name="CRIXÁS" sheetId="26" r:id="rId26"/>
    <sheet name="CUMARI" sheetId="27" r:id="rId27"/>
    <sheet name="EDÉIA" sheetId="28" r:id="rId28"/>
    <sheet name="FAZENDA NOVA" sheetId="29" r:id="rId29"/>
    <sheet name="FIRMINÓPOLIS" sheetId="30" r:id="rId30"/>
    <sheet name="FORMOSA" sheetId="31" r:id="rId31"/>
    <sheet name="FORMOSO - GO" sheetId="32" r:id="rId32"/>
    <sheet name="GOIANÉSIA" sheetId="33" r:id="rId33"/>
    <sheet name="GOIÂNIA" sheetId="34" r:id="rId34"/>
    <sheet name="GOIANIRA" sheetId="35" r:id="rId35"/>
    <sheet name="GOIÁS" sheetId="36" r:id="rId36"/>
    <sheet name="GOIATUBA" sheetId="37" r:id="rId37"/>
    <sheet name="HIDROLÂNIDA" sheetId="38" r:id="rId38"/>
    <sheet name="IACIARA" sheetId="39" r:id="rId39"/>
    <sheet name="INHUMAS" sheetId="40" r:id="rId40"/>
    <sheet name="IPAMERI" sheetId="41" r:id="rId41"/>
    <sheet name="IPORÁ" sheetId="42" r:id="rId42"/>
    <sheet name="ISRAELÂNDIA" sheetId="43" r:id="rId43"/>
    <sheet name="ITABERAÍ" sheetId="44" r:id="rId44"/>
    <sheet name="ITAGUARU" sheetId="45" r:id="rId45"/>
    <sheet name="ITAPACI" sheetId="46" r:id="rId46"/>
    <sheet name="ITAPIRAPUÃ" sheetId="47" r:id="rId47"/>
    <sheet name="ITAPURANGA" sheetId="48" r:id="rId48"/>
    <sheet name="ITUMBIARA" sheetId="49" r:id="rId49"/>
    <sheet name="JARAGUÁ" sheetId="50" r:id="rId50"/>
    <sheet name="JATAÍ" sheetId="51" r:id="rId51"/>
    <sheet name="JOVIÂNIA" sheetId="52" r:id="rId52"/>
    <sheet name="JUSSARA" sheetId="53" r:id="rId53"/>
    <sheet name="LEOPOLDO DE BULHÕES" sheetId="54" r:id="rId54"/>
    <sheet name="LUZIÂNIA" sheetId="55" r:id="rId55"/>
    <sheet name="MAURILÂNDIA" sheetId="56" r:id="rId56"/>
    <sheet name="MINEIROS" sheetId="57" r:id="rId57"/>
    <sheet name="MORRINHOS" sheetId="58" r:id="rId58"/>
    <sheet name="MOSSÂMEDES" sheetId="59" r:id="rId59"/>
    <sheet name="MOZARLÂNDIA" sheetId="60" r:id="rId60"/>
    <sheet name="NAZÁRIO" sheetId="61" r:id="rId61"/>
    <sheet name="NERÓPOLIS" sheetId="62" r:id="rId62"/>
    <sheet name="NIQUELÂNDIA" sheetId="63" r:id="rId63"/>
    <sheet name="NOVA CRIXÁS" sheetId="64" r:id="rId64"/>
    <sheet name="NOVO GAMA" sheetId="65" r:id="rId65"/>
    <sheet name="ORIZONA" sheetId="66" r:id="rId66"/>
    <sheet name="PARAÚNA" sheetId="67" r:id="rId67"/>
    <sheet name="PIRACANJUBA" sheetId="68" r:id="rId68"/>
    <sheet name="PIRENÓPOLIS" sheetId="69" r:id="rId69"/>
    <sheet name="PALMEIRAS DE GOIÁS" sheetId="70" r:id="rId70"/>
    <sheet name="PIRES DO RIO" sheetId="71" r:id="rId71"/>
    <sheet name="PLANALTINA" sheetId="72" r:id="rId72"/>
    <sheet name="PORANGATU" sheetId="73" r:id="rId73"/>
    <sheet name="QUIRINÓPOLIS" sheetId="74" r:id="rId74"/>
    <sheet name="RIO VERDE" sheetId="75" r:id="rId75"/>
    <sheet name="PONTALINA" sheetId="76" r:id="rId76"/>
    <sheet name="RUBIATABA" sheetId="77" r:id="rId77"/>
    <sheet name="SANCLERLÂNDIA" sheetId="78" r:id="rId78"/>
    <sheet name="SANTA CRUZ DE GOIÁS" sheetId="79" r:id="rId79"/>
    <sheet name="SANTA TEREZINHA DE GOIÁS" sheetId="80" r:id="rId80"/>
    <sheet name="SÃO LUÍS MONTES BELOS" sheetId="81" r:id="rId81"/>
    <sheet name="SANTO ANTÔNIO DO DESCOBERTO" sheetId="82" r:id="rId82"/>
    <sheet name="SÃO MIGUEL DO ARAGUAIA" sheetId="83" r:id="rId83"/>
    <sheet name="SENADOR CANEDO" sheetId="84" r:id="rId84"/>
    <sheet name="SILVÂNIA" sheetId="85" r:id="rId85"/>
    <sheet name="SÃO SIMÃO" sheetId="86" r:id="rId86"/>
    <sheet name="TAQUARAL DE GOIÁS" sheetId="87" r:id="rId87"/>
    <sheet name="TRINDADE" sheetId="88" r:id="rId88"/>
    <sheet name="TURVÂNIA" sheetId="89" r:id="rId89"/>
    <sheet name="URUAÇU" sheetId="90" r:id="rId90"/>
    <sheet name="URUANA" sheetId="91" r:id="rId91"/>
    <sheet name="URUTAÍ" sheetId="92" r:id="rId92"/>
    <sheet name="VALPARAÍSO" sheetId="93" r:id="rId93"/>
    <sheet name="VIANÓPOLIS" sheetId="94" r:id="rId94"/>
  </sheets>
  <definedNames>
    <definedName name="Z_7FB618AB_56A0_423A_8C28_9E8FC6F8DE43_.wvu.FilterData" localSheetId="1">AMPLA!$A$6:$AQ$845</definedName>
    <definedName name="Z_7FB618AB_56A0_423A_8C28_9E8FC6F8DE43_.wvu.FilterData" localSheetId="33">GOIÂNIA!$A$4:$E$357</definedName>
    <definedName name="Z_9E4DA071_5DE4_471C_BFF9_4042C6350544_.wvu.FilterData" localSheetId="1">AMPLA!$A$6:$AM$184</definedName>
    <definedName name="Z_9E4DA071_5DE4_471C_BFF9_4042C6350544_.wvu.FilterData" localSheetId="33">GOIÂNIA!$A$4:$E$357</definedName>
    <definedName name="Z_EE6C6D32_6F5A_4DD0_94CB_D863450A140B_.wvu.FilterData" localSheetId="1">AMPLA!$A$6:$AQ$845</definedName>
    <definedName name="Z_EE6C6D32_6F5A_4DD0_94CB_D863450A140B_.wvu.FilterData" localSheetId="33">GOIÂNIA!$A$4:$E$357</definedName>
  </definedName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689" i="1" l="1"/>
  <c r="B689" i="1"/>
  <c r="H688" i="1"/>
  <c r="N687" i="1"/>
  <c r="B687" i="1"/>
  <c r="B686" i="1"/>
  <c r="C685" i="1"/>
  <c r="E684" i="1"/>
  <c r="I683" i="1"/>
  <c r="K682" i="1"/>
  <c r="L681" i="1"/>
  <c r="N680" i="1"/>
  <c r="A680" i="1"/>
  <c r="C679" i="1"/>
  <c r="H678" i="1"/>
  <c r="N677" i="1"/>
  <c r="B677" i="1"/>
  <c r="D676" i="1"/>
  <c r="D675" i="1"/>
  <c r="I674" i="1"/>
  <c r="O673" i="1"/>
  <c r="C673" i="1"/>
  <c r="I672" i="1"/>
  <c r="O671" i="1"/>
  <c r="C671" i="1"/>
  <c r="E670" i="1"/>
  <c r="E669" i="1"/>
  <c r="F668" i="1"/>
  <c r="G667" i="1"/>
  <c r="H666" i="1"/>
  <c r="H665" i="1"/>
  <c r="H664" i="1"/>
  <c r="I663" i="1"/>
  <c r="I662" i="1"/>
  <c r="I661" i="1"/>
  <c r="M660" i="1"/>
  <c r="A660" i="1"/>
  <c r="B659" i="1"/>
  <c r="D658" i="1"/>
  <c r="E657" i="1"/>
  <c r="F656" i="1"/>
  <c r="J689" i="1"/>
  <c r="O688" i="1"/>
  <c r="C688" i="1"/>
  <c r="I687" i="1"/>
  <c r="K686" i="1"/>
  <c r="K685" i="1"/>
  <c r="L684" i="1"/>
  <c r="P683" i="1"/>
  <c r="D683" i="1"/>
  <c r="F682" i="1"/>
  <c r="G681" i="1"/>
  <c r="I680" i="1"/>
  <c r="J679" i="1"/>
  <c r="O678" i="1"/>
  <c r="C678" i="1"/>
  <c r="I677" i="1"/>
  <c r="L676" i="1"/>
  <c r="L675" i="1"/>
  <c r="P674" i="1"/>
  <c r="D674" i="1"/>
  <c r="J673" i="1"/>
  <c r="P672" i="1"/>
  <c r="D672" i="1"/>
  <c r="J671" i="1"/>
  <c r="L670" i="1"/>
  <c r="M669" i="1"/>
  <c r="M668" i="1"/>
  <c r="N667" i="1"/>
  <c r="A667" i="1"/>
  <c r="A666" i="1"/>
  <c r="A665" i="1"/>
  <c r="B664" i="1"/>
  <c r="B663" i="1"/>
  <c r="B662" i="1"/>
  <c r="B661" i="1"/>
  <c r="H660" i="1"/>
  <c r="J659" i="1"/>
  <c r="K658" i="1"/>
  <c r="L657" i="1"/>
  <c r="M656" i="1"/>
  <c r="N655" i="1"/>
  <c r="A655" i="1"/>
  <c r="B654" i="1"/>
  <c r="D653" i="1"/>
  <c r="E652" i="1"/>
  <c r="G651" i="1"/>
  <c r="I650" i="1"/>
  <c r="J649" i="1"/>
  <c r="M648" i="1"/>
  <c r="R647" i="1"/>
  <c r="F647" i="1"/>
  <c r="H646" i="1"/>
  <c r="L645" i="1"/>
  <c r="N644" i="1"/>
  <c r="N643" i="1"/>
  <c r="A643" i="1"/>
  <c r="B642" i="1"/>
  <c r="C641" i="1"/>
  <c r="E640" i="1"/>
  <c r="G639" i="1"/>
  <c r="H638" i="1"/>
  <c r="J637" i="1"/>
  <c r="L636" i="1"/>
  <c r="N635" i="1"/>
  <c r="P634" i="1"/>
  <c r="D634" i="1"/>
  <c r="E633" i="1"/>
  <c r="G632" i="1"/>
  <c r="I631" i="1"/>
  <c r="I630" i="1"/>
  <c r="M629" i="1"/>
  <c r="A629" i="1"/>
  <c r="G628" i="1"/>
  <c r="I627" i="1"/>
  <c r="I626" i="1"/>
  <c r="I625" i="1"/>
  <c r="J624" i="1"/>
  <c r="J623" i="1"/>
  <c r="L622" i="1"/>
  <c r="L621" i="1"/>
  <c r="R620" i="1"/>
  <c r="F620" i="1"/>
  <c r="L619" i="1"/>
  <c r="N618" i="1"/>
  <c r="N617" i="1"/>
  <c r="A617" i="1"/>
  <c r="B616" i="1"/>
  <c r="D615" i="1"/>
  <c r="D614" i="1"/>
  <c r="E613" i="1"/>
  <c r="E612" i="1"/>
  <c r="E611" i="1"/>
  <c r="E610" i="1"/>
  <c r="E609" i="1"/>
  <c r="G608" i="1"/>
  <c r="H607" i="1"/>
  <c r="H606" i="1"/>
  <c r="H605" i="1"/>
  <c r="I604" i="1"/>
  <c r="L603" i="1"/>
  <c r="M602" i="1"/>
  <c r="A602" i="1"/>
  <c r="B601" i="1"/>
  <c r="D600" i="1"/>
  <c r="I599" i="1"/>
  <c r="K598" i="1"/>
  <c r="K597" i="1"/>
  <c r="L596" i="1"/>
  <c r="P595" i="1"/>
  <c r="D595" i="1"/>
  <c r="E594" i="1"/>
  <c r="H593" i="1"/>
  <c r="K592" i="1"/>
  <c r="M591" i="1"/>
  <c r="Q590" i="1"/>
  <c r="E590" i="1"/>
  <c r="G589" i="1"/>
  <c r="H588" i="1"/>
  <c r="H587" i="1"/>
  <c r="M586" i="1"/>
  <c r="A586" i="1"/>
  <c r="E585" i="1"/>
  <c r="G584" i="1"/>
  <c r="G583" i="1"/>
  <c r="H582" i="1"/>
  <c r="J581" i="1"/>
  <c r="K580" i="1"/>
  <c r="I689" i="1"/>
  <c r="N688" i="1"/>
  <c r="B688" i="1"/>
  <c r="H687" i="1"/>
  <c r="J686" i="1"/>
  <c r="J685" i="1"/>
  <c r="K684" i="1"/>
  <c r="O683" i="1"/>
  <c r="C683" i="1"/>
  <c r="E682" i="1"/>
  <c r="F681" i="1"/>
  <c r="H680" i="1"/>
  <c r="I679" i="1"/>
  <c r="N678" i="1"/>
  <c r="B678" i="1"/>
  <c r="H677" i="1"/>
  <c r="K676" i="1"/>
  <c r="K675" i="1"/>
  <c r="O674" i="1"/>
  <c r="C674" i="1"/>
  <c r="I673" i="1"/>
  <c r="O672" i="1"/>
  <c r="C672" i="1"/>
  <c r="I671" i="1"/>
  <c r="K670" i="1"/>
  <c r="L669" i="1"/>
  <c r="L668" i="1"/>
  <c r="M667" i="1"/>
  <c r="N666" i="1"/>
  <c r="N665" i="1"/>
  <c r="N664" i="1"/>
  <c r="A664" i="1"/>
  <c r="A663" i="1"/>
  <c r="A662" i="1"/>
  <c r="A661" i="1"/>
  <c r="G660" i="1"/>
  <c r="I659" i="1"/>
  <c r="J658" i="1"/>
  <c r="K657" i="1"/>
  <c r="L656" i="1"/>
  <c r="M655" i="1"/>
  <c r="N654" i="1"/>
  <c r="D689" i="1"/>
  <c r="I688" i="1"/>
  <c r="O687" i="1"/>
  <c r="C687" i="1"/>
  <c r="D686" i="1"/>
  <c r="D685" i="1"/>
  <c r="F684" i="1"/>
  <c r="J683" i="1"/>
  <c r="L682" i="1"/>
  <c r="M681" i="1"/>
  <c r="A681" i="1"/>
  <c r="B680" i="1"/>
  <c r="D679" i="1"/>
  <c r="I678" i="1"/>
  <c r="O677" i="1"/>
  <c r="C677" i="1"/>
  <c r="E676" i="1"/>
  <c r="E675" i="1"/>
  <c r="J674" i="1"/>
  <c r="P673" i="1"/>
  <c r="D673" i="1"/>
  <c r="J672" i="1"/>
  <c r="P671" i="1"/>
  <c r="D671" i="1"/>
  <c r="F670" i="1"/>
  <c r="G669" i="1"/>
  <c r="G668" i="1"/>
  <c r="H667" i="1"/>
  <c r="I666" i="1"/>
  <c r="I665" i="1"/>
  <c r="I664" i="1"/>
  <c r="J663" i="1"/>
  <c r="J662" i="1"/>
  <c r="J661" i="1"/>
  <c r="N660" i="1"/>
  <c r="B660" i="1"/>
  <c r="D659" i="1"/>
  <c r="E658" i="1"/>
  <c r="F657" i="1"/>
  <c r="G656" i="1"/>
  <c r="H655" i="1"/>
  <c r="I654" i="1"/>
  <c r="J653" i="1"/>
  <c r="L652" i="1"/>
  <c r="M651" i="1"/>
  <c r="O650" i="1"/>
  <c r="A650" i="1"/>
  <c r="D649" i="1"/>
  <c r="G648" i="1"/>
  <c r="L647" i="1"/>
  <c r="N646" i="1"/>
  <c r="R645" i="1"/>
  <c r="F645" i="1"/>
  <c r="H644" i="1"/>
  <c r="H643" i="1"/>
  <c r="I642" i="1"/>
  <c r="J641" i="1"/>
  <c r="K640" i="1"/>
  <c r="M639" i="1"/>
  <c r="N638" i="1"/>
  <c r="P637" i="1"/>
  <c r="C637" i="1"/>
  <c r="E636" i="1"/>
  <c r="H635" i="1"/>
  <c r="J634" i="1"/>
  <c r="L633" i="1"/>
  <c r="M632" i="1"/>
  <c r="O631" i="1"/>
  <c r="A631" i="1"/>
  <c r="A630" i="1"/>
  <c r="G629" i="1"/>
  <c r="M628" i="1"/>
  <c r="A628" i="1"/>
  <c r="A627" i="1"/>
  <c r="A626" i="1"/>
  <c r="B625" i="1"/>
  <c r="B624" i="1"/>
  <c r="D623" i="1"/>
  <c r="E622" i="1"/>
  <c r="F621" i="1"/>
  <c r="L620" i="1"/>
  <c r="R619" i="1"/>
  <c r="F619" i="1"/>
  <c r="H618" i="1"/>
  <c r="H617" i="1"/>
  <c r="I616" i="1"/>
  <c r="J615" i="1"/>
  <c r="K614" i="1"/>
  <c r="K613" i="1"/>
  <c r="L612" i="1"/>
  <c r="L611" i="1"/>
  <c r="L610" i="1"/>
  <c r="L609" i="1"/>
  <c r="M608" i="1"/>
  <c r="N607" i="1"/>
  <c r="N606" i="1"/>
  <c r="N605" i="1"/>
  <c r="O604" i="1"/>
  <c r="C604" i="1"/>
  <c r="E603" i="1"/>
  <c r="G602" i="1"/>
  <c r="I601" i="1"/>
  <c r="K600" i="1"/>
  <c r="O599" i="1"/>
  <c r="C599" i="1"/>
  <c r="D598" i="1"/>
  <c r="D597" i="1"/>
  <c r="E596" i="1"/>
  <c r="J595" i="1"/>
  <c r="L594" i="1"/>
  <c r="N593" i="1"/>
  <c r="R592" i="1"/>
  <c r="D592" i="1"/>
  <c r="G591" i="1"/>
  <c r="K590" i="1"/>
  <c r="M589" i="1"/>
  <c r="N588" i="1"/>
  <c r="N587" i="1"/>
  <c r="A587" i="1"/>
  <c r="G586" i="1"/>
  <c r="K585" i="1"/>
  <c r="M584" i="1"/>
  <c r="M583" i="1"/>
  <c r="N582" i="1"/>
  <c r="P581" i="1"/>
  <c r="B581" i="1"/>
  <c r="E580" i="1"/>
  <c r="Q688" i="1"/>
  <c r="Q687" i="1"/>
  <c r="M686" i="1"/>
  <c r="G685" i="1"/>
  <c r="A684" i="1"/>
  <c r="N682" i="1"/>
  <c r="I681" i="1"/>
  <c r="D680" i="1"/>
  <c r="Q678" i="1"/>
  <c r="Q677" i="1"/>
  <c r="N676" i="1"/>
  <c r="H675" i="1"/>
  <c r="F674" i="1"/>
  <c r="F673" i="1"/>
  <c r="F672" i="1"/>
  <c r="F671" i="1"/>
  <c r="A670" i="1"/>
  <c r="I668" i="1"/>
  <c r="D667" i="1"/>
  <c r="K665" i="1"/>
  <c r="E664" i="1"/>
  <c r="L662" i="1"/>
  <c r="E661" i="1"/>
  <c r="D660" i="1"/>
  <c r="M658" i="1"/>
  <c r="H657" i="1"/>
  <c r="B656" i="1"/>
  <c r="L654" i="1"/>
  <c r="K653" i="1"/>
  <c r="J652" i="1"/>
  <c r="I651" i="1"/>
  <c r="H650" i="1"/>
  <c r="G649" i="1"/>
  <c r="H648" i="1"/>
  <c r="J647" i="1"/>
  <c r="J646" i="1"/>
  <c r="K645" i="1"/>
  <c r="K644" i="1"/>
  <c r="I643" i="1"/>
  <c r="G642" i="1"/>
  <c r="E641" i="1"/>
  <c r="D640" i="1"/>
  <c r="C639" i="1"/>
  <c r="A638" i="1"/>
  <c r="A637" i="1"/>
  <c r="A636" i="1"/>
  <c r="O634" i="1"/>
  <c r="O633" i="1"/>
  <c r="N632" i="1"/>
  <c r="M631" i="1"/>
  <c r="K630" i="1"/>
  <c r="L629" i="1"/>
  <c r="P628" i="1"/>
  <c r="B628" i="1"/>
  <c r="M626" i="1"/>
  <c r="K625" i="1"/>
  <c r="I624" i="1"/>
  <c r="G623" i="1"/>
  <c r="G622" i="1"/>
  <c r="D621" i="1"/>
  <c r="H620" i="1"/>
  <c r="K619" i="1"/>
  <c r="K618" i="1"/>
  <c r="I617" i="1"/>
  <c r="G616" i="1"/>
  <c r="F615" i="1"/>
  <c r="B614" i="1"/>
  <c r="A613" i="1"/>
  <c r="M611" i="1"/>
  <c r="J610" i="1"/>
  <c r="H609" i="1"/>
  <c r="F608" i="1"/>
  <c r="D607" i="1"/>
  <c r="A606" i="1"/>
  <c r="M604" i="1"/>
  <c r="N603" i="1"/>
  <c r="L602" i="1"/>
  <c r="L601" i="1"/>
  <c r="L600" i="1"/>
  <c r="M599" i="1"/>
  <c r="M598" i="1"/>
  <c r="J597" i="1"/>
  <c r="I596" i="1"/>
  <c r="K595" i="1"/>
  <c r="J594" i="1"/>
  <c r="J593" i="1"/>
  <c r="J592" i="1"/>
  <c r="J591" i="1"/>
  <c r="L590" i="1"/>
  <c r="K589" i="1"/>
  <c r="J588" i="1"/>
  <c r="G587" i="1"/>
  <c r="J586" i="1"/>
  <c r="L585" i="1"/>
  <c r="K584" i="1"/>
  <c r="I583" i="1"/>
  <c r="G582" i="1"/>
  <c r="G581" i="1"/>
  <c r="F580" i="1"/>
  <c r="J579" i="1"/>
  <c r="N578" i="1"/>
  <c r="B578" i="1"/>
  <c r="B577" i="1"/>
  <c r="C576" i="1"/>
  <c r="I575" i="1"/>
  <c r="O574" i="1"/>
  <c r="C574" i="1"/>
  <c r="D573" i="1"/>
  <c r="E572" i="1"/>
  <c r="E571" i="1"/>
  <c r="F570" i="1"/>
  <c r="G569" i="1"/>
  <c r="G568" i="1"/>
  <c r="G567" i="1"/>
  <c r="G566" i="1"/>
  <c r="H565" i="1"/>
  <c r="J564" i="1"/>
  <c r="O563" i="1"/>
  <c r="C563" i="1"/>
  <c r="D562" i="1"/>
  <c r="I561" i="1"/>
  <c r="L560" i="1"/>
  <c r="O559" i="1"/>
  <c r="B559" i="1"/>
  <c r="E558" i="1"/>
  <c r="J557" i="1"/>
  <c r="P556" i="1"/>
  <c r="P688" i="1"/>
  <c r="P687" i="1"/>
  <c r="L686" i="1"/>
  <c r="E685" i="1"/>
  <c r="Q683" i="1"/>
  <c r="M682" i="1"/>
  <c r="H681" i="1"/>
  <c r="C680" i="1"/>
  <c r="P678" i="1"/>
  <c r="P677" i="1"/>
  <c r="M676" i="1"/>
  <c r="G675" i="1"/>
  <c r="E674" i="1"/>
  <c r="E673" i="1"/>
  <c r="E672" i="1"/>
  <c r="E671" i="1"/>
  <c r="N669" i="1"/>
  <c r="H668" i="1"/>
  <c r="B667" i="1"/>
  <c r="J665" i="1"/>
  <c r="D664" i="1"/>
  <c r="K662" i="1"/>
  <c r="D661" i="1"/>
  <c r="C660" i="1"/>
  <c r="L658" i="1"/>
  <c r="G657" i="1"/>
  <c r="A656" i="1"/>
  <c r="K654" i="1"/>
  <c r="I653" i="1"/>
  <c r="I652" i="1"/>
  <c r="H651" i="1"/>
  <c r="G650" i="1"/>
  <c r="F649" i="1"/>
  <c r="E648" i="1"/>
  <c r="I647" i="1"/>
  <c r="I646" i="1"/>
  <c r="J645" i="1"/>
  <c r="J644" i="1"/>
  <c r="G643" i="1"/>
  <c r="E642" i="1"/>
  <c r="D641" i="1"/>
  <c r="C640" i="1"/>
  <c r="B639" i="1"/>
  <c r="O637" i="1"/>
  <c r="O636" i="1"/>
  <c r="O635" i="1"/>
  <c r="N634" i="1"/>
  <c r="N633" i="1"/>
  <c r="L632" i="1"/>
  <c r="L631" i="1"/>
  <c r="J630" i="1"/>
  <c r="K629" i="1"/>
  <c r="O628" i="1"/>
  <c r="N627" i="1"/>
  <c r="L626" i="1"/>
  <c r="J625" i="1"/>
  <c r="H624" i="1"/>
  <c r="F623" i="1"/>
  <c r="D622" i="1"/>
  <c r="C621" i="1"/>
  <c r="G620" i="1"/>
  <c r="J619" i="1"/>
  <c r="J618" i="1"/>
  <c r="G617" i="1"/>
  <c r="F616" i="1"/>
  <c r="E615" i="1"/>
  <c r="A614" i="1"/>
  <c r="N612" i="1"/>
  <c r="K611" i="1"/>
  <c r="I610" i="1"/>
  <c r="G609" i="1"/>
  <c r="E608" i="1"/>
  <c r="B607" i="1"/>
  <c r="M605" i="1"/>
  <c r="L604" i="1"/>
  <c r="M603" i="1"/>
  <c r="K602" i="1"/>
  <c r="K601" i="1"/>
  <c r="J600" i="1"/>
  <c r="L599" i="1"/>
  <c r="L598" i="1"/>
  <c r="I597" i="1"/>
  <c r="H596" i="1"/>
  <c r="I595" i="1"/>
  <c r="I594" i="1"/>
  <c r="I593" i="1"/>
  <c r="I592" i="1"/>
  <c r="I591" i="1"/>
  <c r="J590" i="1"/>
  <c r="J589" i="1"/>
  <c r="I588" i="1"/>
  <c r="F587" i="1"/>
  <c r="I586" i="1"/>
  <c r="J585" i="1"/>
  <c r="J584" i="1"/>
  <c r="H583" i="1"/>
  <c r="E582" i="1"/>
  <c r="E581" i="1"/>
  <c r="D580" i="1"/>
  <c r="I579" i="1"/>
  <c r="M578" i="1"/>
  <c r="A578" i="1"/>
  <c r="A577" i="1"/>
  <c r="B576" i="1"/>
  <c r="H575" i="1"/>
  <c r="N574" i="1"/>
  <c r="B574" i="1"/>
  <c r="B573" i="1"/>
  <c r="D572" i="1"/>
  <c r="D571" i="1"/>
  <c r="E570" i="1"/>
  <c r="E569" i="1"/>
  <c r="E568" i="1"/>
  <c r="E567" i="1"/>
  <c r="F566" i="1"/>
  <c r="G565" i="1"/>
  <c r="I564" i="1"/>
  <c r="N563" i="1"/>
  <c r="B563" i="1"/>
  <c r="B562" i="1"/>
  <c r="H561" i="1"/>
  <c r="K560" i="1"/>
  <c r="N559" i="1"/>
  <c r="A559" i="1"/>
  <c r="D558" i="1"/>
  <c r="I557" i="1"/>
  <c r="O556" i="1"/>
  <c r="C556" i="1"/>
  <c r="N689" i="1"/>
  <c r="K688" i="1"/>
  <c r="G687" i="1"/>
  <c r="M685" i="1"/>
  <c r="D684" i="1"/>
  <c r="J682" i="1"/>
  <c r="C681" i="1"/>
  <c r="H679" i="1"/>
  <c r="E678" i="1"/>
  <c r="A677" i="1"/>
  <c r="B675" i="1"/>
  <c r="R673" i="1"/>
  <c r="N672" i="1"/>
  <c r="L671" i="1"/>
  <c r="D670" i="1"/>
  <c r="E668" i="1"/>
  <c r="K666" i="1"/>
  <c r="M664" i="1"/>
  <c r="E663" i="1"/>
  <c r="H661" i="1"/>
  <c r="N659" i="1"/>
  <c r="G658" i="1"/>
  <c r="K656" i="1"/>
  <c r="E655" i="1"/>
  <c r="M653" i="1"/>
  <c r="H652" i="1"/>
  <c r="D651" i="1"/>
  <c r="N649" i="1"/>
  <c r="L648" i="1"/>
  <c r="M647" i="1"/>
  <c r="G646" i="1"/>
  <c r="G645" i="1"/>
  <c r="B644" i="1"/>
  <c r="L642" i="1"/>
  <c r="H641" i="1"/>
  <c r="B640" i="1"/>
  <c r="L638" i="1"/>
  <c r="I637" i="1"/>
  <c r="G636" i="1"/>
  <c r="B635" i="1"/>
  <c r="M633" i="1"/>
  <c r="I632" i="1"/>
  <c r="E631" i="1"/>
  <c r="Q629" i="1"/>
  <c r="R628" i="1"/>
  <c r="M627" i="1"/>
  <c r="H626" i="1"/>
  <c r="D625" i="1"/>
  <c r="L623" i="1"/>
  <c r="I622" i="1"/>
  <c r="B621" i="1"/>
  <c r="C620" i="1"/>
  <c r="D619" i="1"/>
  <c r="M617" i="1"/>
  <c r="J616" i="1"/>
  <c r="B615" i="1"/>
  <c r="L613" i="1"/>
  <c r="H612" i="1"/>
  <c r="A611" i="1"/>
  <c r="J609" i="1"/>
  <c r="D608" i="1"/>
  <c r="L606" i="1"/>
  <c r="G605" i="1"/>
  <c r="D604" i="1"/>
  <c r="O602" i="1"/>
  <c r="J601" i="1"/>
  <c r="G600" i="1"/>
  <c r="F599" i="1"/>
  <c r="A598" i="1"/>
  <c r="K596" i="1"/>
  <c r="H595" i="1"/>
  <c r="D594" i="1"/>
  <c r="A593" i="1"/>
  <c r="O591" i="1"/>
  <c r="N590" i="1"/>
  <c r="I589" i="1"/>
  <c r="D588" i="1"/>
  <c r="Q586" i="1"/>
  <c r="P585" i="1"/>
  <c r="N584" i="1"/>
  <c r="E583" i="1"/>
  <c r="A582" i="1"/>
  <c r="M580" i="1"/>
  <c r="N579" i="1"/>
  <c r="P578" i="1"/>
  <c r="N577" i="1"/>
  <c r="L576" i="1"/>
  <c r="O575" i="1"/>
  <c r="A575" i="1"/>
  <c r="E574" i="1"/>
  <c r="A573" i="1"/>
  <c r="N571" i="1"/>
  <c r="L570" i="1"/>
  <c r="K569" i="1"/>
  <c r="I568" i="1"/>
  <c r="D567" i="1"/>
  <c r="B566" i="1"/>
  <c r="B565" i="1"/>
  <c r="A564" i="1"/>
  <c r="E563" i="1"/>
  <c r="A562" i="1"/>
  <c r="E561" i="1"/>
  <c r="F560" i="1"/>
  <c r="G559" i="1"/>
  <c r="G558" i="1"/>
  <c r="H557" i="1"/>
  <c r="L556" i="1"/>
  <c r="M555" i="1"/>
  <c r="M554" i="1"/>
  <c r="O553" i="1"/>
  <c r="B553" i="1"/>
  <c r="G552" i="1"/>
  <c r="I551" i="1"/>
  <c r="K550" i="1"/>
  <c r="L549" i="1"/>
  <c r="Q548" i="1"/>
  <c r="E548" i="1"/>
  <c r="G547" i="1"/>
  <c r="G546" i="1"/>
  <c r="I545" i="1"/>
  <c r="J544" i="1"/>
  <c r="K543" i="1"/>
  <c r="L542" i="1"/>
  <c r="M541" i="1"/>
  <c r="N540" i="1"/>
  <c r="A540" i="1"/>
  <c r="B539" i="1"/>
  <c r="K689" i="1"/>
  <c r="F689" i="1"/>
  <c r="A688" i="1"/>
  <c r="I686" i="1"/>
  <c r="N684" i="1"/>
  <c r="H683" i="1"/>
  <c r="A682" i="1"/>
  <c r="G680" i="1"/>
  <c r="M678" i="1"/>
  <c r="K677" i="1"/>
  <c r="B676" i="1"/>
  <c r="L674" i="1"/>
  <c r="H673" i="1"/>
  <c r="B672" i="1"/>
  <c r="N670" i="1"/>
  <c r="D669" i="1"/>
  <c r="J667" i="1"/>
  <c r="M665" i="1"/>
  <c r="N663" i="1"/>
  <c r="E662" i="1"/>
  <c r="L660" i="1"/>
  <c r="F659" i="1"/>
  <c r="J657" i="1"/>
  <c r="L655" i="1"/>
  <c r="G654" i="1"/>
  <c r="C653" i="1"/>
  <c r="N651" i="1"/>
  <c r="K650" i="1"/>
  <c r="E649" i="1"/>
  <c r="B648" i="1"/>
  <c r="C647" i="1"/>
  <c r="P645" i="1"/>
  <c r="M644" i="1"/>
  <c r="E643" i="1"/>
  <c r="A642" i="1"/>
  <c r="L640" i="1"/>
  <c r="I639" i="1"/>
  <c r="D638" i="1"/>
  <c r="N636" i="1"/>
  <c r="K635" i="1"/>
  <c r="H634" i="1"/>
  <c r="D633" i="1"/>
  <c r="A632" i="1"/>
  <c r="H630" i="1"/>
  <c r="H629" i="1"/>
  <c r="I628" i="1"/>
  <c r="E627" i="1"/>
  <c r="M625" i="1"/>
  <c r="G624" i="1"/>
  <c r="B623" i="1"/>
  <c r="K621" i="1"/>
  <c r="M620" i="1"/>
  <c r="N619" i="1"/>
  <c r="I618" i="1"/>
  <c r="D617" i="1"/>
  <c r="M615" i="1"/>
  <c r="I614" i="1"/>
  <c r="D613" i="1"/>
  <c r="J611" i="1"/>
  <c r="D610" i="1"/>
  <c r="N608" i="1"/>
  <c r="J607" i="1"/>
  <c r="D606" i="1"/>
  <c r="K604" i="1"/>
  <c r="I603" i="1"/>
  <c r="E602" i="1"/>
  <c r="A601" i="1"/>
  <c r="P599" i="1"/>
  <c r="J598" i="1"/>
  <c r="E597" i="1"/>
  <c r="R595" i="1"/>
  <c r="A595" i="1"/>
  <c r="L593" i="1"/>
  <c r="H592" i="1"/>
  <c r="D591" i="1"/>
  <c r="D590" i="1"/>
  <c r="A589" i="1"/>
  <c r="J587" i="1"/>
  <c r="H586" i="1"/>
  <c r="G585" i="1"/>
  <c r="B584" i="1"/>
  <c r="L582" i="1"/>
  <c r="I581" i="1"/>
  <c r="B580" i="1"/>
  <c r="F579" i="1"/>
  <c r="H578" i="1"/>
  <c r="H577" i="1"/>
  <c r="E576" i="1"/>
  <c r="G575" i="1"/>
  <c r="K574" i="1"/>
  <c r="K573" i="1"/>
  <c r="I572" i="1"/>
  <c r="H571" i="1"/>
  <c r="D570" i="1"/>
  <c r="A569" i="1"/>
  <c r="M567" i="1"/>
  <c r="K566" i="1"/>
  <c r="J565" i="1"/>
  <c r="H564" i="1"/>
  <c r="K563" i="1"/>
  <c r="K562" i="1"/>
  <c r="M561" i="1"/>
  <c r="N560" i="1"/>
  <c r="M559" i="1"/>
  <c r="M558" i="1"/>
  <c r="P557" i="1"/>
  <c r="B557" i="1"/>
  <c r="F556" i="1"/>
  <c r="G555" i="1"/>
  <c r="G554" i="1"/>
  <c r="I553" i="1"/>
  <c r="M552" i="1"/>
  <c r="A552" i="1"/>
  <c r="A551" i="1"/>
  <c r="D550" i="1"/>
  <c r="E549" i="1"/>
  <c r="K548" i="1"/>
  <c r="M547" i="1"/>
  <c r="M546" i="1"/>
  <c r="A546" i="1"/>
  <c r="B545" i="1"/>
  <c r="C544" i="1"/>
  <c r="D543" i="1"/>
  <c r="E542" i="1"/>
  <c r="G541" i="1"/>
  <c r="H540" i="1"/>
  <c r="I539" i="1"/>
  <c r="J538" i="1"/>
  <c r="R688" i="1"/>
  <c r="M688" i="1"/>
  <c r="K687" i="1"/>
  <c r="A686" i="1"/>
  <c r="H684" i="1"/>
  <c r="B683" i="1"/>
  <c r="E681" i="1"/>
  <c r="L679" i="1"/>
  <c r="G678" i="1"/>
  <c r="E677" i="1"/>
  <c r="J675" i="1"/>
  <c r="B674" i="1"/>
  <c r="R672" i="1"/>
  <c r="N671" i="1"/>
  <c r="H670" i="1"/>
  <c r="K668" i="1"/>
  <c r="M666" i="1"/>
  <c r="D665" i="1"/>
  <c r="H663" i="1"/>
  <c r="L661" i="1"/>
  <c r="F660" i="1"/>
  <c r="I658" i="1"/>
  <c r="A657" i="1"/>
  <c r="G655" i="1"/>
  <c r="A654" i="1"/>
  <c r="M652" i="1"/>
  <c r="F651" i="1"/>
  <c r="B650" i="1"/>
  <c r="O648" i="1"/>
  <c r="O647" i="1"/>
  <c r="L646" i="1"/>
  <c r="I645" i="1"/>
  <c r="E644" i="1"/>
  <c r="N642" i="1"/>
  <c r="K641" i="1"/>
  <c r="G640" i="1"/>
  <c r="A639" i="1"/>
  <c r="L637" i="1"/>
  <c r="I636" i="1"/>
  <c r="E635" i="1"/>
  <c r="B634" i="1"/>
  <c r="K632" i="1"/>
  <c r="H631" i="1"/>
  <c r="B630" i="1"/>
  <c r="C629" i="1"/>
  <c r="D628" i="1"/>
  <c r="K626" i="1"/>
  <c r="F625" i="1"/>
  <c r="N623" i="1"/>
  <c r="K622" i="1"/>
  <c r="G621" i="1"/>
  <c r="E620" i="1"/>
  <c r="G619" i="1"/>
  <c r="B618" i="1"/>
  <c r="L616" i="1"/>
  <c r="H615" i="1"/>
  <c r="N613" i="1"/>
  <c r="J612" i="1"/>
  <c r="D611" i="1"/>
  <c r="M609" i="1"/>
  <c r="I608" i="1"/>
  <c r="A607" i="1"/>
  <c r="J605" i="1"/>
  <c r="F604" i="1"/>
  <c r="B603" i="1"/>
  <c r="N601" i="1"/>
  <c r="I600" i="1"/>
  <c r="H599" i="1"/>
  <c r="E598" i="1"/>
  <c r="N596" i="1"/>
  <c r="M595" i="1"/>
  <c r="H594" i="1"/>
  <c r="D593" i="1"/>
  <c r="A592" i="1"/>
  <c r="P590" i="1"/>
  <c r="N589" i="1"/>
  <c r="G588" i="1"/>
  <c r="B587" i="1"/>
  <c r="C586" i="1"/>
  <c r="B585" i="1"/>
  <c r="K583" i="1"/>
  <c r="D582" i="1"/>
  <c r="O580" i="1"/>
  <c r="P579" i="1"/>
  <c r="B579" i="1"/>
  <c r="D578" i="1"/>
  <c r="N576" i="1"/>
  <c r="Q575" i="1"/>
  <c r="C575" i="1"/>
  <c r="G574" i="1"/>
  <c r="G573" i="1"/>
  <c r="B572" i="1"/>
  <c r="N570" i="1"/>
  <c r="M569" i="1"/>
  <c r="K568" i="1"/>
  <c r="I567" i="1"/>
  <c r="E566" i="1"/>
  <c r="D565" i="1"/>
  <c r="D564" i="1"/>
  <c r="G563" i="1"/>
  <c r="G562" i="1"/>
  <c r="G561" i="1"/>
  <c r="H560" i="1"/>
  <c r="I559" i="1"/>
  <c r="I558" i="1"/>
  <c r="L557" i="1"/>
  <c r="N556" i="1"/>
  <c r="A556" i="1"/>
  <c r="A555" i="1"/>
  <c r="B554" i="1"/>
  <c r="D553" i="1"/>
  <c r="I552" i="1"/>
  <c r="K551" i="1"/>
  <c r="M550" i="1"/>
  <c r="N549" i="1"/>
  <c r="A549" i="1"/>
  <c r="G548" i="1"/>
  <c r="I547" i="1"/>
  <c r="I546" i="1"/>
  <c r="K545" i="1"/>
  <c r="L544" i="1"/>
  <c r="M543" i="1"/>
  <c r="N542" i="1"/>
  <c r="A542" i="1"/>
  <c r="B541" i="1"/>
  <c r="C540" i="1"/>
  <c r="E539" i="1"/>
  <c r="E538" i="1"/>
  <c r="F537" i="1"/>
  <c r="G536" i="1"/>
  <c r="L535" i="1"/>
  <c r="N534" i="1"/>
  <c r="A534" i="1"/>
  <c r="G533" i="1"/>
  <c r="I532" i="1"/>
  <c r="K531" i="1"/>
  <c r="L530" i="1"/>
  <c r="L529" i="1"/>
  <c r="M528" i="1"/>
  <c r="A528" i="1"/>
  <c r="B527" i="1"/>
  <c r="C526" i="1"/>
  <c r="E525" i="1"/>
  <c r="F524" i="1"/>
  <c r="H523" i="1"/>
  <c r="H522" i="1"/>
  <c r="J521" i="1"/>
  <c r="K520" i="1"/>
  <c r="K519" i="1"/>
  <c r="K518" i="1"/>
  <c r="M517" i="1"/>
  <c r="M516" i="1"/>
  <c r="A516" i="1"/>
  <c r="A515" i="1"/>
  <c r="B514" i="1"/>
  <c r="B513" i="1"/>
  <c r="C512" i="1"/>
  <c r="D511" i="1"/>
  <c r="E510" i="1"/>
  <c r="G509" i="1"/>
  <c r="G508" i="1"/>
  <c r="H507" i="1"/>
  <c r="I506" i="1"/>
  <c r="I505" i="1"/>
  <c r="I504" i="1"/>
  <c r="K503" i="1"/>
  <c r="K502" i="1"/>
  <c r="M501" i="1"/>
  <c r="N500" i="1"/>
  <c r="B500" i="1"/>
  <c r="B499" i="1"/>
  <c r="D498" i="1"/>
  <c r="D497" i="1"/>
  <c r="E496" i="1"/>
  <c r="G495" i="1"/>
  <c r="H494" i="1"/>
  <c r="H493" i="1"/>
  <c r="J492" i="1"/>
  <c r="K491" i="1"/>
  <c r="L490" i="1"/>
  <c r="N489" i="1"/>
  <c r="B489" i="1"/>
  <c r="D488" i="1"/>
  <c r="D487" i="1"/>
  <c r="E486" i="1"/>
  <c r="E485" i="1"/>
  <c r="G484" i="1"/>
  <c r="I483" i="1"/>
  <c r="I482" i="1"/>
  <c r="J481" i="1"/>
  <c r="K480" i="1"/>
  <c r="M479" i="1"/>
  <c r="A479" i="1"/>
  <c r="B478" i="1"/>
  <c r="B477" i="1"/>
  <c r="C476" i="1"/>
  <c r="D475" i="1"/>
  <c r="D474" i="1"/>
  <c r="D473" i="1"/>
  <c r="L688" i="1"/>
  <c r="J687" i="1"/>
  <c r="N685" i="1"/>
  <c r="G684" i="1"/>
  <c r="A683" i="1"/>
  <c r="D681" i="1"/>
  <c r="K679" i="1"/>
  <c r="F678" i="1"/>
  <c r="D677" i="1"/>
  <c r="I675" i="1"/>
  <c r="A674" i="1"/>
  <c r="Q672" i="1"/>
  <c r="M671" i="1"/>
  <c r="G670" i="1"/>
  <c r="J668" i="1"/>
  <c r="L666" i="1"/>
  <c r="B665" i="1"/>
  <c r="G663" i="1"/>
  <c r="K661" i="1"/>
  <c r="E660" i="1"/>
  <c r="H658" i="1"/>
  <c r="N656" i="1"/>
  <c r="F655" i="1"/>
  <c r="N653" i="1"/>
  <c r="K652" i="1"/>
  <c r="E651" i="1"/>
  <c r="O649" i="1"/>
  <c r="N648" i="1"/>
  <c r="N647" i="1"/>
  <c r="K646" i="1"/>
  <c r="H645" i="1"/>
  <c r="D644" i="1"/>
  <c r="M642" i="1"/>
  <c r="I641" i="1"/>
  <c r="F640" i="1"/>
  <c r="M638" i="1"/>
  <c r="K637" i="1"/>
  <c r="H636" i="1"/>
  <c r="D635" i="1"/>
  <c r="A634" i="1"/>
  <c r="J632" i="1"/>
  <c r="G631" i="1"/>
  <c r="R629" i="1"/>
  <c r="B629" i="1"/>
  <c r="C628" i="1"/>
  <c r="J626" i="1"/>
  <c r="E625" i="1"/>
  <c r="M623" i="1"/>
  <c r="J622" i="1"/>
  <c r="E621" i="1"/>
  <c r="D620" i="1"/>
  <c r="E619" i="1"/>
  <c r="A618" i="1"/>
  <c r="K616" i="1"/>
  <c r="G615" i="1"/>
  <c r="M613" i="1"/>
  <c r="I612" i="1"/>
  <c r="B611" i="1"/>
  <c r="K609" i="1"/>
  <c r="H608" i="1"/>
  <c r="M606" i="1"/>
  <c r="I605" i="1"/>
  <c r="E604" i="1"/>
  <c r="A603" i="1"/>
  <c r="M601" i="1"/>
  <c r="H600" i="1"/>
  <c r="G599" i="1"/>
  <c r="B598" i="1"/>
  <c r="M596" i="1"/>
  <c r="L595" i="1"/>
  <c r="G594" i="1"/>
  <c r="B593" i="1"/>
  <c r="Q591" i="1"/>
  <c r="O590" i="1"/>
  <c r="L589" i="1"/>
  <c r="E588" i="1"/>
  <c r="R586" i="1"/>
  <c r="B586" i="1"/>
  <c r="A585" i="1"/>
  <c r="J583" i="1"/>
  <c r="B582" i="1"/>
  <c r="N580" i="1"/>
  <c r="O579" i="1"/>
  <c r="A579" i="1"/>
  <c r="C578" i="1"/>
  <c r="M576" i="1"/>
  <c r="P575" i="1"/>
  <c r="B575" i="1"/>
  <c r="F574" i="1"/>
  <c r="E573" i="1"/>
  <c r="A572" i="1"/>
  <c r="M570" i="1"/>
  <c r="L569" i="1"/>
  <c r="J568" i="1"/>
  <c r="H567" i="1"/>
  <c r="D566" i="1"/>
  <c r="C565" i="1"/>
  <c r="B564" i="1"/>
  <c r="F563" i="1"/>
  <c r="E562" i="1"/>
  <c r="F561" i="1"/>
  <c r="G560" i="1"/>
  <c r="H559" i="1"/>
  <c r="H558" i="1"/>
  <c r="K557" i="1"/>
  <c r="M556" i="1"/>
  <c r="N555" i="1"/>
  <c r="N554" i="1"/>
  <c r="A554" i="1"/>
  <c r="C553" i="1"/>
  <c r="H552" i="1"/>
  <c r="J551" i="1"/>
  <c r="L550" i="1"/>
  <c r="M549" i="1"/>
  <c r="R548" i="1"/>
  <c r="F548" i="1"/>
  <c r="H547" i="1"/>
  <c r="H546" i="1"/>
  <c r="J545" i="1"/>
  <c r="K544" i="1"/>
  <c r="L543" i="1"/>
  <c r="M542" i="1"/>
  <c r="N541" i="1"/>
  <c r="A541" i="1"/>
  <c r="B540" i="1"/>
  <c r="D539" i="1"/>
  <c r="D538" i="1"/>
  <c r="E537" i="1"/>
  <c r="F536" i="1"/>
  <c r="K535" i="1"/>
  <c r="M534" i="1"/>
  <c r="R533" i="1"/>
  <c r="F533" i="1"/>
  <c r="H532" i="1"/>
  <c r="J531" i="1"/>
  <c r="K530" i="1"/>
  <c r="K529" i="1"/>
  <c r="L528" i="1"/>
  <c r="N527" i="1"/>
  <c r="A527" i="1"/>
  <c r="B526" i="1"/>
  <c r="D525" i="1"/>
  <c r="E524" i="1"/>
  <c r="G523" i="1"/>
  <c r="G522" i="1"/>
  <c r="I521" i="1"/>
  <c r="J520" i="1"/>
  <c r="J519" i="1"/>
  <c r="J518" i="1"/>
  <c r="L517" i="1"/>
  <c r="L516" i="1"/>
  <c r="N515" i="1"/>
  <c r="N514" i="1"/>
  <c r="A514" i="1"/>
  <c r="A513" i="1"/>
  <c r="B512" i="1"/>
  <c r="B511" i="1"/>
  <c r="D510" i="1"/>
  <c r="E509" i="1"/>
  <c r="F508" i="1"/>
  <c r="G507" i="1"/>
  <c r="H506" i="1"/>
  <c r="H505" i="1"/>
  <c r="H504" i="1"/>
  <c r="J503" i="1"/>
  <c r="J502" i="1"/>
  <c r="L501" i="1"/>
  <c r="M500" i="1"/>
  <c r="A500" i="1"/>
  <c r="A499" i="1"/>
  <c r="B498" i="1"/>
  <c r="C497" i="1"/>
  <c r="D496" i="1"/>
  <c r="F495" i="1"/>
  <c r="G494" i="1"/>
  <c r="G493" i="1"/>
  <c r="I492" i="1"/>
  <c r="J491" i="1"/>
  <c r="K490" i="1"/>
  <c r="M489" i="1"/>
  <c r="A489" i="1"/>
  <c r="B488" i="1"/>
  <c r="C487" i="1"/>
  <c r="D486" i="1"/>
  <c r="D485" i="1"/>
  <c r="F484" i="1"/>
  <c r="H483" i="1"/>
  <c r="H482" i="1"/>
  <c r="I481" i="1"/>
  <c r="J480" i="1"/>
  <c r="L479" i="1"/>
  <c r="N478" i="1"/>
  <c r="A478" i="1"/>
  <c r="A477" i="1"/>
  <c r="B476" i="1"/>
  <c r="B475" i="1"/>
  <c r="B474" i="1"/>
  <c r="B473" i="1"/>
  <c r="M689" i="1"/>
  <c r="M687" i="1"/>
  <c r="H685" i="1"/>
  <c r="F683" i="1"/>
  <c r="L680" i="1"/>
  <c r="K678" i="1"/>
  <c r="I676" i="1"/>
  <c r="H674" i="1"/>
  <c r="K672" i="1"/>
  <c r="J670" i="1"/>
  <c r="A668" i="1"/>
  <c r="G665" i="1"/>
  <c r="M662" i="1"/>
  <c r="J660" i="1"/>
  <c r="A658" i="1"/>
  <c r="J655" i="1"/>
  <c r="G653" i="1"/>
  <c r="K651" i="1"/>
  <c r="K649" i="1"/>
  <c r="Q647" i="1"/>
  <c r="B646" i="1"/>
  <c r="I644" i="1"/>
  <c r="H642" i="1"/>
  <c r="I640" i="1"/>
  <c r="I638" i="1"/>
  <c r="K636" i="1"/>
  <c r="L634" i="1"/>
  <c r="A633" i="1"/>
  <c r="N630" i="1"/>
  <c r="E629" i="1"/>
  <c r="J627" i="1"/>
  <c r="H625" i="1"/>
  <c r="H623" i="1"/>
  <c r="I621" i="1"/>
  <c r="Q619" i="1"/>
  <c r="E618" i="1"/>
  <c r="D616" i="1"/>
  <c r="G614" i="1"/>
  <c r="B612" i="1"/>
  <c r="A610" i="1"/>
  <c r="M607" i="1"/>
  <c r="L605" i="1"/>
  <c r="O603" i="1"/>
  <c r="C602" i="1"/>
  <c r="A600" i="1"/>
  <c r="H598" i="1"/>
  <c r="D596" i="1"/>
  <c r="M594" i="1"/>
  <c r="N592" i="1"/>
  <c r="A591" i="1"/>
  <c r="D589" i="1"/>
  <c r="E587" i="1"/>
  <c r="M585" i="1"/>
  <c r="N583" i="1"/>
  <c r="M581" i="1"/>
  <c r="R579" i="1"/>
  <c r="K578" i="1"/>
  <c r="E577" i="1"/>
  <c r="L575" i="1"/>
  <c r="I574" i="1"/>
  <c r="L572" i="1"/>
  <c r="B571" i="1"/>
  <c r="H569" i="1"/>
  <c r="K567" i="1"/>
  <c r="M565" i="1"/>
  <c r="F564" i="1"/>
  <c r="N562" i="1"/>
  <c r="K561" i="1"/>
  <c r="C560" i="1"/>
  <c r="K558" i="1"/>
  <c r="E557" i="1"/>
  <c r="D556" i="1"/>
  <c r="J554" i="1"/>
  <c r="G553" i="1"/>
  <c r="D552" i="1"/>
  <c r="O550" i="1"/>
  <c r="I549" i="1"/>
  <c r="I548" i="1"/>
  <c r="B547" i="1"/>
  <c r="M545" i="1"/>
  <c r="G544" i="1"/>
  <c r="B543" i="1"/>
  <c r="J541" i="1"/>
  <c r="E540" i="1"/>
  <c r="M538" i="1"/>
  <c r="J537" i="1"/>
  <c r="I536" i="1"/>
  <c r="J535" i="1"/>
  <c r="J534" i="1"/>
  <c r="M533" i="1"/>
  <c r="M532" i="1"/>
  <c r="M531" i="1"/>
  <c r="J530" i="1"/>
  <c r="H529" i="1"/>
  <c r="G528" i="1"/>
  <c r="G527" i="1"/>
  <c r="E526" i="1"/>
  <c r="B525" i="1"/>
  <c r="B524" i="1"/>
  <c r="N522" i="1"/>
  <c r="N521" i="1"/>
  <c r="M520" i="1"/>
  <c r="I519" i="1"/>
  <c r="G518" i="1"/>
  <c r="G517" i="1"/>
  <c r="E516" i="1"/>
  <c r="D515" i="1"/>
  <c r="N513" i="1"/>
  <c r="L512" i="1"/>
  <c r="K511" i="1"/>
  <c r="I510" i="1"/>
  <c r="I509" i="1"/>
  <c r="E508" i="1"/>
  <c r="D507" i="1"/>
  <c r="A506" i="1"/>
  <c r="M504" i="1"/>
  <c r="M503" i="1"/>
  <c r="I502" i="1"/>
  <c r="I501" i="1"/>
  <c r="H500" i="1"/>
  <c r="H499" i="1"/>
  <c r="F498" i="1"/>
  <c r="B497" i="1"/>
  <c r="A496" i="1"/>
  <c r="N494" i="1"/>
  <c r="L493" i="1"/>
  <c r="L492" i="1"/>
  <c r="I491" i="1"/>
  <c r="J688" i="1"/>
  <c r="N686" i="1"/>
  <c r="B684" i="1"/>
  <c r="B682" i="1"/>
  <c r="G679" i="1"/>
  <c r="L677" i="1"/>
  <c r="A675" i="1"/>
  <c r="K673" i="1"/>
  <c r="K671" i="1"/>
  <c r="H669" i="1"/>
  <c r="J666" i="1"/>
  <c r="F664" i="1"/>
  <c r="G661" i="1"/>
  <c r="G659" i="1"/>
  <c r="J656" i="1"/>
  <c r="H654" i="1"/>
  <c r="G652" i="1"/>
  <c r="L650" i="1"/>
  <c r="K648" i="1"/>
  <c r="D647" i="1"/>
  <c r="E645" i="1"/>
  <c r="J643" i="1"/>
  <c r="G641" i="1"/>
  <c r="J639" i="1"/>
  <c r="H637" i="1"/>
  <c r="L635" i="1"/>
  <c r="K633" i="1"/>
  <c r="B632" i="1"/>
  <c r="P629" i="1"/>
  <c r="J628" i="1"/>
  <c r="G626" i="1"/>
  <c r="K624" i="1"/>
  <c r="H622" i="1"/>
  <c r="N620" i="1"/>
  <c r="C619" i="1"/>
  <c r="E617" i="1"/>
  <c r="A615" i="1"/>
  <c r="F613" i="1"/>
  <c r="N610" i="1"/>
  <c r="O608" i="1"/>
  <c r="K606" i="1"/>
  <c r="N604" i="1"/>
  <c r="N602" i="1"/>
  <c r="C601" i="1"/>
  <c r="E599" i="1"/>
  <c r="G597" i="1"/>
  <c r="G595" i="1"/>
  <c r="M593" i="1"/>
  <c r="N591" i="1"/>
  <c r="F590" i="1"/>
  <c r="B588" i="1"/>
  <c r="K586" i="1"/>
  <c r="L584" i="1"/>
  <c r="M582" i="1"/>
  <c r="L580" i="1"/>
  <c r="G579" i="1"/>
  <c r="M577" i="1"/>
  <c r="G576" i="1"/>
  <c r="R574" i="1"/>
  <c r="L573" i="1"/>
  <c r="M571" i="1"/>
  <c r="G570" i="1"/>
  <c r="H568" i="1"/>
  <c r="L566" i="1"/>
  <c r="A565" i="1"/>
  <c r="L563" i="1"/>
  <c r="R561" i="1"/>
  <c r="O560" i="1"/>
  <c r="E559" i="1"/>
  <c r="Q557" i="1"/>
  <c r="K556" i="1"/>
  <c r="H555" i="1"/>
  <c r="N553" i="1"/>
  <c r="N552" i="1"/>
  <c r="H551" i="1"/>
  <c r="E550" i="1"/>
  <c r="P548" i="1"/>
  <c r="N547" i="1"/>
  <c r="F546" i="1"/>
  <c r="C545" i="1"/>
  <c r="J543" i="1"/>
  <c r="G542" i="1"/>
  <c r="M540" i="1"/>
  <c r="J539" i="1"/>
  <c r="B538" i="1"/>
  <c r="A537" i="1"/>
  <c r="R535" i="1"/>
  <c r="D535" i="1"/>
  <c r="C534" i="1"/>
  <c r="E533" i="1"/>
  <c r="E532" i="1"/>
  <c r="E531" i="1"/>
  <c r="B530" i="1"/>
  <c r="A529" i="1"/>
  <c r="M527" i="1"/>
  <c r="L526" i="1"/>
  <c r="K525" i="1"/>
  <c r="J524" i="1"/>
  <c r="J523" i="1"/>
  <c r="F522" i="1"/>
  <c r="E521" i="1"/>
  <c r="D520" i="1"/>
  <c r="A519" i="1"/>
  <c r="A518" i="1"/>
  <c r="K516" i="1"/>
  <c r="K515" i="1"/>
  <c r="I514" i="1"/>
  <c r="H513" i="1"/>
  <c r="E512" i="1"/>
  <c r="A511" i="1"/>
  <c r="A510" i="1"/>
  <c r="M508" i="1"/>
  <c r="L507" i="1"/>
  <c r="K506" i="1"/>
  <c r="G505" i="1"/>
  <c r="E504" i="1"/>
  <c r="D503" i="1"/>
  <c r="C502" i="1"/>
  <c r="B501" i="1"/>
  <c r="N499" i="1"/>
  <c r="L498" i="1"/>
  <c r="K497" i="1"/>
  <c r="J496" i="1"/>
  <c r="I495" i="1"/>
  <c r="E494" i="1"/>
  <c r="D493" i="1"/>
  <c r="D492" i="1"/>
  <c r="D688" i="1"/>
  <c r="L685" i="1"/>
  <c r="K683" i="1"/>
  <c r="B681" i="1"/>
  <c r="A679" i="1"/>
  <c r="O676" i="1"/>
  <c r="M674" i="1"/>
  <c r="M672" i="1"/>
  <c r="A671" i="1"/>
  <c r="D668" i="1"/>
  <c r="B666" i="1"/>
  <c r="D663" i="1"/>
  <c r="O660" i="1"/>
  <c r="F658" i="1"/>
  <c r="D656" i="1"/>
  <c r="L653" i="1"/>
  <c r="A652" i="1"/>
  <c r="M649" i="1"/>
  <c r="C648" i="1"/>
  <c r="E646" i="1"/>
  <c r="A645" i="1"/>
  <c r="K642" i="1"/>
  <c r="M640" i="1"/>
  <c r="K638" i="1"/>
  <c r="B637" i="1"/>
  <c r="A635" i="1"/>
  <c r="G633" i="1"/>
  <c r="D631" i="1"/>
  <c r="I629" i="1"/>
  <c r="L627" i="1"/>
  <c r="N625" i="1"/>
  <c r="K623" i="1"/>
  <c r="M621" i="1"/>
  <c r="B620" i="1"/>
  <c r="L618" i="1"/>
  <c r="H616" i="1"/>
  <c r="J614" i="1"/>
  <c r="G612" i="1"/>
  <c r="G610" i="1"/>
  <c r="B608" i="1"/>
  <c r="E606" i="1"/>
  <c r="B604" i="1"/>
  <c r="F602" i="1"/>
  <c r="E600" i="1"/>
  <c r="N598" i="1"/>
  <c r="J596" i="1"/>
  <c r="B595" i="1"/>
  <c r="P592" i="1"/>
  <c r="E591" i="1"/>
  <c r="H589" i="1"/>
  <c r="K587" i="1"/>
  <c r="O585" i="1"/>
  <c r="D584" i="1"/>
  <c r="O581" i="1"/>
  <c r="G580" i="1"/>
  <c r="O578" i="1"/>
  <c r="I577" i="1"/>
  <c r="N575" i="1"/>
  <c r="L574" i="1"/>
  <c r="N572" i="1"/>
  <c r="I571" i="1"/>
  <c r="J569" i="1"/>
  <c r="N567" i="1"/>
  <c r="A566" i="1"/>
  <c r="K564" i="1"/>
  <c r="D563" i="1"/>
  <c r="N561" i="1"/>
  <c r="E560" i="1"/>
  <c r="N558" i="1"/>
  <c r="G557" i="1"/>
  <c r="G556" i="1"/>
  <c r="L554" i="1"/>
  <c r="J553" i="1"/>
  <c r="F552" i="1"/>
  <c r="B551" i="1"/>
  <c r="K549" i="1"/>
  <c r="L548" i="1"/>
  <c r="E547" i="1"/>
  <c r="B546" i="1"/>
  <c r="I544" i="1"/>
  <c r="E543" i="1"/>
  <c r="L541" i="1"/>
  <c r="I540" i="1"/>
  <c r="A539" i="1"/>
  <c r="L537" i="1"/>
  <c r="K536" i="1"/>
  <c r="N535" i="1"/>
  <c r="L534" i="1"/>
  <c r="O533" i="1"/>
  <c r="A533" i="1"/>
  <c r="A532" i="1"/>
  <c r="N530" i="1"/>
  <c r="J529" i="1"/>
  <c r="I528" i="1"/>
  <c r="I527" i="1"/>
  <c r="H526" i="1"/>
  <c r="G525" i="1"/>
  <c r="D524" i="1"/>
  <c r="B523" i="1"/>
  <c r="B522" i="1"/>
  <c r="A521" i="1"/>
  <c r="M519" i="1"/>
  <c r="I518" i="1"/>
  <c r="I517" i="1"/>
  <c r="G516" i="1"/>
  <c r="G515" i="1"/>
  <c r="D514" i="1"/>
  <c r="N512" i="1"/>
  <c r="M511" i="1"/>
  <c r="K510" i="1"/>
  <c r="K509" i="1"/>
  <c r="I508" i="1"/>
  <c r="F507" i="1"/>
  <c r="D506" i="1"/>
  <c r="A505" i="1"/>
  <c r="A504" i="1"/>
  <c r="M502" i="1"/>
  <c r="K501" i="1"/>
  <c r="J500" i="1"/>
  <c r="J499" i="1"/>
  <c r="H498" i="1"/>
  <c r="G497" i="1"/>
  <c r="C496" i="1"/>
  <c r="B495" i="1"/>
  <c r="N493" i="1"/>
  <c r="N492" i="1"/>
  <c r="M491" i="1"/>
  <c r="J490" i="1"/>
  <c r="J489" i="1"/>
  <c r="J488" i="1"/>
  <c r="I487" i="1"/>
  <c r="H486" i="1"/>
  <c r="C485" i="1"/>
  <c r="C484" i="1"/>
  <c r="A483" i="1"/>
  <c r="N481" i="1"/>
  <c r="M480" i="1"/>
  <c r="K479" i="1"/>
  <c r="K478" i="1"/>
  <c r="J477" i="1"/>
  <c r="H476" i="1"/>
  <c r="G475" i="1"/>
  <c r="A474" i="1"/>
  <c r="M472" i="1"/>
  <c r="A472" i="1"/>
  <c r="B471" i="1"/>
  <c r="B470" i="1"/>
  <c r="D469" i="1"/>
  <c r="D468" i="1"/>
  <c r="E467" i="1"/>
  <c r="G466" i="1"/>
  <c r="I465" i="1"/>
  <c r="J464" i="1"/>
  <c r="L463" i="1"/>
  <c r="M462" i="1"/>
  <c r="N461" i="1"/>
  <c r="N460" i="1"/>
  <c r="B460" i="1"/>
  <c r="E459" i="1"/>
  <c r="G458" i="1"/>
  <c r="G457" i="1"/>
  <c r="I456" i="1"/>
  <c r="K455" i="1"/>
  <c r="L454" i="1"/>
  <c r="L453" i="1"/>
  <c r="M452" i="1"/>
  <c r="A452" i="1"/>
  <c r="B451" i="1"/>
  <c r="C450" i="1"/>
  <c r="E449" i="1"/>
  <c r="E448" i="1"/>
  <c r="E447" i="1"/>
  <c r="G446" i="1"/>
  <c r="G445" i="1"/>
  <c r="G444" i="1"/>
  <c r="G443" i="1"/>
  <c r="H442" i="1"/>
  <c r="H441" i="1"/>
  <c r="I440" i="1"/>
  <c r="K439" i="1"/>
  <c r="L438" i="1"/>
  <c r="M437" i="1"/>
  <c r="M436" i="1"/>
  <c r="N435" i="1"/>
  <c r="A435" i="1"/>
  <c r="B434" i="1"/>
  <c r="D433" i="1"/>
  <c r="F432" i="1"/>
  <c r="G431" i="1"/>
  <c r="G430" i="1"/>
  <c r="G429" i="1"/>
  <c r="H428" i="1"/>
  <c r="H427" i="1"/>
  <c r="I426" i="1"/>
  <c r="I425" i="1"/>
  <c r="J424" i="1"/>
  <c r="J423" i="1"/>
  <c r="L422" i="1"/>
  <c r="M421" i="1"/>
  <c r="N420" i="1"/>
  <c r="N419" i="1"/>
  <c r="B419" i="1"/>
  <c r="B418" i="1"/>
  <c r="D417" i="1"/>
  <c r="E416" i="1"/>
  <c r="E415" i="1"/>
  <c r="F414" i="1"/>
  <c r="R687" i="1"/>
  <c r="I685" i="1"/>
  <c r="G683" i="1"/>
  <c r="M680" i="1"/>
  <c r="L678" i="1"/>
  <c r="J676" i="1"/>
  <c r="K674" i="1"/>
  <c r="L672" i="1"/>
  <c r="M670" i="1"/>
  <c r="B668" i="1"/>
  <c r="L665" i="1"/>
  <c r="N662" i="1"/>
  <c r="K660" i="1"/>
  <c r="B658" i="1"/>
  <c r="K655" i="1"/>
  <c r="H653" i="1"/>
  <c r="L651" i="1"/>
  <c r="L649" i="1"/>
  <c r="A648" i="1"/>
  <c r="D646" i="1"/>
  <c r="L644" i="1"/>
  <c r="J642" i="1"/>
  <c r="J640" i="1"/>
  <c r="J638" i="1"/>
  <c r="M636" i="1"/>
  <c r="M634" i="1"/>
  <c r="B633" i="1"/>
  <c r="B631" i="1"/>
  <c r="F629" i="1"/>
  <c r="K627" i="1"/>
  <c r="L625" i="1"/>
  <c r="I623" i="1"/>
  <c r="J621" i="1"/>
  <c r="A620" i="1"/>
  <c r="G618" i="1"/>
  <c r="E616" i="1"/>
  <c r="H614" i="1"/>
  <c r="D612" i="1"/>
  <c r="B610" i="1"/>
  <c r="A608" i="1"/>
  <c r="B606" i="1"/>
  <c r="A604" i="1"/>
  <c r="D602" i="1"/>
  <c r="B600" i="1"/>
  <c r="I598" i="1"/>
  <c r="G596" i="1"/>
  <c r="N594" i="1"/>
  <c r="O592" i="1"/>
  <c r="B591" i="1"/>
  <c r="E589" i="1"/>
  <c r="I587" i="1"/>
  <c r="N585" i="1"/>
  <c r="A584" i="1"/>
  <c r="N581" i="1"/>
  <c r="A580" i="1"/>
  <c r="L578" i="1"/>
  <c r="G577" i="1"/>
  <c r="M575" i="1"/>
  <c r="J574" i="1"/>
  <c r="M572" i="1"/>
  <c r="G571" i="1"/>
  <c r="I569" i="1"/>
  <c r="L567" i="1"/>
  <c r="N565" i="1"/>
  <c r="G564" i="1"/>
  <c r="A563" i="1"/>
  <c r="L561" i="1"/>
  <c r="D560" i="1"/>
  <c r="L558" i="1"/>
  <c r="F557" i="1"/>
  <c r="E556" i="1"/>
  <c r="K554" i="1"/>
  <c r="H553" i="1"/>
  <c r="E552" i="1"/>
  <c r="Q550" i="1"/>
  <c r="J549" i="1"/>
  <c r="J548" i="1"/>
  <c r="D547" i="1"/>
  <c r="N545" i="1"/>
  <c r="H544" i="1"/>
  <c r="C543" i="1"/>
  <c r="K541" i="1"/>
  <c r="G540" i="1"/>
  <c r="N538" i="1"/>
  <c r="K537" i="1"/>
  <c r="J536" i="1"/>
  <c r="M535" i="1"/>
  <c r="K534" i="1"/>
  <c r="N533" i="1"/>
  <c r="N532" i="1"/>
  <c r="N531" i="1"/>
  <c r="M530" i="1"/>
  <c r="I529" i="1"/>
  <c r="H528" i="1"/>
  <c r="H527" i="1"/>
  <c r="G526" i="1"/>
  <c r="F525" i="1"/>
  <c r="C524" i="1"/>
  <c r="A523" i="1"/>
  <c r="A522" i="1"/>
  <c r="N520" i="1"/>
  <c r="L519" i="1"/>
  <c r="H518" i="1"/>
  <c r="H517" i="1"/>
  <c r="F516" i="1"/>
  <c r="E515" i="1"/>
  <c r="C514" i="1"/>
  <c r="M512" i="1"/>
  <c r="L511" i="1"/>
  <c r="J510" i="1"/>
  <c r="J509" i="1"/>
  <c r="H508" i="1"/>
  <c r="E507" i="1"/>
  <c r="B506" i="1"/>
  <c r="N504" i="1"/>
  <c r="N503" i="1"/>
  <c r="L502" i="1"/>
  <c r="J501" i="1"/>
  <c r="I500" i="1"/>
  <c r="I499" i="1"/>
  <c r="G498" i="1"/>
  <c r="E497" i="1"/>
  <c r="B496" i="1"/>
  <c r="A495" i="1"/>
  <c r="M493" i="1"/>
  <c r="M492" i="1"/>
  <c r="L491" i="1"/>
  <c r="I490" i="1"/>
  <c r="I489" i="1"/>
  <c r="I488" i="1"/>
  <c r="H487" i="1"/>
  <c r="G486" i="1"/>
  <c r="B485" i="1"/>
  <c r="B484" i="1"/>
  <c r="N482" i="1"/>
  <c r="M481" i="1"/>
  <c r="L480" i="1"/>
  <c r="J479" i="1"/>
  <c r="J478" i="1"/>
  <c r="I477" i="1"/>
  <c r="G476" i="1"/>
  <c r="E475" i="1"/>
  <c r="N473" i="1"/>
  <c r="L472" i="1"/>
  <c r="N471" i="1"/>
  <c r="A471" i="1"/>
  <c r="A470" i="1"/>
  <c r="B469" i="1"/>
  <c r="C468" i="1"/>
  <c r="D467" i="1"/>
  <c r="F466" i="1"/>
  <c r="H465" i="1"/>
  <c r="I464" i="1"/>
  <c r="K463" i="1"/>
  <c r="L462" i="1"/>
  <c r="M461" i="1"/>
  <c r="M460" i="1"/>
  <c r="A460" i="1"/>
  <c r="D459" i="1"/>
  <c r="E458" i="1"/>
  <c r="F457" i="1"/>
  <c r="H456" i="1"/>
  <c r="J455" i="1"/>
  <c r="K454" i="1"/>
  <c r="K453" i="1"/>
  <c r="L452" i="1"/>
  <c r="N451" i="1"/>
  <c r="A451" i="1"/>
  <c r="B450" i="1"/>
  <c r="D449" i="1"/>
  <c r="D448" i="1"/>
  <c r="D447" i="1"/>
  <c r="E446" i="1"/>
  <c r="E445" i="1"/>
  <c r="E444" i="1"/>
  <c r="F443" i="1"/>
  <c r="G442" i="1"/>
  <c r="G441" i="1"/>
  <c r="H440" i="1"/>
  <c r="J439" i="1"/>
  <c r="K438" i="1"/>
  <c r="L437" i="1"/>
  <c r="L436" i="1"/>
  <c r="M435" i="1"/>
  <c r="N434" i="1"/>
  <c r="A434" i="1"/>
  <c r="C433" i="1"/>
  <c r="E432" i="1"/>
  <c r="E431" i="1"/>
  <c r="E430" i="1"/>
  <c r="F429" i="1"/>
  <c r="G428" i="1"/>
  <c r="G427" i="1"/>
  <c r="H426" i="1"/>
  <c r="H425" i="1"/>
  <c r="I424" i="1"/>
  <c r="I423" i="1"/>
  <c r="K422" i="1"/>
  <c r="L421" i="1"/>
  <c r="M420" i="1"/>
  <c r="M419" i="1"/>
  <c r="A419" i="1"/>
  <c r="A418" i="1"/>
  <c r="B417" i="1"/>
  <c r="D416" i="1"/>
  <c r="D415" i="1"/>
  <c r="L689" i="1"/>
  <c r="A687" i="1"/>
  <c r="E683" i="1"/>
  <c r="M679" i="1"/>
  <c r="H676" i="1"/>
  <c r="L673" i="1"/>
  <c r="I670" i="1"/>
  <c r="E667" i="1"/>
  <c r="H662" i="1"/>
  <c r="H659" i="1"/>
  <c r="I655" i="1"/>
  <c r="N652" i="1"/>
  <c r="I649" i="1"/>
  <c r="E647" i="1"/>
  <c r="G644" i="1"/>
  <c r="L641" i="1"/>
  <c r="G638" i="1"/>
  <c r="M635" i="1"/>
  <c r="O632" i="1"/>
  <c r="D630" i="1"/>
  <c r="H627" i="1"/>
  <c r="L624" i="1"/>
  <c r="H621" i="1"/>
  <c r="H619" i="1"/>
  <c r="A616" i="1"/>
  <c r="G613" i="1"/>
  <c r="N609" i="1"/>
  <c r="E607" i="1"/>
  <c r="K603" i="1"/>
  <c r="G689" i="1"/>
  <c r="G686" i="1"/>
  <c r="H682" i="1"/>
  <c r="E679" i="1"/>
  <c r="A676" i="1"/>
  <c r="B673" i="1"/>
  <c r="K669" i="1"/>
  <c r="E666" i="1"/>
  <c r="D662" i="1"/>
  <c r="A659" i="1"/>
  <c r="B655" i="1"/>
  <c r="C652" i="1"/>
  <c r="B649" i="1"/>
  <c r="A647" i="1"/>
  <c r="M643" i="1"/>
  <c r="A641" i="1"/>
  <c r="B638" i="1"/>
  <c r="I635" i="1"/>
  <c r="E632" i="1"/>
  <c r="N629" i="1"/>
  <c r="D627" i="1"/>
  <c r="D624" i="1"/>
  <c r="Q620" i="1"/>
  <c r="A619" i="1"/>
  <c r="L615" i="1"/>
  <c r="M612" i="1"/>
  <c r="D609" i="1"/>
  <c r="I606" i="1"/>
  <c r="H603" i="1"/>
  <c r="N600" i="1"/>
  <c r="M597" i="1"/>
  <c r="E595" i="1"/>
  <c r="G592" i="1"/>
  <c r="E689" i="1"/>
  <c r="E686" i="1"/>
  <c r="G682" i="1"/>
  <c r="B679" i="1"/>
  <c r="N675" i="1"/>
  <c r="A673" i="1"/>
  <c r="J669" i="1"/>
  <c r="D666" i="1"/>
  <c r="N661" i="1"/>
  <c r="N658" i="1"/>
  <c r="M654" i="1"/>
  <c r="B652" i="1"/>
  <c r="A649" i="1"/>
  <c r="M646" i="1"/>
  <c r="L643" i="1"/>
  <c r="N640" i="1"/>
  <c r="N637" i="1"/>
  <c r="G635" i="1"/>
  <c r="D632" i="1"/>
  <c r="J629" i="1"/>
  <c r="B627" i="1"/>
  <c r="A624" i="1"/>
  <c r="P620" i="1"/>
  <c r="M618" i="1"/>
  <c r="K615" i="1"/>
  <c r="K612" i="1"/>
  <c r="B609" i="1"/>
  <c r="G606" i="1"/>
  <c r="G603" i="1"/>
  <c r="M600" i="1"/>
  <c r="L597" i="1"/>
  <c r="C595" i="1"/>
  <c r="E592" i="1"/>
  <c r="A590" i="1"/>
  <c r="N586" i="1"/>
  <c r="E584" i="1"/>
  <c r="D581" i="1"/>
  <c r="C579" i="1"/>
  <c r="I576" i="1"/>
  <c r="A689" i="1"/>
  <c r="B685" i="1"/>
  <c r="D682" i="1"/>
  <c r="J678" i="1"/>
  <c r="M675" i="1"/>
  <c r="H672" i="1"/>
  <c r="I669" i="1"/>
  <c r="E665" i="1"/>
  <c r="M661" i="1"/>
  <c r="N657" i="1"/>
  <c r="J654" i="1"/>
  <c r="J651" i="1"/>
  <c r="P648" i="1"/>
  <c r="A646" i="1"/>
  <c r="K643" i="1"/>
  <c r="H640" i="1"/>
  <c r="M637" i="1"/>
  <c r="K634" i="1"/>
  <c r="C632" i="1"/>
  <c r="D629" i="1"/>
  <c r="N626" i="1"/>
  <c r="E623" i="1"/>
  <c r="O620" i="1"/>
  <c r="D618" i="1"/>
  <c r="I615" i="1"/>
  <c r="A612" i="1"/>
  <c r="A609" i="1"/>
  <c r="K605" i="1"/>
  <c r="D603" i="1"/>
  <c r="G688" i="1"/>
  <c r="A685" i="1"/>
  <c r="N681" i="1"/>
  <c r="D678" i="1"/>
  <c r="R674" i="1"/>
  <c r="G672" i="1"/>
  <c r="B669" i="1"/>
  <c r="L664" i="1"/>
  <c r="R660" i="1"/>
  <c r="M657" i="1"/>
  <c r="F654" i="1"/>
  <c r="B651" i="1"/>
  <c r="J648" i="1"/>
  <c r="Q645" i="1"/>
  <c r="D643" i="1"/>
  <c r="A640" i="1"/>
  <c r="G637" i="1"/>
  <c r="I634" i="1"/>
  <c r="N631" i="1"/>
  <c r="Q628" i="1"/>
  <c r="E626" i="1"/>
  <c r="C623" i="1"/>
  <c r="K620" i="1"/>
  <c r="L617" i="1"/>
  <c r="N614" i="1"/>
  <c r="N611" i="1"/>
  <c r="L608" i="1"/>
  <c r="E605" i="1"/>
  <c r="J602" i="1"/>
  <c r="F688" i="1"/>
  <c r="M684" i="1"/>
  <c r="K681" i="1"/>
  <c r="A678" i="1"/>
  <c r="Q674" i="1"/>
  <c r="A672" i="1"/>
  <c r="A669" i="1"/>
  <c r="K664" i="1"/>
  <c r="Q660" i="1"/>
  <c r="I657" i="1"/>
  <c r="E654" i="1"/>
  <c r="A651" i="1"/>
  <c r="I648" i="1"/>
  <c r="O645" i="1"/>
  <c r="C643" i="1"/>
  <c r="N639" i="1"/>
  <c r="E637" i="1"/>
  <c r="G634" i="1"/>
  <c r="K631" i="1"/>
  <c r="N628" i="1"/>
  <c r="D626" i="1"/>
  <c r="A623" i="1"/>
  <c r="J620" i="1"/>
  <c r="K617" i="1"/>
  <c r="M614" i="1"/>
  <c r="I611" i="1"/>
  <c r="K608" i="1"/>
  <c r="D605" i="1"/>
  <c r="I602" i="1"/>
  <c r="L687" i="1"/>
  <c r="I684" i="1"/>
  <c r="K680" i="1"/>
  <c r="M677" i="1"/>
  <c r="G674" i="1"/>
  <c r="Q671" i="1"/>
  <c r="L667" i="1"/>
  <c r="G664" i="1"/>
  <c r="I660" i="1"/>
  <c r="B657" i="1"/>
  <c r="F653" i="1"/>
  <c r="M650" i="1"/>
  <c r="P647" i="1"/>
  <c r="M645" i="1"/>
  <c r="D642" i="1"/>
  <c r="K639" i="1"/>
  <c r="J636" i="1"/>
  <c r="E634" i="1"/>
  <c r="M630" i="1"/>
  <c r="K628" i="1"/>
  <c r="G625" i="1"/>
  <c r="M622" i="1"/>
  <c r="P619" i="1"/>
  <c r="F617" i="1"/>
  <c r="E614" i="1"/>
  <c r="G611" i="1"/>
  <c r="L607" i="1"/>
  <c r="A605" i="1"/>
  <c r="B602" i="1"/>
  <c r="J599" i="1"/>
  <c r="B596" i="1"/>
  <c r="O593" i="1"/>
  <c r="F687" i="1"/>
  <c r="N683" i="1"/>
  <c r="J680" i="1"/>
  <c r="J677" i="1"/>
  <c r="Q673" i="1"/>
  <c r="H671" i="1"/>
  <c r="K667" i="1"/>
  <c r="M663" i="1"/>
  <c r="M659" i="1"/>
  <c r="I656" i="1"/>
  <c r="E653" i="1"/>
  <c r="J650" i="1"/>
  <c r="K647" i="1"/>
  <c r="D645" i="1"/>
  <c r="C642" i="1"/>
  <c r="H639" i="1"/>
  <c r="D636" i="1"/>
  <c r="J633" i="1"/>
  <c r="L630" i="1"/>
  <c r="H628" i="1"/>
  <c r="A625" i="1"/>
  <c r="B622" i="1"/>
  <c r="O619" i="1"/>
  <c r="B617" i="1"/>
  <c r="J613" i="1"/>
  <c r="M610" i="1"/>
  <c r="K607" i="1"/>
  <c r="J604" i="1"/>
  <c r="H601" i="1"/>
  <c r="D599" i="1"/>
  <c r="A596" i="1"/>
  <c r="K593" i="1"/>
  <c r="M590" i="1"/>
  <c r="A588" i="1"/>
  <c r="H585" i="1"/>
  <c r="K582" i="1"/>
  <c r="M579" i="1"/>
  <c r="L577" i="1"/>
  <c r="E687" i="1"/>
  <c r="M683" i="1"/>
  <c r="E680" i="1"/>
  <c r="G677" i="1"/>
  <c r="N673" i="1"/>
  <c r="G671" i="1"/>
  <c r="I667" i="1"/>
  <c r="L663" i="1"/>
  <c r="L659" i="1"/>
  <c r="H656" i="1"/>
  <c r="B653" i="1"/>
  <c r="E650" i="1"/>
  <c r="H647" i="1"/>
  <c r="C645" i="1"/>
  <c r="N641" i="1"/>
  <c r="E639" i="1"/>
  <c r="C636" i="1"/>
  <c r="I633" i="1"/>
  <c r="G630" i="1"/>
  <c r="F628" i="1"/>
  <c r="N624" i="1"/>
  <c r="A622" i="1"/>
  <c r="M619" i="1"/>
  <c r="N616" i="1"/>
  <c r="I613" i="1"/>
  <c r="K610" i="1"/>
  <c r="I607" i="1"/>
  <c r="H604" i="1"/>
  <c r="G601" i="1"/>
  <c r="B599" i="1"/>
  <c r="Q595" i="1"/>
  <c r="G593" i="1"/>
  <c r="I590" i="1"/>
  <c r="M587" i="1"/>
  <c r="F585" i="1"/>
  <c r="J582" i="1"/>
  <c r="L579" i="1"/>
  <c r="K577" i="1"/>
  <c r="F575" i="1"/>
  <c r="I573" i="1"/>
  <c r="J570" i="1"/>
  <c r="B568" i="1"/>
  <c r="I565" i="1"/>
  <c r="I563" i="1"/>
  <c r="C561" i="1"/>
  <c r="C559" i="1"/>
  <c r="A557" i="1"/>
  <c r="D555" i="1"/>
  <c r="Q552" i="1"/>
  <c r="E551" i="1"/>
  <c r="D549" i="1"/>
  <c r="K547" i="1"/>
  <c r="G545" i="1"/>
  <c r="H543" i="1"/>
  <c r="F541" i="1"/>
  <c r="G539" i="1"/>
  <c r="G537" i="1"/>
  <c r="P535" i="1"/>
  <c r="G534" i="1"/>
  <c r="C533" i="1"/>
  <c r="H531" i="1"/>
  <c r="N529" i="1"/>
  <c r="D528" i="1"/>
  <c r="J526" i="1"/>
  <c r="M524" i="1"/>
  <c r="E523" i="1"/>
  <c r="K521" i="1"/>
  <c r="A520" i="1"/>
  <c r="D518" i="1"/>
  <c r="I516" i="1"/>
  <c r="L514" i="1"/>
  <c r="E513" i="1"/>
  <c r="H511" i="1"/>
  <c r="M509" i="1"/>
  <c r="A508" i="1"/>
  <c r="G506" i="1"/>
  <c r="J504" i="1"/>
  <c r="A503" i="1"/>
  <c r="E501" i="1"/>
  <c r="L499" i="1"/>
  <c r="N497" i="1"/>
  <c r="H496" i="1"/>
  <c r="K494" i="1"/>
  <c r="B493" i="1"/>
  <c r="E491" i="1"/>
  <c r="C490" i="1"/>
  <c r="M488" i="1"/>
  <c r="J487" i="1"/>
  <c r="A486" i="1"/>
  <c r="L484" i="1"/>
  <c r="J483" i="1"/>
  <c r="D482" i="1"/>
  <c r="N480" i="1"/>
  <c r="H479" i="1"/>
  <c r="F478" i="1"/>
  <c r="M476" i="1"/>
  <c r="J475" i="1"/>
  <c r="E474" i="1"/>
  <c r="J472" i="1"/>
  <c r="J471" i="1"/>
  <c r="I470" i="1"/>
  <c r="G469" i="1"/>
  <c r="E468" i="1"/>
  <c r="B467" i="1"/>
  <c r="B466" i="1"/>
  <c r="A465" i="1"/>
  <c r="P463" i="1"/>
  <c r="N462" i="1"/>
  <c r="K461" i="1"/>
  <c r="I460" i="1"/>
  <c r="J459" i="1"/>
  <c r="J458" i="1"/>
  <c r="H457" i="1"/>
  <c r="F456" i="1"/>
  <c r="E455" i="1"/>
  <c r="D454" i="1"/>
  <c r="B453" i="1"/>
  <c r="B452" i="1"/>
  <c r="M450" i="1"/>
  <c r="L449" i="1"/>
  <c r="K448" i="1"/>
  <c r="I447" i="1"/>
  <c r="H446" i="1"/>
  <c r="B445" i="1"/>
  <c r="N443" i="1"/>
  <c r="M442" i="1"/>
  <c r="K441" i="1"/>
  <c r="J440" i="1"/>
  <c r="H439" i="1"/>
  <c r="G438" i="1"/>
  <c r="E437" i="1"/>
  <c r="D436" i="1"/>
  <c r="B435" i="1"/>
  <c r="M433" i="1"/>
  <c r="M432" i="1"/>
  <c r="L431" i="1"/>
  <c r="J430" i="1"/>
  <c r="H429" i="1"/>
  <c r="D428" i="1"/>
  <c r="B427" i="1"/>
  <c r="N425" i="1"/>
  <c r="M424" i="1"/>
  <c r="K423" i="1"/>
  <c r="I422" i="1"/>
  <c r="H421" i="1"/>
  <c r="G420" i="1"/>
  <c r="E419" i="1"/>
  <c r="D418" i="1"/>
  <c r="N416" i="1"/>
  <c r="M415" i="1"/>
  <c r="K414" i="1"/>
  <c r="K413" i="1"/>
  <c r="L412" i="1"/>
  <c r="M411" i="1"/>
  <c r="N410" i="1"/>
  <c r="N409" i="1"/>
  <c r="B409" i="1"/>
  <c r="C408" i="1"/>
  <c r="D407" i="1"/>
  <c r="F406" i="1"/>
  <c r="H405" i="1"/>
  <c r="J404" i="1"/>
  <c r="K403" i="1"/>
  <c r="K402" i="1"/>
  <c r="M401" i="1"/>
  <c r="O400" i="1"/>
  <c r="B400" i="1"/>
  <c r="B399" i="1"/>
  <c r="D398" i="1"/>
  <c r="E397" i="1"/>
  <c r="F396" i="1"/>
  <c r="G395" i="1"/>
  <c r="G394" i="1"/>
  <c r="G393" i="1"/>
  <c r="G392" i="1"/>
  <c r="G391" i="1"/>
  <c r="I390" i="1"/>
  <c r="I389" i="1"/>
  <c r="I388" i="1"/>
  <c r="J387" i="1"/>
  <c r="K386" i="1"/>
  <c r="K385" i="1"/>
  <c r="L384" i="1"/>
  <c r="M383" i="1"/>
  <c r="N382" i="1"/>
  <c r="B382" i="1"/>
  <c r="B381" i="1"/>
  <c r="D380" i="1"/>
  <c r="E379" i="1"/>
  <c r="E378" i="1"/>
  <c r="G377" i="1"/>
  <c r="H376" i="1"/>
  <c r="I375" i="1"/>
  <c r="I374" i="1"/>
  <c r="I373" i="1"/>
  <c r="J372" i="1"/>
  <c r="K371" i="1"/>
  <c r="K370" i="1"/>
  <c r="M369" i="1"/>
  <c r="N368" i="1"/>
  <c r="A368" i="1"/>
  <c r="B367" i="1"/>
  <c r="B366" i="1"/>
  <c r="D365" i="1"/>
  <c r="E364" i="1"/>
  <c r="G363" i="1"/>
  <c r="H362" i="1"/>
  <c r="H361" i="1"/>
  <c r="I360" i="1"/>
  <c r="J359" i="1"/>
  <c r="J358" i="1"/>
  <c r="J357" i="1"/>
  <c r="K356" i="1"/>
  <c r="L355" i="1"/>
  <c r="M354" i="1"/>
  <c r="N353" i="1"/>
  <c r="A353" i="1"/>
  <c r="B352" i="1"/>
  <c r="D351" i="1"/>
  <c r="E350" i="1"/>
  <c r="F349" i="1"/>
  <c r="H348" i="1"/>
  <c r="I347" i="1"/>
  <c r="J346" i="1"/>
  <c r="K345" i="1"/>
  <c r="L344" i="1"/>
  <c r="N343" i="1"/>
  <c r="A343" i="1"/>
  <c r="A342" i="1"/>
  <c r="A341" i="1"/>
  <c r="A340" i="1"/>
  <c r="B339" i="1"/>
  <c r="B338" i="1"/>
  <c r="C337" i="1"/>
  <c r="E336" i="1"/>
  <c r="E335" i="1"/>
  <c r="G334" i="1"/>
  <c r="I333" i="1"/>
  <c r="J332" i="1"/>
  <c r="K331" i="1"/>
  <c r="L330" i="1"/>
  <c r="M329" i="1"/>
  <c r="M328" i="1"/>
  <c r="A328" i="1"/>
  <c r="B327" i="1"/>
  <c r="C326" i="1"/>
  <c r="E325" i="1"/>
  <c r="E324" i="1"/>
  <c r="G323" i="1"/>
  <c r="G322" i="1"/>
  <c r="G321" i="1"/>
  <c r="I320" i="1"/>
  <c r="I319" i="1"/>
  <c r="J318" i="1"/>
  <c r="L317" i="1"/>
  <c r="D687" i="1"/>
  <c r="L683" i="1"/>
  <c r="N679" i="1"/>
  <c r="F677" i="1"/>
  <c r="M673" i="1"/>
  <c r="B671" i="1"/>
  <c r="F667" i="1"/>
  <c r="K663" i="1"/>
  <c r="K659" i="1"/>
  <c r="E656" i="1"/>
  <c r="A653" i="1"/>
  <c r="D650" i="1"/>
  <c r="G647" i="1"/>
  <c r="B645" i="1"/>
  <c r="M641" i="1"/>
  <c r="D639" i="1"/>
  <c r="B636" i="1"/>
  <c r="H633" i="1"/>
  <c r="E630" i="1"/>
  <c r="E628" i="1"/>
  <c r="M624" i="1"/>
  <c r="N621" i="1"/>
  <c r="I619" i="1"/>
  <c r="M616" i="1"/>
  <c r="H613" i="1"/>
  <c r="H610" i="1"/>
  <c r="G607" i="1"/>
  <c r="G604" i="1"/>
  <c r="E601" i="1"/>
  <c r="A599" i="1"/>
  <c r="O595" i="1"/>
  <c r="E593" i="1"/>
  <c r="H590" i="1"/>
  <c r="L587" i="1"/>
  <c r="D585" i="1"/>
  <c r="I582" i="1"/>
  <c r="K579" i="1"/>
  <c r="J577" i="1"/>
  <c r="E575" i="1"/>
  <c r="H573" i="1"/>
  <c r="I570" i="1"/>
  <c r="A568" i="1"/>
  <c r="F565" i="1"/>
  <c r="H563" i="1"/>
  <c r="B561" i="1"/>
  <c r="O558" i="1"/>
  <c r="R556" i="1"/>
  <c r="B555" i="1"/>
  <c r="P552" i="1"/>
  <c r="D551" i="1"/>
  <c r="C549" i="1"/>
  <c r="J547" i="1"/>
  <c r="E545" i="1"/>
  <c r="G543" i="1"/>
  <c r="E541" i="1"/>
  <c r="F539" i="1"/>
  <c r="D537" i="1"/>
  <c r="O535" i="1"/>
  <c r="E534" i="1"/>
  <c r="B533" i="1"/>
  <c r="G531" i="1"/>
  <c r="M529" i="1"/>
  <c r="C528" i="1"/>
  <c r="I526" i="1"/>
  <c r="L524" i="1"/>
  <c r="D523" i="1"/>
  <c r="H521" i="1"/>
  <c r="N519" i="1"/>
  <c r="C518" i="1"/>
  <c r="H516" i="1"/>
  <c r="K514" i="1"/>
  <c r="D513" i="1"/>
  <c r="G511" i="1"/>
  <c r="L509" i="1"/>
  <c r="N507" i="1"/>
  <c r="E506" i="1"/>
  <c r="G504" i="1"/>
  <c r="N502" i="1"/>
  <c r="D501" i="1"/>
  <c r="K499" i="1"/>
  <c r="M497" i="1"/>
  <c r="G496" i="1"/>
  <c r="J494" i="1"/>
  <c r="A493" i="1"/>
  <c r="D491" i="1"/>
  <c r="B490" i="1"/>
  <c r="L488" i="1"/>
  <c r="G487" i="1"/>
  <c r="N485" i="1"/>
  <c r="K484" i="1"/>
  <c r="G483" i="1"/>
  <c r="B482" i="1"/>
  <c r="I480" i="1"/>
  <c r="G479" i="1"/>
  <c r="E478" i="1"/>
  <c r="L476" i="1"/>
  <c r="I475" i="1"/>
  <c r="M473" i="1"/>
  <c r="I472" i="1"/>
  <c r="I471" i="1"/>
  <c r="H470" i="1"/>
  <c r="F469" i="1"/>
  <c r="B468" i="1"/>
  <c r="A467" i="1"/>
  <c r="A466" i="1"/>
  <c r="N464" i="1"/>
  <c r="N463" i="1"/>
  <c r="K462" i="1"/>
  <c r="J461" i="1"/>
  <c r="H460" i="1"/>
  <c r="I459" i="1"/>
  <c r="I458" i="1"/>
  <c r="E457" i="1"/>
  <c r="E456" i="1"/>
  <c r="D455" i="1"/>
  <c r="B454" i="1"/>
  <c r="A453" i="1"/>
  <c r="M451" i="1"/>
  <c r="L450" i="1"/>
  <c r="K449" i="1"/>
  <c r="J448" i="1"/>
  <c r="H447" i="1"/>
  <c r="D446" i="1"/>
  <c r="A445" i="1"/>
  <c r="M443" i="1"/>
  <c r="L442" i="1"/>
  <c r="J441" i="1"/>
  <c r="G440" i="1"/>
  <c r="G439" i="1"/>
  <c r="F438" i="1"/>
  <c r="D437" i="1"/>
  <c r="B436" i="1"/>
  <c r="M434" i="1"/>
  <c r="L433" i="1"/>
  <c r="L432" i="1"/>
  <c r="K431" i="1"/>
  <c r="I430" i="1"/>
  <c r="E429" i="1"/>
  <c r="B428" i="1"/>
  <c r="A427" i="1"/>
  <c r="M425" i="1"/>
  <c r="L424" i="1"/>
  <c r="H423" i="1"/>
  <c r="H422" i="1"/>
  <c r="G421" i="1"/>
  <c r="E420" i="1"/>
  <c r="D419" i="1"/>
  <c r="N417" i="1"/>
  <c r="M416" i="1"/>
  <c r="L415" i="1"/>
  <c r="J414" i="1"/>
  <c r="J413" i="1"/>
  <c r="K412" i="1"/>
  <c r="L411" i="1"/>
  <c r="M410" i="1"/>
  <c r="M409" i="1"/>
  <c r="A409" i="1"/>
  <c r="B408" i="1"/>
  <c r="C407" i="1"/>
  <c r="E406" i="1"/>
  <c r="G405" i="1"/>
  <c r="I404" i="1"/>
  <c r="J403" i="1"/>
  <c r="J402" i="1"/>
  <c r="L401" i="1"/>
  <c r="N400" i="1"/>
  <c r="A400" i="1"/>
  <c r="A399" i="1"/>
  <c r="B398" i="1"/>
  <c r="D397" i="1"/>
  <c r="E396" i="1"/>
  <c r="E395" i="1"/>
  <c r="E394" i="1"/>
  <c r="E393" i="1"/>
  <c r="E392" i="1"/>
  <c r="F391" i="1"/>
  <c r="H390" i="1"/>
  <c r="H389" i="1"/>
  <c r="H388" i="1"/>
  <c r="I387" i="1"/>
  <c r="J386" i="1"/>
  <c r="J385" i="1"/>
  <c r="K384" i="1"/>
  <c r="L383" i="1"/>
  <c r="M382" i="1"/>
  <c r="A382" i="1"/>
  <c r="A381" i="1"/>
  <c r="B380" i="1"/>
  <c r="D379" i="1"/>
  <c r="D378" i="1"/>
  <c r="F377" i="1"/>
  <c r="G376" i="1"/>
  <c r="H375" i="1"/>
  <c r="H374" i="1"/>
  <c r="H373" i="1"/>
  <c r="I372" i="1"/>
  <c r="J371" i="1"/>
  <c r="J370" i="1"/>
  <c r="L369" i="1"/>
  <c r="M368" i="1"/>
  <c r="N367" i="1"/>
  <c r="A367" i="1"/>
  <c r="A366" i="1"/>
  <c r="C365" i="1"/>
  <c r="D364" i="1"/>
  <c r="F363" i="1"/>
  <c r="G362" i="1"/>
  <c r="G361" i="1"/>
  <c r="H360" i="1"/>
  <c r="I359" i="1"/>
  <c r="I358" i="1"/>
  <c r="I357" i="1"/>
  <c r="J356" i="1"/>
  <c r="K355" i="1"/>
  <c r="L354" i="1"/>
  <c r="M353" i="1"/>
  <c r="N352" i="1"/>
  <c r="A352" i="1"/>
  <c r="B351" i="1"/>
  <c r="D350" i="1"/>
  <c r="E349" i="1"/>
  <c r="G348" i="1"/>
  <c r="H347" i="1"/>
  <c r="I346" i="1"/>
  <c r="J345" i="1"/>
  <c r="K344" i="1"/>
  <c r="M343" i="1"/>
  <c r="N342" i="1"/>
  <c r="N341" i="1"/>
  <c r="N340" i="1"/>
  <c r="N339" i="1"/>
  <c r="A339" i="1"/>
  <c r="A338" i="1"/>
  <c r="B337" i="1"/>
  <c r="D336" i="1"/>
  <c r="D335" i="1"/>
  <c r="F334" i="1"/>
  <c r="H333" i="1"/>
  <c r="I332" i="1"/>
  <c r="J331" i="1"/>
  <c r="K330" i="1"/>
  <c r="L329" i="1"/>
  <c r="L328" i="1"/>
  <c r="N327" i="1"/>
  <c r="A327" i="1"/>
  <c r="B326" i="1"/>
  <c r="D325" i="1"/>
  <c r="D324" i="1"/>
  <c r="E323" i="1"/>
  <c r="E322" i="1"/>
  <c r="F321" i="1"/>
  <c r="H320" i="1"/>
  <c r="H319" i="1"/>
  <c r="I318" i="1"/>
  <c r="K317" i="1"/>
  <c r="H689" i="1"/>
  <c r="B670" i="1"/>
  <c r="H649" i="1"/>
  <c r="H632" i="1"/>
  <c r="N615" i="1"/>
  <c r="R599" i="1"/>
  <c r="K594" i="1"/>
  <c r="C590" i="1"/>
  <c r="E586" i="1"/>
  <c r="K581" i="1"/>
  <c r="G578" i="1"/>
  <c r="D575" i="1"/>
  <c r="H572" i="1"/>
  <c r="D569" i="1"/>
  <c r="I566" i="1"/>
  <c r="M563" i="1"/>
  <c r="A561" i="1"/>
  <c r="C558" i="1"/>
  <c r="B556" i="1"/>
  <c r="L553" i="1"/>
  <c r="L551" i="1"/>
  <c r="B549" i="1"/>
  <c r="L546" i="1"/>
  <c r="E544" i="1"/>
  <c r="C542" i="1"/>
  <c r="K539" i="1"/>
  <c r="B537" i="1"/>
  <c r="G535" i="1"/>
  <c r="L533" i="1"/>
  <c r="C532" i="1"/>
  <c r="D530" i="1"/>
  <c r="B528" i="1"/>
  <c r="N525" i="1"/>
  <c r="A524" i="1"/>
  <c r="D522" i="1"/>
  <c r="E520" i="1"/>
  <c r="B518" i="1"/>
  <c r="B516" i="1"/>
  <c r="M513" i="1"/>
  <c r="A512" i="1"/>
  <c r="B510" i="1"/>
  <c r="M507" i="1"/>
  <c r="L505" i="1"/>
  <c r="L503" i="1"/>
  <c r="A502" i="1"/>
  <c r="C500" i="1"/>
  <c r="L497" i="1"/>
  <c r="L495" i="1"/>
  <c r="K493" i="1"/>
  <c r="A492" i="1"/>
  <c r="E490" i="1"/>
  <c r="K488" i="1"/>
  <c r="A487" i="1"/>
  <c r="I485" i="1"/>
  <c r="N483" i="1"/>
  <c r="F482" i="1"/>
  <c r="H480" i="1"/>
  <c r="D479" i="1"/>
  <c r="K477" i="1"/>
  <c r="N475" i="1"/>
  <c r="H474" i="1"/>
  <c r="H472" i="1"/>
  <c r="E471" i="1"/>
  <c r="M469" i="1"/>
  <c r="J468" i="1"/>
  <c r="G467" i="1"/>
  <c r="N465" i="1"/>
  <c r="K464" i="1"/>
  <c r="G463" i="1"/>
  <c r="D462" i="1"/>
  <c r="K460" i="1"/>
  <c r="H459" i="1"/>
  <c r="B458" i="1"/>
  <c r="N456" i="1"/>
  <c r="L455" i="1"/>
  <c r="G454" i="1"/>
  <c r="N452" i="1"/>
  <c r="J451" i="1"/>
  <c r="G450" i="1"/>
  <c r="A449" i="1"/>
  <c r="K447" i="1"/>
  <c r="B446" i="1"/>
  <c r="L444" i="1"/>
  <c r="H443" i="1"/>
  <c r="A442" i="1"/>
  <c r="L440" i="1"/>
  <c r="E439" i="1"/>
  <c r="B438" i="1"/>
  <c r="J436" i="1"/>
  <c r="G435" i="1"/>
  <c r="C434" i="1"/>
  <c r="K432" i="1"/>
  <c r="H431" i="1"/>
  <c r="N429" i="1"/>
  <c r="K428" i="1"/>
  <c r="E427" i="1"/>
  <c r="L425" i="1"/>
  <c r="G424" i="1"/>
  <c r="C423" i="1"/>
  <c r="N421" i="1"/>
  <c r="I420" i="1"/>
  <c r="C419" i="1"/>
  <c r="K417" i="1"/>
  <c r="H416" i="1"/>
  <c r="A415" i="1"/>
  <c r="M413" i="1"/>
  <c r="J412" i="1"/>
  <c r="I411" i="1"/>
  <c r="H410" i="1"/>
  <c r="F409" i="1"/>
  <c r="E408" i="1"/>
  <c r="B407" i="1"/>
  <c r="B406" i="1"/>
  <c r="B405" i="1"/>
  <c r="A404" i="1"/>
  <c r="M402" i="1"/>
  <c r="K401" i="1"/>
  <c r="K400" i="1"/>
  <c r="J399" i="1"/>
  <c r="I398" i="1"/>
  <c r="H397" i="1"/>
  <c r="D396" i="1"/>
  <c r="A395" i="1"/>
  <c r="M393" i="1"/>
  <c r="K392" i="1"/>
  <c r="I391" i="1"/>
  <c r="G390" i="1"/>
  <c r="D389" i="1"/>
  <c r="E688" i="1"/>
  <c r="N668" i="1"/>
  <c r="D648" i="1"/>
  <c r="J631" i="1"/>
  <c r="L614" i="1"/>
  <c r="Q599" i="1"/>
  <c r="C594" i="1"/>
  <c r="B590" i="1"/>
  <c r="D586" i="1"/>
  <c r="H581" i="1"/>
  <c r="F578" i="1"/>
  <c r="Q574" i="1"/>
  <c r="G572" i="1"/>
  <c r="B569" i="1"/>
  <c r="H566" i="1"/>
  <c r="J563" i="1"/>
  <c r="M560" i="1"/>
  <c r="B558" i="1"/>
  <c r="L555" i="1"/>
  <c r="K553" i="1"/>
  <c r="G551" i="1"/>
  <c r="O548" i="1"/>
  <c r="K546" i="1"/>
  <c r="D544" i="1"/>
  <c r="B542" i="1"/>
  <c r="H539" i="1"/>
  <c r="N536" i="1"/>
  <c r="F535" i="1"/>
  <c r="K533" i="1"/>
  <c r="B532" i="1"/>
  <c r="A530" i="1"/>
  <c r="L527" i="1"/>
  <c r="M525" i="1"/>
  <c r="N523" i="1"/>
  <c r="C522" i="1"/>
  <c r="B520" i="1"/>
  <c r="N517" i="1"/>
  <c r="M515" i="1"/>
  <c r="L513" i="1"/>
  <c r="N511" i="1"/>
  <c r="N509" i="1"/>
  <c r="K507" i="1"/>
  <c r="K505" i="1"/>
  <c r="I503" i="1"/>
  <c r="N501" i="1"/>
  <c r="M499" i="1"/>
  <c r="J497" i="1"/>
  <c r="K495" i="1"/>
  <c r="J493" i="1"/>
  <c r="N491" i="1"/>
  <c r="D490" i="1"/>
  <c r="H488" i="1"/>
  <c r="N486" i="1"/>
  <c r="H485" i="1"/>
  <c r="M483" i="1"/>
  <c r="E482" i="1"/>
  <c r="G480" i="1"/>
  <c r="C479" i="1"/>
  <c r="H477" i="1"/>
  <c r="M475" i="1"/>
  <c r="G474" i="1"/>
  <c r="G472" i="1"/>
  <c r="D471" i="1"/>
  <c r="L469" i="1"/>
  <c r="I468" i="1"/>
  <c r="C467" i="1"/>
  <c r="M465" i="1"/>
  <c r="H464" i="1"/>
  <c r="E463" i="1"/>
  <c r="B462" i="1"/>
  <c r="J460" i="1"/>
  <c r="G459" i="1"/>
  <c r="A458" i="1"/>
  <c r="M456" i="1"/>
  <c r="I455" i="1"/>
  <c r="E454" i="1"/>
  <c r="K452" i="1"/>
  <c r="I451" i="1"/>
  <c r="E450" i="1"/>
  <c r="N448" i="1"/>
  <c r="J447" i="1"/>
  <c r="A446" i="1"/>
  <c r="K444" i="1"/>
  <c r="E443" i="1"/>
  <c r="N441" i="1"/>
  <c r="K440" i="1"/>
  <c r="H686" i="1"/>
  <c r="G666" i="1"/>
  <c r="B647" i="1"/>
  <c r="O629" i="1"/>
  <c r="B613" i="1"/>
  <c r="N599" i="1"/>
  <c r="B594" i="1"/>
  <c r="C589" i="1"/>
  <c r="I585" i="1"/>
  <c r="A581" i="1"/>
  <c r="E578" i="1"/>
  <c r="P574" i="1"/>
  <c r="F572" i="1"/>
  <c r="N568" i="1"/>
  <c r="L565" i="1"/>
  <c r="M562" i="1"/>
  <c r="J560" i="1"/>
  <c r="A558" i="1"/>
  <c r="K555" i="1"/>
  <c r="E553" i="1"/>
  <c r="N550" i="1"/>
  <c r="N548" i="1"/>
  <c r="J546" i="1"/>
  <c r="B544" i="1"/>
  <c r="I541" i="1"/>
  <c r="L538" i="1"/>
  <c r="M536" i="1"/>
  <c r="E535" i="1"/>
  <c r="J533" i="1"/>
  <c r="L531" i="1"/>
  <c r="G529" i="1"/>
  <c r="K527" i="1"/>
  <c r="L525" i="1"/>
  <c r="M523" i="1"/>
  <c r="M521" i="1"/>
  <c r="H519" i="1"/>
  <c r="K517" i="1"/>
  <c r="L515" i="1"/>
  <c r="K513" i="1"/>
  <c r="J511" i="1"/>
  <c r="H509" i="1"/>
  <c r="J507" i="1"/>
  <c r="J505" i="1"/>
  <c r="H503" i="1"/>
  <c r="H501" i="1"/>
  <c r="G499" i="1"/>
  <c r="I497" i="1"/>
  <c r="J495" i="1"/>
  <c r="I493" i="1"/>
  <c r="H491" i="1"/>
  <c r="A490" i="1"/>
  <c r="G488" i="1"/>
  <c r="M486" i="1"/>
  <c r="G485" i="1"/>
  <c r="L483" i="1"/>
  <c r="A482" i="1"/>
  <c r="F480" i="1"/>
  <c r="B479" i="1"/>
  <c r="G477" i="1"/>
  <c r="L475" i="1"/>
  <c r="L473" i="1"/>
  <c r="F472" i="1"/>
  <c r="C471" i="1"/>
  <c r="K469" i="1"/>
  <c r="H468" i="1"/>
  <c r="N466" i="1"/>
  <c r="L465" i="1"/>
  <c r="G464" i="1"/>
  <c r="D463" i="1"/>
  <c r="A462" i="1"/>
  <c r="G460" i="1"/>
  <c r="F459" i="1"/>
  <c r="N457" i="1"/>
  <c r="L456" i="1"/>
  <c r="H455" i="1"/>
  <c r="A454" i="1"/>
  <c r="J452" i="1"/>
  <c r="H451" i="1"/>
  <c r="D450" i="1"/>
  <c r="M448" i="1"/>
  <c r="G447" i="1"/>
  <c r="N445" i="1"/>
  <c r="J444" i="1"/>
  <c r="D443" i="1"/>
  <c r="M441" i="1"/>
  <c r="F440" i="1"/>
  <c r="C439" i="1"/>
  <c r="N437" i="1"/>
  <c r="H436" i="1"/>
  <c r="D435" i="1"/>
  <c r="K433" i="1"/>
  <c r="I432" i="1"/>
  <c r="B431" i="1"/>
  <c r="L429" i="1"/>
  <c r="I428" i="1"/>
  <c r="N426" i="1"/>
  <c r="J425" i="1"/>
  <c r="D424" i="1"/>
  <c r="A423" i="1"/>
  <c r="J421" i="1"/>
  <c r="D420" i="1"/>
  <c r="M418" i="1"/>
  <c r="I417" i="1"/>
  <c r="F416" i="1"/>
  <c r="M414" i="1"/>
  <c r="I413" i="1"/>
  <c r="H412" i="1"/>
  <c r="G411" i="1"/>
  <c r="E410" i="1"/>
  <c r="D409" i="1"/>
  <c r="A408" i="1"/>
  <c r="N406" i="1"/>
  <c r="N405" i="1"/>
  <c r="N404" i="1"/>
  <c r="M403" i="1"/>
  <c r="I402" i="1"/>
  <c r="I401" i="1"/>
  <c r="I400" i="1"/>
  <c r="H399" i="1"/>
  <c r="G398" i="1"/>
  <c r="B397" i="1"/>
  <c r="A396" i="1"/>
  <c r="M394" i="1"/>
  <c r="K393" i="1"/>
  <c r="I392" i="1"/>
  <c r="E391" i="1"/>
  <c r="D390" i="1"/>
  <c r="J684" i="1"/>
  <c r="J664" i="1"/>
  <c r="N645" i="1"/>
  <c r="L628" i="1"/>
  <c r="H611" i="1"/>
  <c r="K599" i="1"/>
  <c r="A594" i="1"/>
  <c r="B589" i="1"/>
  <c r="C585" i="1"/>
  <c r="J580" i="1"/>
  <c r="D577" i="1"/>
  <c r="M574" i="1"/>
  <c r="L571" i="1"/>
  <c r="M568" i="1"/>
  <c r="K565" i="1"/>
  <c r="L562" i="1"/>
  <c r="I560" i="1"/>
  <c r="O557" i="1"/>
  <c r="J555" i="1"/>
  <c r="A553" i="1"/>
  <c r="J550" i="1"/>
  <c r="M548" i="1"/>
  <c r="E546" i="1"/>
  <c r="A544" i="1"/>
  <c r="H541" i="1"/>
  <c r="K538" i="1"/>
  <c r="L536" i="1"/>
  <c r="C535" i="1"/>
  <c r="I533" i="1"/>
  <c r="I531" i="1"/>
  <c r="F529" i="1"/>
  <c r="J527" i="1"/>
  <c r="J525" i="1"/>
  <c r="L523" i="1"/>
  <c r="L521" i="1"/>
  <c r="G519" i="1"/>
  <c r="J517" i="1"/>
  <c r="J515" i="1"/>
  <c r="J513" i="1"/>
  <c r="I511" i="1"/>
  <c r="D509" i="1"/>
  <c r="I507" i="1"/>
  <c r="E505" i="1"/>
  <c r="G503" i="1"/>
  <c r="G501" i="1"/>
  <c r="E499" i="1"/>
  <c r="H497" i="1"/>
  <c r="H495" i="1"/>
  <c r="F493" i="1"/>
  <c r="G491" i="1"/>
  <c r="L489" i="1"/>
  <c r="F488" i="1"/>
  <c r="L486" i="1"/>
  <c r="A485" i="1"/>
  <c r="K483" i="1"/>
  <c r="L481" i="1"/>
  <c r="E480" i="1"/>
  <c r="M478" i="1"/>
  <c r="E477" i="1"/>
  <c r="K475" i="1"/>
  <c r="K473" i="1"/>
  <c r="E472" i="1"/>
  <c r="N470" i="1"/>
  <c r="J469" i="1"/>
  <c r="G468" i="1"/>
  <c r="M466" i="1"/>
  <c r="K465" i="1"/>
  <c r="E464" i="1"/>
  <c r="C463" i="1"/>
  <c r="L461" i="1"/>
  <c r="F460" i="1"/>
  <c r="C459" i="1"/>
  <c r="M457" i="1"/>
  <c r="K456" i="1"/>
  <c r="G455" i="1"/>
  <c r="N453" i="1"/>
  <c r="I452" i="1"/>
  <c r="G451" i="1"/>
  <c r="A450" i="1"/>
  <c r="L448" i="1"/>
  <c r="C447" i="1"/>
  <c r="M445" i="1"/>
  <c r="I444" i="1"/>
  <c r="B443" i="1"/>
  <c r="L441" i="1"/>
  <c r="E440" i="1"/>
  <c r="B439" i="1"/>
  <c r="K437" i="1"/>
  <c r="G436" i="1"/>
  <c r="C435" i="1"/>
  <c r="J433" i="1"/>
  <c r="H432" i="1"/>
  <c r="A431" i="1"/>
  <c r="K429" i="1"/>
  <c r="E428" i="1"/>
  <c r="M426" i="1"/>
  <c r="G425" i="1"/>
  <c r="B424" i="1"/>
  <c r="N422" i="1"/>
  <c r="I421" i="1"/>
  <c r="B420" i="1"/>
  <c r="L418" i="1"/>
  <c r="H417" i="1"/>
  <c r="B416" i="1"/>
  <c r="L414" i="1"/>
  <c r="H413" i="1"/>
  <c r="G412" i="1"/>
  <c r="E411" i="1"/>
  <c r="D410" i="1"/>
  <c r="C409" i="1"/>
  <c r="N407" i="1"/>
  <c r="M406" i="1"/>
  <c r="M405" i="1"/>
  <c r="M404" i="1"/>
  <c r="L403" i="1"/>
  <c r="H402" i="1"/>
  <c r="H401" i="1"/>
  <c r="H400" i="1"/>
  <c r="G399" i="1"/>
  <c r="E398" i="1"/>
  <c r="A397" i="1"/>
  <c r="N395" i="1"/>
  <c r="L394" i="1"/>
  <c r="J393" i="1"/>
  <c r="H392" i="1"/>
  <c r="D391" i="1"/>
  <c r="I682" i="1"/>
  <c r="G662" i="1"/>
  <c r="A644" i="1"/>
  <c r="G627" i="1"/>
  <c r="I609" i="1"/>
  <c r="G598" i="1"/>
  <c r="M592" i="1"/>
  <c r="M588" i="1"/>
  <c r="I584" i="1"/>
  <c r="I580" i="1"/>
  <c r="K576" i="1"/>
  <c r="H574" i="1"/>
  <c r="K571" i="1"/>
  <c r="L568" i="1"/>
  <c r="E565" i="1"/>
  <c r="J562" i="1"/>
  <c r="B560" i="1"/>
  <c r="N557" i="1"/>
  <c r="I555" i="1"/>
  <c r="O552" i="1"/>
  <c r="I550" i="1"/>
  <c r="H548" i="1"/>
  <c r="D546" i="1"/>
  <c r="N543" i="1"/>
  <c r="D541" i="1"/>
  <c r="I538" i="1"/>
  <c r="H536" i="1"/>
  <c r="B535" i="1"/>
  <c r="H533" i="1"/>
  <c r="F531" i="1"/>
  <c r="E529" i="1"/>
  <c r="E527" i="1"/>
  <c r="I525" i="1"/>
  <c r="K523" i="1"/>
  <c r="G521" i="1"/>
  <c r="E519" i="1"/>
  <c r="E517" i="1"/>
  <c r="I515" i="1"/>
  <c r="I513" i="1"/>
  <c r="E511" i="1"/>
  <c r="B509" i="1"/>
  <c r="B507" i="1"/>
  <c r="D505" i="1"/>
  <c r="E503" i="1"/>
  <c r="C501" i="1"/>
  <c r="D499" i="1"/>
  <c r="A497" i="1"/>
  <c r="E495" i="1"/>
  <c r="E493" i="1"/>
  <c r="C491" i="1"/>
  <c r="K489" i="1"/>
  <c r="E488" i="1"/>
  <c r="K486" i="1"/>
  <c r="N484" i="1"/>
  <c r="E483" i="1"/>
  <c r="K481" i="1"/>
  <c r="D480" i="1"/>
  <c r="L478" i="1"/>
  <c r="D477" i="1"/>
  <c r="H475" i="1"/>
  <c r="J473" i="1"/>
  <c r="D472" i="1"/>
  <c r="M470" i="1"/>
  <c r="I469" i="1"/>
  <c r="A468" i="1"/>
  <c r="L466" i="1"/>
  <c r="J465" i="1"/>
  <c r="D464" i="1"/>
  <c r="B463" i="1"/>
  <c r="I461" i="1"/>
  <c r="E460" i="1"/>
  <c r="B459" i="1"/>
  <c r="L457" i="1"/>
  <c r="J456" i="1"/>
  <c r="C455" i="1"/>
  <c r="M453" i="1"/>
  <c r="H452" i="1"/>
  <c r="F451" i="1"/>
  <c r="N449" i="1"/>
  <c r="I448" i="1"/>
  <c r="B447" i="1"/>
  <c r="L445" i="1"/>
  <c r="H444" i="1"/>
  <c r="A443" i="1"/>
  <c r="I441" i="1"/>
  <c r="D440" i="1"/>
  <c r="A439" i="1"/>
  <c r="J437" i="1"/>
  <c r="F436" i="1"/>
  <c r="L434" i="1"/>
  <c r="I433" i="1"/>
  <c r="G432" i="1"/>
  <c r="N430" i="1"/>
  <c r="J429" i="1"/>
  <c r="A428" i="1"/>
  <c r="L426" i="1"/>
  <c r="F425" i="1"/>
  <c r="A424" i="1"/>
  <c r="M422" i="1"/>
  <c r="E421" i="1"/>
  <c r="A420" i="1"/>
  <c r="K418" i="1"/>
  <c r="G417" i="1"/>
  <c r="A416" i="1"/>
  <c r="I414" i="1"/>
  <c r="G413" i="1"/>
  <c r="E412" i="1"/>
  <c r="D411" i="1"/>
  <c r="B410" i="1"/>
  <c r="N408" i="1"/>
  <c r="M407" i="1"/>
  <c r="L406" i="1"/>
  <c r="L405" i="1"/>
  <c r="L404" i="1"/>
  <c r="I403" i="1"/>
  <c r="G402" i="1"/>
  <c r="G401" i="1"/>
  <c r="G400" i="1"/>
  <c r="E399" i="1"/>
  <c r="A398" i="1"/>
  <c r="N396" i="1"/>
  <c r="M395" i="1"/>
  <c r="K394" i="1"/>
  <c r="I393" i="1"/>
  <c r="D392" i="1"/>
  <c r="C391" i="1"/>
  <c r="A390" i="1"/>
  <c r="J681" i="1"/>
  <c r="P660" i="1"/>
  <c r="B643" i="1"/>
  <c r="B626" i="1"/>
  <c r="J608" i="1"/>
  <c r="N597" i="1"/>
  <c r="L592" i="1"/>
  <c r="L588" i="1"/>
  <c r="H584" i="1"/>
  <c r="H580" i="1"/>
  <c r="J576" i="1"/>
  <c r="D574" i="1"/>
  <c r="J571" i="1"/>
  <c r="D568" i="1"/>
  <c r="N564" i="1"/>
  <c r="I562" i="1"/>
  <c r="A560" i="1"/>
  <c r="M557" i="1"/>
  <c r="E555" i="1"/>
  <c r="L552" i="1"/>
  <c r="H550" i="1"/>
  <c r="D548" i="1"/>
  <c r="C546" i="1"/>
  <c r="I543" i="1"/>
  <c r="L540" i="1"/>
  <c r="H538" i="1"/>
  <c r="E536" i="1"/>
  <c r="A535" i="1"/>
  <c r="D533" i="1"/>
  <c r="D531" i="1"/>
  <c r="D529" i="1"/>
  <c r="D527" i="1"/>
  <c r="H525" i="1"/>
  <c r="I523" i="1"/>
  <c r="D521" i="1"/>
  <c r="D519" i="1"/>
  <c r="D517" i="1"/>
  <c r="H515" i="1"/>
  <c r="G513" i="1"/>
  <c r="N510" i="1"/>
  <c r="A509" i="1"/>
  <c r="A507" i="1"/>
  <c r="B505" i="1"/>
  <c r="B503" i="1"/>
  <c r="A501" i="1"/>
  <c r="N498" i="1"/>
  <c r="N496" i="1"/>
  <c r="D495" i="1"/>
  <c r="C493" i="1"/>
  <c r="B491" i="1"/>
  <c r="H489" i="1"/>
  <c r="A488" i="1"/>
  <c r="J486" i="1"/>
  <c r="M484" i="1"/>
  <c r="D483" i="1"/>
  <c r="H481" i="1"/>
  <c r="C480" i="1"/>
  <c r="I478" i="1"/>
  <c r="N476" i="1"/>
  <c r="A475" i="1"/>
  <c r="I473" i="1"/>
  <c r="C472" i="1"/>
  <c r="L470" i="1"/>
  <c r="H469" i="1"/>
  <c r="N467" i="1"/>
  <c r="K466" i="1"/>
  <c r="G465" i="1"/>
  <c r="C464" i="1"/>
  <c r="A463" i="1"/>
  <c r="H461" i="1"/>
  <c r="D460" i="1"/>
  <c r="A459" i="1"/>
  <c r="K457" i="1"/>
  <c r="G456" i="1"/>
  <c r="B455" i="1"/>
  <c r="J453" i="1"/>
  <c r="G452" i="1"/>
  <c r="E451" i="1"/>
  <c r="M449" i="1"/>
  <c r="H448" i="1"/>
  <c r="A447" i="1"/>
  <c r="K445" i="1"/>
  <c r="D444" i="1"/>
  <c r="N442" i="1"/>
  <c r="F441" i="1"/>
  <c r="C440" i="1"/>
  <c r="N438" i="1"/>
  <c r="I437" i="1"/>
  <c r="E436" i="1"/>
  <c r="K434" i="1"/>
  <c r="H433" i="1"/>
  <c r="D432" i="1"/>
  <c r="M430" i="1"/>
  <c r="I429" i="1"/>
  <c r="N427" i="1"/>
  <c r="K426" i="1"/>
  <c r="E425" i="1"/>
  <c r="N423" i="1"/>
  <c r="J422" i="1"/>
  <c r="D421" i="1"/>
  <c r="L419" i="1"/>
  <c r="J418" i="1"/>
  <c r="F417" i="1"/>
  <c r="N415" i="1"/>
  <c r="H414" i="1"/>
  <c r="F413" i="1"/>
  <c r="D412" i="1"/>
  <c r="C411" i="1"/>
  <c r="A410" i="1"/>
  <c r="M408" i="1"/>
  <c r="L407" i="1"/>
  <c r="K406" i="1"/>
  <c r="K405" i="1"/>
  <c r="K404" i="1"/>
  <c r="H403" i="1"/>
  <c r="F402" i="1"/>
  <c r="E401" i="1"/>
  <c r="F400" i="1"/>
  <c r="D399" i="1"/>
  <c r="O397" i="1"/>
  <c r="M396" i="1"/>
  <c r="L395" i="1"/>
  <c r="J394" i="1"/>
  <c r="H393" i="1"/>
  <c r="B392" i="1"/>
  <c r="B391" i="1"/>
  <c r="N389" i="1"/>
  <c r="F679" i="1"/>
  <c r="E659" i="1"/>
  <c r="B641" i="1"/>
  <c r="E624" i="1"/>
  <c r="J606" i="1"/>
  <c r="H597" i="1"/>
  <c r="B592" i="1"/>
  <c r="K588" i="1"/>
  <c r="L583" i="1"/>
  <c r="Q579" i="1"/>
  <c r="H576" i="1"/>
  <c r="A574" i="1"/>
  <c r="A571" i="1"/>
  <c r="J567" i="1"/>
  <c r="M564" i="1"/>
  <c r="H562" i="1"/>
  <c r="L559" i="1"/>
  <c r="D557" i="1"/>
  <c r="I554" i="1"/>
  <c r="K552" i="1"/>
  <c r="G550" i="1"/>
  <c r="C548" i="1"/>
  <c r="L545" i="1"/>
  <c r="A543" i="1"/>
  <c r="K540" i="1"/>
  <c r="G538" i="1"/>
  <c r="D536" i="1"/>
  <c r="I534" i="1"/>
  <c r="L532" i="1"/>
  <c r="B531" i="1"/>
  <c r="B529" i="1"/>
  <c r="C527" i="1"/>
  <c r="A525" i="1"/>
  <c r="M522" i="1"/>
  <c r="C521" i="1"/>
  <c r="B519" i="1"/>
  <c r="B517" i="1"/>
  <c r="B515" i="1"/>
  <c r="K512" i="1"/>
  <c r="M510" i="1"/>
  <c r="N508" i="1"/>
  <c r="N506" i="1"/>
  <c r="L504" i="1"/>
  <c r="H502" i="1"/>
  <c r="L500" i="1"/>
  <c r="M498" i="1"/>
  <c r="M496" i="1"/>
  <c r="M494" i="1"/>
  <c r="K492" i="1"/>
  <c r="A491" i="1"/>
  <c r="G489" i="1"/>
  <c r="N487" i="1"/>
  <c r="I486" i="1"/>
  <c r="J484" i="1"/>
  <c r="B483" i="1"/>
  <c r="G481" i="1"/>
  <c r="B480" i="1"/>
  <c r="H478" i="1"/>
  <c r="K476" i="1"/>
  <c r="N474" i="1"/>
  <c r="H473" i="1"/>
  <c r="B472" i="1"/>
  <c r="K470" i="1"/>
  <c r="E469" i="1"/>
  <c r="M467" i="1"/>
  <c r="J466" i="1"/>
  <c r="E465" i="1"/>
  <c r="B464" i="1"/>
  <c r="J462" i="1"/>
  <c r="G461" i="1"/>
  <c r="C460" i="1"/>
  <c r="N458" i="1"/>
  <c r="J457" i="1"/>
  <c r="D456" i="1"/>
  <c r="A455" i="1"/>
  <c r="I453" i="1"/>
  <c r="F452" i="1"/>
  <c r="D451" i="1"/>
  <c r="J449" i="1"/>
  <c r="G448" i="1"/>
  <c r="N446" i="1"/>
  <c r="J445" i="1"/>
  <c r="B444" i="1"/>
  <c r="K442" i="1"/>
  <c r="E441" i="1"/>
  <c r="B440" i="1"/>
  <c r="M438" i="1"/>
  <c r="H437" i="1"/>
  <c r="A436" i="1"/>
  <c r="J434" i="1"/>
  <c r="G433" i="1"/>
  <c r="B432" i="1"/>
  <c r="L430" i="1"/>
  <c r="D429" i="1"/>
  <c r="M427" i="1"/>
  <c r="J426" i="1"/>
  <c r="D425" i="1"/>
  <c r="M423" i="1"/>
  <c r="G422" i="1"/>
  <c r="C421" i="1"/>
  <c r="K419" i="1"/>
  <c r="I418" i="1"/>
  <c r="E417" i="1"/>
  <c r="K415" i="1"/>
  <c r="G414" i="1"/>
  <c r="E413" i="1"/>
  <c r="C412" i="1"/>
  <c r="B411" i="1"/>
  <c r="L409" i="1"/>
  <c r="L408" i="1"/>
  <c r="K407" i="1"/>
  <c r="J406" i="1"/>
  <c r="J405" i="1"/>
  <c r="H404" i="1"/>
  <c r="G403" i="1"/>
  <c r="E402" i="1"/>
  <c r="D401" i="1"/>
  <c r="E400" i="1"/>
  <c r="O398" i="1"/>
  <c r="N397" i="1"/>
  <c r="L396" i="1"/>
  <c r="K395" i="1"/>
  <c r="I394" i="1"/>
  <c r="D393" i="1"/>
  <c r="A392" i="1"/>
  <c r="A391" i="1"/>
  <c r="M389" i="1"/>
  <c r="R677" i="1"/>
  <c r="D657" i="1"/>
  <c r="L639" i="1"/>
  <c r="N622" i="1"/>
  <c r="B605" i="1"/>
  <c r="B597" i="1"/>
  <c r="L591" i="1"/>
  <c r="D587" i="1"/>
  <c r="D583" i="1"/>
  <c r="H579" i="1"/>
  <c r="D576" i="1"/>
  <c r="N573" i="1"/>
  <c r="K570" i="1"/>
  <c r="B567" i="1"/>
  <c r="L564" i="1"/>
  <c r="Q561" i="1"/>
  <c r="K559" i="1"/>
  <c r="C557" i="1"/>
  <c r="H554" i="1"/>
  <c r="J552" i="1"/>
  <c r="C550" i="1"/>
  <c r="B548" i="1"/>
  <c r="H545" i="1"/>
  <c r="K542" i="1"/>
  <c r="J540" i="1"/>
  <c r="A538" i="1"/>
  <c r="B536" i="1"/>
  <c r="H534" i="1"/>
  <c r="K532" i="1"/>
  <c r="A531" i="1"/>
  <c r="N528" i="1"/>
  <c r="N526" i="1"/>
  <c r="N524" i="1"/>
  <c r="L522" i="1"/>
  <c r="B521" i="1"/>
  <c r="N518" i="1"/>
  <c r="A517" i="1"/>
  <c r="M514" i="1"/>
  <c r="J512" i="1"/>
  <c r="L510" i="1"/>
  <c r="L508" i="1"/>
  <c r="M506" i="1"/>
  <c r="K504" i="1"/>
  <c r="G502" i="1"/>
  <c r="K500" i="1"/>
  <c r="K498" i="1"/>
  <c r="L496" i="1"/>
  <c r="L494" i="1"/>
  <c r="H492" i="1"/>
  <c r="N490" i="1"/>
  <c r="F489" i="1"/>
  <c r="M487" i="1"/>
  <c r="B486" i="1"/>
  <c r="I484" i="1"/>
  <c r="M482" i="1"/>
  <c r="F481" i="1"/>
  <c r="A480" i="1"/>
  <c r="G478" i="1"/>
  <c r="J476" i="1"/>
  <c r="M474" i="1"/>
  <c r="G473" i="1"/>
  <c r="M471" i="1"/>
  <c r="J470" i="1"/>
  <c r="A469" i="1"/>
  <c r="L467" i="1"/>
  <c r="I466" i="1"/>
  <c r="D465" i="1"/>
  <c r="A464" i="1"/>
  <c r="I462" i="1"/>
  <c r="E461" i="1"/>
  <c r="O459" i="1"/>
  <c r="M458" i="1"/>
  <c r="I457" i="1"/>
  <c r="C456" i="1"/>
  <c r="N454" i="1"/>
  <c r="H453" i="1"/>
  <c r="E452" i="1"/>
  <c r="N450" i="1"/>
  <c r="I449" i="1"/>
  <c r="B448" i="1"/>
  <c r="M446" i="1"/>
  <c r="I445" i="1"/>
  <c r="A444" i="1"/>
  <c r="J442" i="1"/>
  <c r="D441" i="1"/>
  <c r="A440" i="1"/>
  <c r="G676" i="1"/>
  <c r="D655" i="1"/>
  <c r="E638" i="1"/>
  <c r="A621" i="1"/>
  <c r="J603" i="1"/>
  <c r="A597" i="1"/>
  <c r="K591" i="1"/>
  <c r="P586" i="1"/>
  <c r="B583" i="1"/>
  <c r="E579" i="1"/>
  <c r="A576" i="1"/>
  <c r="M573" i="1"/>
  <c r="H570" i="1"/>
  <c r="A567" i="1"/>
  <c r="E564" i="1"/>
  <c r="P561" i="1"/>
  <c r="J559" i="1"/>
  <c r="Q556" i="1"/>
  <c r="F554" i="1"/>
  <c r="C552" i="1"/>
  <c r="B550" i="1"/>
  <c r="A548" i="1"/>
  <c r="D545" i="1"/>
  <c r="J542" i="1"/>
  <c r="D540" i="1"/>
  <c r="N537" i="1"/>
  <c r="A536" i="1"/>
  <c r="D534" i="1"/>
  <c r="J532" i="1"/>
  <c r="I530" i="1"/>
  <c r="K528" i="1"/>
  <c r="M526" i="1"/>
  <c r="K524" i="1"/>
  <c r="K522" i="1"/>
  <c r="L520" i="1"/>
  <c r="M518" i="1"/>
  <c r="N516" i="1"/>
  <c r="J514" i="1"/>
  <c r="I512" i="1"/>
  <c r="H510" i="1"/>
  <c r="K508" i="1"/>
  <c r="L506" i="1"/>
  <c r="F504" i="1"/>
  <c r="F502" i="1"/>
  <c r="G500" i="1"/>
  <c r="J498" i="1"/>
  <c r="K496" i="1"/>
  <c r="I494" i="1"/>
  <c r="G492" i="1"/>
  <c r="M490" i="1"/>
  <c r="E489" i="1"/>
  <c r="L487" i="1"/>
  <c r="M485" i="1"/>
  <c r="H484" i="1"/>
  <c r="L482" i="1"/>
  <c r="E481" i="1"/>
  <c r="N479" i="1"/>
  <c r="D478" i="1"/>
  <c r="I476" i="1"/>
  <c r="L474" i="1"/>
  <c r="E473" i="1"/>
  <c r="L471" i="1"/>
  <c r="G470" i="1"/>
  <c r="N468" i="1"/>
  <c r="K467" i="1"/>
  <c r="H466" i="1"/>
  <c r="C465" i="1"/>
  <c r="M463" i="1"/>
  <c r="H462" i="1"/>
  <c r="D461" i="1"/>
  <c r="N459" i="1"/>
  <c r="L458" i="1"/>
  <c r="D457" i="1"/>
  <c r="B456" i="1"/>
  <c r="M454" i="1"/>
  <c r="G453" i="1"/>
  <c r="D452" i="1"/>
  <c r="K450" i="1"/>
  <c r="H449" i="1"/>
  <c r="A448" i="1"/>
  <c r="L446" i="1"/>
  <c r="H445" i="1"/>
  <c r="L443" i="1"/>
  <c r="I442" i="1"/>
  <c r="B441" i="1"/>
  <c r="N439" i="1"/>
  <c r="I438" i="1"/>
  <c r="B437" i="1"/>
  <c r="K435" i="1"/>
  <c r="H434" i="1"/>
  <c r="E433" i="1"/>
  <c r="N431" i="1"/>
  <c r="H430" i="1"/>
  <c r="A429" i="1"/>
  <c r="K427" i="1"/>
  <c r="E426" i="1"/>
  <c r="A425" i="1"/>
  <c r="G423" i="1"/>
  <c r="D422" i="1"/>
  <c r="A421" i="1"/>
  <c r="I419" i="1"/>
  <c r="G418" i="1"/>
  <c r="L416" i="1"/>
  <c r="I415" i="1"/>
  <c r="D414" i="1"/>
  <c r="B413" i="1"/>
  <c r="A412" i="1"/>
  <c r="L410" i="1"/>
  <c r="J409" i="1"/>
  <c r="J408" i="1"/>
  <c r="I407" i="1"/>
  <c r="H406" i="1"/>
  <c r="F405" i="1"/>
  <c r="F404" i="1"/>
  <c r="D403" i="1"/>
  <c r="C402" i="1"/>
  <c r="B401" i="1"/>
  <c r="N399" i="1"/>
  <c r="M398" i="1"/>
  <c r="L397" i="1"/>
  <c r="J396" i="1"/>
  <c r="I395" i="1"/>
  <c r="D394" i="1"/>
  <c r="A393" i="1"/>
  <c r="M391" i="1"/>
  <c r="M390" i="1"/>
  <c r="K389" i="1"/>
  <c r="N674" i="1"/>
  <c r="D654" i="1"/>
  <c r="D637" i="1"/>
  <c r="I620" i="1"/>
  <c r="H602" i="1"/>
  <c r="O596" i="1"/>
  <c r="H591" i="1"/>
  <c r="O586" i="1"/>
  <c r="A583" i="1"/>
  <c r="D579" i="1"/>
  <c r="R575" i="1"/>
  <c r="J573" i="1"/>
  <c r="B570" i="1"/>
  <c r="N566" i="1"/>
  <c r="R563" i="1"/>
  <c r="O561" i="1"/>
  <c r="D559" i="1"/>
  <c r="J556" i="1"/>
  <c r="E554" i="1"/>
  <c r="B552" i="1"/>
  <c r="A550" i="1"/>
  <c r="L547" i="1"/>
  <c r="A545" i="1"/>
  <c r="I542" i="1"/>
  <c r="N539" i="1"/>
  <c r="M537" i="1"/>
  <c r="Q535" i="1"/>
  <c r="B534" i="1"/>
  <c r="G532" i="1"/>
  <c r="H530" i="1"/>
  <c r="J528" i="1"/>
  <c r="K526" i="1"/>
  <c r="I524" i="1"/>
  <c r="J522" i="1"/>
  <c r="I520" i="1"/>
  <c r="L518" i="1"/>
  <c r="J516" i="1"/>
  <c r="H514" i="1"/>
  <c r="H512" i="1"/>
  <c r="G510" i="1"/>
  <c r="J508" i="1"/>
  <c r="J506" i="1"/>
  <c r="D504" i="1"/>
  <c r="E502" i="1"/>
  <c r="F500" i="1"/>
  <c r="I498" i="1"/>
  <c r="I496" i="1"/>
  <c r="D494" i="1"/>
  <c r="F492" i="1"/>
  <c r="H490" i="1"/>
  <c r="D489" i="1"/>
  <c r="K487" i="1"/>
  <c r="L485" i="1"/>
  <c r="E484" i="1"/>
  <c r="K482" i="1"/>
  <c r="D481" i="1"/>
  <c r="I479" i="1"/>
  <c r="N477" i="1"/>
  <c r="E476" i="1"/>
  <c r="K474" i="1"/>
  <c r="A473" i="1"/>
  <c r="K471" i="1"/>
  <c r="E470" i="1"/>
  <c r="M468" i="1"/>
  <c r="J467" i="1"/>
  <c r="E466" i="1"/>
  <c r="B465" i="1"/>
  <c r="J463" i="1"/>
  <c r="G462" i="1"/>
  <c r="B461" i="1"/>
  <c r="M459" i="1"/>
  <c r="K458" i="1"/>
  <c r="C457" i="1"/>
  <c r="A456" i="1"/>
  <c r="J454" i="1"/>
  <c r="E453" i="1"/>
  <c r="C452" i="1"/>
  <c r="J450" i="1"/>
  <c r="G449" i="1"/>
  <c r="N447" i="1"/>
  <c r="K446" i="1"/>
  <c r="D445" i="1"/>
  <c r="K443" i="1"/>
  <c r="E442" i="1"/>
  <c r="A441" i="1"/>
  <c r="M439" i="1"/>
  <c r="H438" i="1"/>
  <c r="A437" i="1"/>
  <c r="J435" i="1"/>
  <c r="G434" i="1"/>
  <c r="B433" i="1"/>
  <c r="M431" i="1"/>
  <c r="D430" i="1"/>
  <c r="N428" i="1"/>
  <c r="J427" i="1"/>
  <c r="D426" i="1"/>
  <c r="N424" i="1"/>
  <c r="F423" i="1"/>
  <c r="C422" i="1"/>
  <c r="L420" i="1"/>
  <c r="H419" i="1"/>
  <c r="E418" i="1"/>
  <c r="K416" i="1"/>
  <c r="H415" i="1"/>
  <c r="B414" i="1"/>
  <c r="A413" i="1"/>
  <c r="N411" i="1"/>
  <c r="K410" i="1"/>
  <c r="I409" i="1"/>
  <c r="I408" i="1"/>
  <c r="H407" i="1"/>
  <c r="G406" i="1"/>
  <c r="E405" i="1"/>
  <c r="E404" i="1"/>
  <c r="B403" i="1"/>
  <c r="B402" i="1"/>
  <c r="A401" i="1"/>
  <c r="M399" i="1"/>
  <c r="L398" i="1"/>
  <c r="K397" i="1"/>
  <c r="I396" i="1"/>
  <c r="H395" i="1"/>
  <c r="B394" i="1"/>
  <c r="N392" i="1"/>
  <c r="L391" i="1"/>
  <c r="L390" i="1"/>
  <c r="J389" i="1"/>
  <c r="G673" i="1"/>
  <c r="D652" i="1"/>
  <c r="J635" i="1"/>
  <c r="B619" i="1"/>
  <c r="D601" i="1"/>
  <c r="N595" i="1"/>
  <c r="R590" i="1"/>
  <c r="L586" i="1"/>
  <c r="O582" i="1"/>
  <c r="J578" i="1"/>
  <c r="K575" i="1"/>
  <c r="K572" i="1"/>
  <c r="A570" i="1"/>
  <c r="M566" i="1"/>
  <c r="Q563" i="1"/>
  <c r="J561" i="1"/>
  <c r="J558" i="1"/>
  <c r="I556" i="1"/>
  <c r="D554" i="1"/>
  <c r="N551" i="1"/>
  <c r="H549" i="1"/>
  <c r="A547" i="1"/>
  <c r="N544" i="1"/>
  <c r="H542" i="1"/>
  <c r="M539" i="1"/>
  <c r="I537" i="1"/>
  <c r="I535" i="1"/>
  <c r="Q533" i="1"/>
  <c r="F532" i="1"/>
  <c r="G530" i="1"/>
  <c r="F528" i="1"/>
  <c r="D526" i="1"/>
  <c r="H524" i="1"/>
  <c r="I522" i="1"/>
  <c r="H520" i="1"/>
  <c r="F518" i="1"/>
  <c r="D516" i="1"/>
  <c r="G514" i="1"/>
  <c r="G512" i="1"/>
  <c r="F510" i="1"/>
  <c r="D508" i="1"/>
  <c r="N505" i="1"/>
  <c r="C504" i="1"/>
  <c r="D502" i="1"/>
  <c r="E500" i="1"/>
  <c r="E498" i="1"/>
  <c r="N495" i="1"/>
  <c r="B494" i="1"/>
  <c r="E492" i="1"/>
  <c r="G490" i="1"/>
  <c r="C489" i="1"/>
  <c r="E487" i="1"/>
  <c r="K485" i="1"/>
  <c r="D484" i="1"/>
  <c r="J482" i="1"/>
  <c r="B481" i="1"/>
  <c r="F479" i="1"/>
  <c r="M477" i="1"/>
  <c r="D476" i="1"/>
  <c r="J474" i="1"/>
  <c r="N472" i="1"/>
  <c r="H471" i="1"/>
  <c r="D470" i="1"/>
  <c r="L468" i="1"/>
  <c r="I467" i="1"/>
  <c r="D466" i="1"/>
  <c r="M464" i="1"/>
  <c r="I463" i="1"/>
  <c r="F462" i="1"/>
  <c r="A461" i="1"/>
  <c r="L459" i="1"/>
  <c r="H458" i="1"/>
  <c r="B457" i="1"/>
  <c r="N455" i="1"/>
  <c r="I454" i="1"/>
  <c r="D453" i="1"/>
  <c r="L451" i="1"/>
  <c r="I450" i="1"/>
  <c r="F449" i="1"/>
  <c r="M447" i="1"/>
  <c r="J446" i="1"/>
  <c r="N444" i="1"/>
  <c r="J443" i="1"/>
  <c r="D442" i="1"/>
  <c r="N440" i="1"/>
  <c r="L439" i="1"/>
  <c r="E438" i="1"/>
  <c r="N436" i="1"/>
  <c r="I435" i="1"/>
  <c r="E434" i="1"/>
  <c r="A433" i="1"/>
  <c r="J431" i="1"/>
  <c r="B430" i="1"/>
  <c r="M428" i="1"/>
  <c r="I427" i="1"/>
  <c r="B426" i="1"/>
  <c r="K424" i="1"/>
  <c r="E423" i="1"/>
  <c r="B422" i="1"/>
  <c r="K420" i="1"/>
  <c r="G419" i="1"/>
  <c r="M417" i="1"/>
  <c r="J416" i="1"/>
  <c r="G415" i="1"/>
  <c r="A414" i="1"/>
  <c r="N412" i="1"/>
  <c r="K411" i="1"/>
  <c r="J410" i="1"/>
  <c r="H409" i="1"/>
  <c r="H408" i="1"/>
  <c r="G407" i="1"/>
  <c r="D406" i="1"/>
  <c r="D405" i="1"/>
  <c r="D404" i="1"/>
  <c r="A403" i="1"/>
  <c r="A402" i="1"/>
  <c r="M400" i="1"/>
  <c r="L399" i="1"/>
  <c r="K398" i="1"/>
  <c r="J397" i="1"/>
  <c r="H396" i="1"/>
  <c r="D395" i="1"/>
  <c r="A394" i="1"/>
  <c r="M392" i="1"/>
  <c r="K391" i="1"/>
  <c r="K390" i="1"/>
  <c r="G389" i="1"/>
  <c r="E388" i="1"/>
  <c r="C387" i="1"/>
  <c r="A386" i="1"/>
  <c r="N384" i="1"/>
  <c r="K383" i="1"/>
  <c r="J382" i="1"/>
  <c r="J381" i="1"/>
  <c r="H380" i="1"/>
  <c r="G379" i="1"/>
  <c r="C378" i="1"/>
  <c r="B377" i="1"/>
  <c r="A376" i="1"/>
  <c r="M374" i="1"/>
  <c r="K373" i="1"/>
  <c r="H372" i="1"/>
  <c r="G371" i="1"/>
  <c r="E370" i="1"/>
  <c r="E369" i="1"/>
  <c r="C368" i="1"/>
  <c r="N366" i="1"/>
  <c r="L365" i="1"/>
  <c r="L364" i="1"/>
  <c r="K363" i="1"/>
  <c r="J362" i="1"/>
  <c r="F361" i="1"/>
  <c r="D360" i="1"/>
  <c r="B359" i="1"/>
  <c r="N357" i="1"/>
  <c r="M356" i="1"/>
  <c r="J355" i="1"/>
  <c r="I354" i="1"/>
  <c r="H353" i="1"/>
  <c r="G352" i="1"/>
  <c r="F351" i="1"/>
  <c r="B350" i="1"/>
  <c r="B349" i="1"/>
  <c r="A348" i="1"/>
  <c r="N346" i="1"/>
  <c r="M345" i="1"/>
  <c r="J344" i="1"/>
  <c r="J343" i="1"/>
  <c r="I342" i="1"/>
  <c r="G341" i="1"/>
  <c r="D340" i="1"/>
  <c r="N338" i="1"/>
  <c r="L337" i="1"/>
  <c r="K336" i="1"/>
  <c r="J335" i="1"/>
  <c r="I334" i="1"/>
  <c r="G333" i="1"/>
  <c r="E332" i="1"/>
  <c r="D331" i="1"/>
  <c r="D330" i="1"/>
  <c r="A329" i="1"/>
  <c r="M327" i="1"/>
  <c r="L326" i="1"/>
  <c r="K325" i="1"/>
  <c r="J324" i="1"/>
  <c r="I323" i="1"/>
  <c r="D322" i="1"/>
  <c r="C321" i="1"/>
  <c r="A320" i="1"/>
  <c r="N318" i="1"/>
  <c r="N317" i="1"/>
  <c r="M316" i="1"/>
  <c r="A316" i="1"/>
  <c r="C315" i="1"/>
  <c r="E314" i="1"/>
  <c r="G313" i="1"/>
  <c r="H312" i="1"/>
  <c r="I311" i="1"/>
  <c r="K310" i="1"/>
  <c r="L309" i="1"/>
  <c r="N308" i="1"/>
  <c r="A308" i="1"/>
  <c r="A307" i="1"/>
  <c r="B306" i="1"/>
  <c r="D305" i="1"/>
  <c r="E304" i="1"/>
  <c r="G303" i="1"/>
  <c r="H302" i="1"/>
  <c r="I301" i="1"/>
  <c r="I300" i="1"/>
  <c r="J299" i="1"/>
  <c r="J298" i="1"/>
  <c r="L297" i="1"/>
  <c r="N296" i="1"/>
  <c r="A296" i="1"/>
  <c r="A295" i="1"/>
  <c r="C294" i="1"/>
  <c r="E293" i="1"/>
  <c r="E292" i="1"/>
  <c r="E291" i="1"/>
  <c r="G290" i="1"/>
  <c r="H289" i="1"/>
  <c r="K288" i="1"/>
  <c r="M287" i="1"/>
  <c r="A287" i="1"/>
  <c r="B286" i="1"/>
  <c r="C285" i="1"/>
  <c r="D284" i="1"/>
  <c r="E283" i="1"/>
  <c r="E282" i="1"/>
  <c r="F281" i="1"/>
  <c r="G280" i="1"/>
  <c r="I279" i="1"/>
  <c r="J278" i="1"/>
  <c r="K277" i="1"/>
  <c r="K276" i="1"/>
  <c r="K275" i="1"/>
  <c r="M274" i="1"/>
  <c r="A274" i="1"/>
  <c r="A273" i="1"/>
  <c r="B272" i="1"/>
  <c r="B271" i="1"/>
  <c r="D270" i="1"/>
  <c r="F269" i="1"/>
  <c r="G268" i="1"/>
  <c r="H267" i="1"/>
  <c r="K266" i="1"/>
  <c r="M265" i="1"/>
  <c r="M264" i="1"/>
  <c r="N263" i="1"/>
  <c r="N262" i="1"/>
  <c r="B262" i="1"/>
  <c r="C261" i="1"/>
  <c r="E260" i="1"/>
  <c r="E259" i="1"/>
  <c r="E258" i="1"/>
  <c r="E257" i="1"/>
  <c r="F256" i="1"/>
  <c r="G255" i="1"/>
  <c r="H254" i="1"/>
  <c r="H253" i="1"/>
  <c r="J252" i="1"/>
  <c r="K251" i="1"/>
  <c r="K250" i="1"/>
  <c r="K249" i="1"/>
  <c r="L248" i="1"/>
  <c r="L247" i="1"/>
  <c r="L246" i="1"/>
  <c r="M245" i="1"/>
  <c r="M244" i="1"/>
  <c r="M243" i="1"/>
  <c r="N242" i="1"/>
  <c r="B242" i="1"/>
  <c r="D241" i="1"/>
  <c r="F240" i="1"/>
  <c r="G239" i="1"/>
  <c r="H238" i="1"/>
  <c r="J237" i="1"/>
  <c r="L236" i="1"/>
  <c r="L235" i="1"/>
  <c r="M234" i="1"/>
  <c r="N233" i="1"/>
  <c r="N232" i="1"/>
  <c r="B232" i="1"/>
  <c r="C231" i="1"/>
  <c r="E230" i="1"/>
  <c r="F229" i="1"/>
  <c r="G228" i="1"/>
  <c r="H227" i="1"/>
  <c r="I226" i="1"/>
  <c r="J225" i="1"/>
  <c r="J224" i="1"/>
  <c r="K223" i="1"/>
  <c r="L222" i="1"/>
  <c r="L221" i="1"/>
  <c r="N220" i="1"/>
  <c r="B220" i="1"/>
  <c r="D219" i="1"/>
  <c r="G218" i="1"/>
  <c r="I217" i="1"/>
  <c r="K216" i="1"/>
  <c r="L215" i="1"/>
  <c r="N214" i="1"/>
  <c r="A214" i="1"/>
  <c r="B213" i="1"/>
  <c r="C212" i="1"/>
  <c r="D211" i="1"/>
  <c r="D210" i="1"/>
  <c r="D209" i="1"/>
  <c r="D208" i="1"/>
  <c r="D207" i="1"/>
  <c r="E206" i="1"/>
  <c r="F205" i="1"/>
  <c r="G204" i="1"/>
  <c r="H203" i="1"/>
  <c r="H202" i="1"/>
  <c r="J201" i="1"/>
  <c r="L200" i="1"/>
  <c r="O199" i="1"/>
  <c r="C199" i="1"/>
  <c r="G198" i="1"/>
  <c r="R671" i="1"/>
  <c r="N650" i="1"/>
  <c r="F634" i="1"/>
  <c r="J617" i="1"/>
  <c r="O600" i="1"/>
  <c r="F595" i="1"/>
  <c r="G590" i="1"/>
  <c r="F586" i="1"/>
  <c r="L581" i="1"/>
  <c r="I578" i="1"/>
  <c r="J575" i="1"/>
  <c r="J572" i="1"/>
  <c r="N569" i="1"/>
  <c r="J566" i="1"/>
  <c r="P563" i="1"/>
  <c r="D561" i="1"/>
  <c r="F558" i="1"/>
  <c r="H556" i="1"/>
  <c r="M553" i="1"/>
  <c r="M551" i="1"/>
  <c r="G549" i="1"/>
  <c r="N546" i="1"/>
  <c r="M544" i="1"/>
  <c r="D542" i="1"/>
  <c r="L539" i="1"/>
  <c r="H537" i="1"/>
  <c r="H535" i="1"/>
  <c r="P533" i="1"/>
  <c r="D532" i="1"/>
  <c r="E530" i="1"/>
  <c r="E528" i="1"/>
  <c r="A526" i="1"/>
  <c r="G524" i="1"/>
  <c r="E522" i="1"/>
  <c r="G520" i="1"/>
  <c r="E518" i="1"/>
  <c r="C516" i="1"/>
  <c r="E514" i="1"/>
  <c r="D512" i="1"/>
  <c r="C510" i="1"/>
  <c r="B508" i="1"/>
  <c r="M505" i="1"/>
  <c r="B504" i="1"/>
  <c r="B502" i="1"/>
  <c r="D500" i="1"/>
  <c r="A498" i="1"/>
  <c r="M495" i="1"/>
  <c r="A494" i="1"/>
  <c r="B492" i="1"/>
  <c r="F490" i="1"/>
  <c r="N488" i="1"/>
  <c r="B487" i="1"/>
  <c r="J485" i="1"/>
  <c r="A484" i="1"/>
  <c r="G482" i="1"/>
  <c r="A481" i="1"/>
  <c r="E479" i="1"/>
  <c r="L477" i="1"/>
  <c r="A476" i="1"/>
  <c r="I474" i="1"/>
  <c r="K472" i="1"/>
  <c r="G471" i="1"/>
  <c r="N469" i="1"/>
  <c r="K468" i="1"/>
  <c r="H467" i="1"/>
  <c r="C466" i="1"/>
  <c r="L464" i="1"/>
  <c r="H463" i="1"/>
  <c r="E462" i="1"/>
  <c r="L460" i="1"/>
  <c r="K459" i="1"/>
  <c r="D458" i="1"/>
  <c r="A457" i="1"/>
  <c r="M455" i="1"/>
  <c r="H454" i="1"/>
  <c r="C453" i="1"/>
  <c r="K451" i="1"/>
  <c r="H450" i="1"/>
  <c r="B449" i="1"/>
  <c r="L447" i="1"/>
  <c r="I446" i="1"/>
  <c r="M444" i="1"/>
  <c r="I443" i="1"/>
  <c r="B442" i="1"/>
  <c r="M440" i="1"/>
  <c r="I439" i="1"/>
  <c r="D438" i="1"/>
  <c r="K436" i="1"/>
  <c r="H435" i="1"/>
  <c r="D434" i="1"/>
  <c r="N432" i="1"/>
  <c r="I431" i="1"/>
  <c r="A430" i="1"/>
  <c r="L428" i="1"/>
  <c r="F427" i="1"/>
  <c r="A426" i="1"/>
  <c r="H424" i="1"/>
  <c r="D423" i="1"/>
  <c r="A422" i="1"/>
  <c r="J420" i="1"/>
  <c r="F419" i="1"/>
  <c r="L417" i="1"/>
  <c r="I416" i="1"/>
  <c r="B415" i="1"/>
  <c r="N413" i="1"/>
  <c r="M412" i="1"/>
  <c r="J411" i="1"/>
  <c r="I410" i="1"/>
  <c r="G409" i="1"/>
  <c r="G408" i="1"/>
  <c r="E407" i="1"/>
  <c r="C406" i="1"/>
  <c r="C405" i="1"/>
  <c r="B404" i="1"/>
  <c r="N402" i="1"/>
  <c r="N401" i="1"/>
  <c r="L400" i="1"/>
  <c r="K399" i="1"/>
  <c r="J398" i="1"/>
  <c r="I397" i="1"/>
  <c r="G396" i="1"/>
  <c r="B395" i="1"/>
  <c r="N393" i="1"/>
  <c r="L392" i="1"/>
  <c r="J391" i="1"/>
  <c r="J390" i="1"/>
  <c r="E389" i="1"/>
  <c r="D388" i="1"/>
  <c r="B387" i="1"/>
  <c r="N385" i="1"/>
  <c r="M384" i="1"/>
  <c r="J383" i="1"/>
  <c r="I382" i="1"/>
  <c r="I381" i="1"/>
  <c r="G380" i="1"/>
  <c r="F379" i="1"/>
  <c r="B378" i="1"/>
  <c r="A377" i="1"/>
  <c r="N375" i="1"/>
  <c r="L374" i="1"/>
  <c r="J373" i="1"/>
  <c r="G372" i="1"/>
  <c r="E371" i="1"/>
  <c r="D370" i="1"/>
  <c r="D369" i="1"/>
  <c r="B368" i="1"/>
  <c r="M366" i="1"/>
  <c r="K365" i="1"/>
  <c r="K364" i="1"/>
  <c r="J363" i="1"/>
  <c r="I362" i="1"/>
  <c r="E361" i="1"/>
  <c r="C360" i="1"/>
  <c r="A359" i="1"/>
  <c r="M357" i="1"/>
  <c r="L356" i="1"/>
  <c r="I355" i="1"/>
  <c r="H354" i="1"/>
  <c r="G353" i="1"/>
  <c r="F352" i="1"/>
  <c r="E351" i="1"/>
  <c r="A350" i="1"/>
  <c r="A349" i="1"/>
  <c r="N347" i="1"/>
  <c r="M346" i="1"/>
  <c r="L345" i="1"/>
  <c r="I344" i="1"/>
  <c r="I343" i="1"/>
  <c r="H342" i="1"/>
  <c r="E341" i="1"/>
  <c r="B340" i="1"/>
  <c r="M338" i="1"/>
  <c r="K337" i="1"/>
  <c r="J336" i="1"/>
  <c r="I335" i="1"/>
  <c r="H334" i="1"/>
  <c r="F333" i="1"/>
  <c r="D332" i="1"/>
  <c r="C331" i="1"/>
  <c r="B330" i="1"/>
  <c r="N328" i="1"/>
  <c r="L327" i="1"/>
  <c r="K326" i="1"/>
  <c r="J325" i="1"/>
  <c r="I324" i="1"/>
  <c r="H323" i="1"/>
  <c r="B322" i="1"/>
  <c r="B321" i="1"/>
  <c r="N319" i="1"/>
  <c r="M318" i="1"/>
  <c r="M317" i="1"/>
  <c r="L316" i="1"/>
  <c r="N315" i="1"/>
  <c r="B315" i="1"/>
  <c r="D314" i="1"/>
  <c r="E313" i="1"/>
  <c r="G312" i="1"/>
  <c r="H311" i="1"/>
  <c r="J310" i="1"/>
  <c r="K309" i="1"/>
  <c r="M308" i="1"/>
  <c r="N307" i="1"/>
  <c r="N306" i="1"/>
  <c r="A306" i="1"/>
  <c r="C305" i="1"/>
  <c r="D304" i="1"/>
  <c r="E303" i="1"/>
  <c r="G302" i="1"/>
  <c r="H301" i="1"/>
  <c r="H300" i="1"/>
  <c r="I299" i="1"/>
  <c r="I298" i="1"/>
  <c r="K297" i="1"/>
  <c r="M296" i="1"/>
  <c r="N295" i="1"/>
  <c r="N294" i="1"/>
  <c r="B294" i="1"/>
  <c r="D293" i="1"/>
  <c r="D292" i="1"/>
  <c r="D291" i="1"/>
  <c r="E290" i="1"/>
  <c r="G289" i="1"/>
  <c r="J288" i="1"/>
  <c r="L287" i="1"/>
  <c r="N286" i="1"/>
  <c r="A286" i="1"/>
  <c r="B285" i="1"/>
  <c r="B284" i="1"/>
  <c r="D283" i="1"/>
  <c r="D282" i="1"/>
  <c r="E281" i="1"/>
  <c r="F280" i="1"/>
  <c r="H279" i="1"/>
  <c r="I278" i="1"/>
  <c r="J277" i="1"/>
  <c r="J276" i="1"/>
  <c r="J275" i="1"/>
  <c r="L274" i="1"/>
  <c r="N273" i="1"/>
  <c r="N272" i="1"/>
  <c r="A272" i="1"/>
  <c r="A271" i="1"/>
  <c r="C270" i="1"/>
  <c r="E269" i="1"/>
  <c r="E268" i="1"/>
  <c r="G267" i="1"/>
  <c r="J266" i="1"/>
  <c r="L265" i="1"/>
  <c r="L264" i="1"/>
  <c r="M263" i="1"/>
  <c r="M262" i="1"/>
  <c r="A262" i="1"/>
  <c r="B261" i="1"/>
  <c r="D260" i="1"/>
  <c r="D259" i="1"/>
  <c r="D258" i="1"/>
  <c r="D257" i="1"/>
  <c r="E256" i="1"/>
  <c r="E255" i="1"/>
  <c r="G254" i="1"/>
  <c r="G253" i="1"/>
  <c r="I252" i="1"/>
  <c r="J251" i="1"/>
  <c r="J250" i="1"/>
  <c r="J249" i="1"/>
  <c r="K248" i="1"/>
  <c r="K247" i="1"/>
  <c r="K246" i="1"/>
  <c r="L245" i="1"/>
  <c r="L244" i="1"/>
  <c r="L243" i="1"/>
  <c r="M242" i="1"/>
  <c r="A242" i="1"/>
  <c r="C241" i="1"/>
  <c r="E240" i="1"/>
  <c r="E239" i="1"/>
  <c r="G238" i="1"/>
  <c r="I237" i="1"/>
  <c r="K236" i="1"/>
  <c r="K235" i="1"/>
  <c r="L234" i="1"/>
  <c r="M233" i="1"/>
  <c r="M232" i="1"/>
  <c r="A232" i="1"/>
  <c r="B231" i="1"/>
  <c r="D230" i="1"/>
  <c r="E229" i="1"/>
  <c r="E228" i="1"/>
  <c r="G227" i="1"/>
  <c r="H226" i="1"/>
  <c r="I225" i="1"/>
  <c r="I224" i="1"/>
  <c r="J223" i="1"/>
  <c r="K222" i="1"/>
  <c r="K221" i="1"/>
  <c r="M220" i="1"/>
  <c r="A220" i="1"/>
  <c r="C219" i="1"/>
  <c r="F218" i="1"/>
  <c r="H217" i="1"/>
  <c r="J216" i="1"/>
  <c r="K215" i="1"/>
  <c r="M214" i="1"/>
  <c r="N213" i="1"/>
  <c r="A213" i="1"/>
  <c r="B212" i="1"/>
  <c r="B211" i="1"/>
  <c r="B210" i="1"/>
  <c r="B209" i="1"/>
  <c r="B208" i="1"/>
  <c r="B207" i="1"/>
  <c r="D206" i="1"/>
  <c r="E205" i="1"/>
  <c r="F204" i="1"/>
  <c r="G203" i="1"/>
  <c r="G202" i="1"/>
  <c r="I201" i="1"/>
  <c r="K200" i="1"/>
  <c r="N199" i="1"/>
  <c r="B199" i="1"/>
  <c r="E198" i="1"/>
  <c r="D439" i="1"/>
  <c r="D431" i="1"/>
  <c r="B423" i="1"/>
  <c r="N414" i="1"/>
  <c r="D408" i="1"/>
  <c r="J401" i="1"/>
  <c r="N394" i="1"/>
  <c r="A389" i="1"/>
  <c r="L387" i="1"/>
  <c r="G386" i="1"/>
  <c r="B385" i="1"/>
  <c r="I383" i="1"/>
  <c r="F382" i="1"/>
  <c r="N380" i="1"/>
  <c r="K379" i="1"/>
  <c r="H378" i="1"/>
  <c r="N376" i="1"/>
  <c r="K375" i="1"/>
  <c r="D374" i="1"/>
  <c r="N372" i="1"/>
  <c r="I371" i="1"/>
  <c r="C370" i="1"/>
  <c r="L368" i="1"/>
  <c r="I367" i="1"/>
  <c r="E366" i="1"/>
  <c r="N364" i="1"/>
  <c r="I363" i="1"/>
  <c r="B362" i="1"/>
  <c r="M360" i="1"/>
  <c r="H359" i="1"/>
  <c r="B358" i="1"/>
  <c r="I356" i="1"/>
  <c r="F355" i="1"/>
  <c r="B354" i="1"/>
  <c r="K352" i="1"/>
  <c r="H351" i="1"/>
  <c r="N349" i="1"/>
  <c r="L348" i="1"/>
  <c r="G347" i="1"/>
  <c r="C346" i="1"/>
  <c r="N344" i="1"/>
  <c r="H343" i="1"/>
  <c r="D342" i="1"/>
  <c r="K340" i="1"/>
  <c r="G339" i="1"/>
  <c r="N337" i="1"/>
  <c r="I336" i="1"/>
  <c r="C335" i="1"/>
  <c r="A334" i="1"/>
  <c r="L332" i="1"/>
  <c r="G331" i="1"/>
  <c r="A330" i="1"/>
  <c r="I328" i="1"/>
  <c r="G327" i="1"/>
  <c r="A326" i="1"/>
  <c r="L324" i="1"/>
  <c r="D323" i="1"/>
  <c r="M321" i="1"/>
  <c r="K320" i="1"/>
  <c r="D319" i="1"/>
  <c r="B318" i="1"/>
  <c r="K316" i="1"/>
  <c r="K315" i="1"/>
  <c r="K314" i="1"/>
  <c r="K313" i="1"/>
  <c r="J312" i="1"/>
  <c r="G311" i="1"/>
  <c r="G310" i="1"/>
  <c r="F309" i="1"/>
  <c r="E308" i="1"/>
  <c r="D307" i="1"/>
  <c r="P305" i="1"/>
  <c r="N304" i="1"/>
  <c r="M303" i="1"/>
  <c r="L302" i="1"/>
  <c r="K301" i="1"/>
  <c r="G300" i="1"/>
  <c r="E299" i="1"/>
  <c r="D298" i="1"/>
  <c r="D297" i="1"/>
  <c r="C296" i="1"/>
  <c r="M294" i="1"/>
  <c r="M293" i="1"/>
  <c r="L292" i="1"/>
  <c r="J291" i="1"/>
  <c r="I290" i="1"/>
  <c r="F289" i="1"/>
  <c r="G288" i="1"/>
  <c r="G287" i="1"/>
  <c r="G286" i="1"/>
  <c r="E285" i="1"/>
  <c r="A284" i="1"/>
  <c r="N282" i="1"/>
  <c r="L281" i="1"/>
  <c r="K280" i="1"/>
  <c r="K279" i="1"/>
  <c r="H278" i="1"/>
  <c r="G277" i="1"/>
  <c r="D276" i="1"/>
  <c r="C275" i="1"/>
  <c r="C274" i="1"/>
  <c r="M272" i="1"/>
  <c r="L271" i="1"/>
  <c r="J270" i="1"/>
  <c r="J269" i="1"/>
  <c r="I268" i="1"/>
  <c r="F267" i="1"/>
  <c r="G266" i="1"/>
  <c r="G265" i="1"/>
  <c r="D264" i="1"/>
  <c r="B263" i="1"/>
  <c r="N261" i="1"/>
  <c r="N260" i="1"/>
  <c r="L259" i="1"/>
  <c r="J258" i="1"/>
  <c r="H257" i="1"/>
  <c r="D256" i="1"/>
  <c r="B255" i="1"/>
  <c r="N253" i="1"/>
  <c r="N252" i="1"/>
  <c r="M251" i="1"/>
  <c r="I250" i="1"/>
  <c r="G249" i="1"/>
  <c r="E248" i="1"/>
  <c r="B247" i="1"/>
  <c r="A246" i="1"/>
  <c r="K244" i="1"/>
  <c r="I243" i="1"/>
  <c r="H242" i="1"/>
  <c r="H241" i="1"/>
  <c r="H240" i="1"/>
  <c r="D239" i="1"/>
  <c r="D238" i="1"/>
  <c r="D237" i="1"/>
  <c r="B236" i="1"/>
  <c r="A235" i="1"/>
  <c r="L233" i="1"/>
  <c r="J232" i="1"/>
  <c r="J231" i="1"/>
  <c r="I230" i="1"/>
  <c r="H229" i="1"/>
  <c r="D228" i="1"/>
  <c r="D227" i="1"/>
  <c r="B226" i="1"/>
  <c r="N224" i="1"/>
  <c r="M223" i="1"/>
  <c r="J222" i="1"/>
  <c r="H221" i="1"/>
  <c r="H220" i="1"/>
  <c r="H219" i="1"/>
  <c r="I218" i="1"/>
  <c r="G217" i="1"/>
  <c r="G216" i="1"/>
  <c r="F215" i="1"/>
  <c r="E214" i="1"/>
  <c r="E213" i="1"/>
  <c r="A212" i="1"/>
  <c r="M210" i="1"/>
  <c r="K209" i="1"/>
  <c r="I208" i="1"/>
  <c r="G207" i="1"/>
  <c r="B206" i="1"/>
  <c r="A205" i="1"/>
  <c r="N203" i="1"/>
  <c r="L202" i="1"/>
  <c r="L201" i="1"/>
  <c r="J200" i="1"/>
  <c r="K199" i="1"/>
  <c r="M198" i="1"/>
  <c r="M197" i="1"/>
  <c r="P196" i="1"/>
  <c r="D196" i="1"/>
  <c r="G195" i="1"/>
  <c r="J194" i="1"/>
  <c r="L193" i="1"/>
  <c r="N192" i="1"/>
  <c r="P191" i="1"/>
  <c r="B191" i="1"/>
  <c r="D190" i="1"/>
  <c r="G189" i="1"/>
  <c r="I188" i="1"/>
  <c r="K187" i="1"/>
  <c r="N186" i="1"/>
  <c r="A186" i="1"/>
  <c r="D185" i="1"/>
  <c r="D184" i="1"/>
  <c r="F183" i="1"/>
  <c r="H182" i="1"/>
  <c r="I181" i="1"/>
  <c r="O180" i="1"/>
  <c r="C180" i="1"/>
  <c r="E179" i="1"/>
  <c r="G178" i="1"/>
  <c r="G177" i="1"/>
  <c r="G176" i="1"/>
  <c r="G175" i="1"/>
  <c r="H174" i="1"/>
  <c r="H173" i="1"/>
  <c r="J172" i="1"/>
  <c r="N171" i="1"/>
  <c r="B171" i="1"/>
  <c r="H170" i="1"/>
  <c r="J169" i="1"/>
  <c r="L168" i="1"/>
  <c r="M167" i="1"/>
  <c r="N166" i="1"/>
  <c r="N165" i="1"/>
  <c r="A165" i="1"/>
  <c r="C164" i="1"/>
  <c r="D163" i="1"/>
  <c r="F162" i="1"/>
  <c r="H161" i="1"/>
  <c r="J160" i="1"/>
  <c r="K159" i="1"/>
  <c r="L158" i="1"/>
  <c r="P157" i="1"/>
  <c r="D157" i="1"/>
  <c r="J156" i="1"/>
  <c r="P155" i="1"/>
  <c r="D155" i="1"/>
  <c r="E154" i="1"/>
  <c r="J153" i="1"/>
  <c r="P152" i="1"/>
  <c r="D152" i="1"/>
  <c r="J151" i="1"/>
  <c r="L150" i="1"/>
  <c r="Q149" i="1"/>
  <c r="E149" i="1"/>
  <c r="G148" i="1"/>
  <c r="L147" i="1"/>
  <c r="N146" i="1"/>
  <c r="A146" i="1"/>
  <c r="A145" i="1"/>
  <c r="A144" i="1"/>
  <c r="G143" i="1"/>
  <c r="M142" i="1"/>
  <c r="A142" i="1"/>
  <c r="B141" i="1"/>
  <c r="F140" i="1"/>
  <c r="J139" i="1"/>
  <c r="L138" i="1"/>
  <c r="M137" i="1"/>
  <c r="R136" i="1"/>
  <c r="F136" i="1"/>
  <c r="I135" i="1"/>
  <c r="J134" i="1"/>
  <c r="K133" i="1"/>
  <c r="O132" i="1"/>
  <c r="C132" i="1"/>
  <c r="I131" i="1"/>
  <c r="M130" i="1"/>
  <c r="O129" i="1"/>
  <c r="B129" i="1"/>
  <c r="D128" i="1"/>
  <c r="E127" i="1"/>
  <c r="J438" i="1"/>
  <c r="K430" i="1"/>
  <c r="E422" i="1"/>
  <c r="E414" i="1"/>
  <c r="J407" i="1"/>
  <c r="C401" i="1"/>
  <c r="H394" i="1"/>
  <c r="N388" i="1"/>
  <c r="K387" i="1"/>
  <c r="E386" i="1"/>
  <c r="A385" i="1"/>
  <c r="H383" i="1"/>
  <c r="E382" i="1"/>
  <c r="M380" i="1"/>
  <c r="J379" i="1"/>
  <c r="G378" i="1"/>
  <c r="M376" i="1"/>
  <c r="J375" i="1"/>
  <c r="B374" i="1"/>
  <c r="M372" i="1"/>
  <c r="H371" i="1"/>
  <c r="B370" i="1"/>
  <c r="K368" i="1"/>
  <c r="H367" i="1"/>
  <c r="D366" i="1"/>
  <c r="M364" i="1"/>
  <c r="H363" i="1"/>
  <c r="A362" i="1"/>
  <c r="L360" i="1"/>
  <c r="G359" i="1"/>
  <c r="A358" i="1"/>
  <c r="H356" i="1"/>
  <c r="E355" i="1"/>
  <c r="A354" i="1"/>
  <c r="J352" i="1"/>
  <c r="G351" i="1"/>
  <c r="M349" i="1"/>
  <c r="K348" i="1"/>
  <c r="E347" i="1"/>
  <c r="B346" i="1"/>
  <c r="M344" i="1"/>
  <c r="G343" i="1"/>
  <c r="B342" i="1"/>
  <c r="J340" i="1"/>
  <c r="E339" i="1"/>
  <c r="M337" i="1"/>
  <c r="H336" i="1"/>
  <c r="B335" i="1"/>
  <c r="N333" i="1"/>
  <c r="K332" i="1"/>
  <c r="E331" i="1"/>
  <c r="N329" i="1"/>
  <c r="H328" i="1"/>
  <c r="F327" i="1"/>
  <c r="N325" i="1"/>
  <c r="K324" i="1"/>
  <c r="B323" i="1"/>
  <c r="L321" i="1"/>
  <c r="J320" i="1"/>
  <c r="C319" i="1"/>
  <c r="A318" i="1"/>
  <c r="J316" i="1"/>
  <c r="J315" i="1"/>
  <c r="J314" i="1"/>
  <c r="J313" i="1"/>
  <c r="I312" i="1"/>
  <c r="F311" i="1"/>
  <c r="E310" i="1"/>
  <c r="E309" i="1"/>
  <c r="D308" i="1"/>
  <c r="B307" i="1"/>
  <c r="N305" i="1"/>
  <c r="M304" i="1"/>
  <c r="L303" i="1"/>
  <c r="A438" i="1"/>
  <c r="M429" i="1"/>
  <c r="K421" i="1"/>
  <c r="L413" i="1"/>
  <c r="A407" i="1"/>
  <c r="J400" i="1"/>
  <c r="L393" i="1"/>
  <c r="M388" i="1"/>
  <c r="H387" i="1"/>
  <c r="D386" i="1"/>
  <c r="J384" i="1"/>
  <c r="G383" i="1"/>
  <c r="D382" i="1"/>
  <c r="L380" i="1"/>
  <c r="I379" i="1"/>
  <c r="A378" i="1"/>
  <c r="L376" i="1"/>
  <c r="G375" i="1"/>
  <c r="A374" i="1"/>
  <c r="L372" i="1"/>
  <c r="D371" i="1"/>
  <c r="A370" i="1"/>
  <c r="J368" i="1"/>
  <c r="G367" i="1"/>
  <c r="N365" i="1"/>
  <c r="J364" i="1"/>
  <c r="E363" i="1"/>
  <c r="N361" i="1"/>
  <c r="K360" i="1"/>
  <c r="E359" i="1"/>
  <c r="L357" i="1"/>
  <c r="G356" i="1"/>
  <c r="D355" i="1"/>
  <c r="L353" i="1"/>
  <c r="I352" i="1"/>
  <c r="A351" i="1"/>
  <c r="L349" i="1"/>
  <c r="J348" i="1"/>
  <c r="D347" i="1"/>
  <c r="A346" i="1"/>
  <c r="H344" i="1"/>
  <c r="F343" i="1"/>
  <c r="M341" i="1"/>
  <c r="I340" i="1"/>
  <c r="D339" i="1"/>
  <c r="J337" i="1"/>
  <c r="G336" i="1"/>
  <c r="A335" i="1"/>
  <c r="M333" i="1"/>
  <c r="H332" i="1"/>
  <c r="B331" i="1"/>
  <c r="K329" i="1"/>
  <c r="G328" i="1"/>
  <c r="E327" i="1"/>
  <c r="M325" i="1"/>
  <c r="H324" i="1"/>
  <c r="A323" i="1"/>
  <c r="K321" i="1"/>
  <c r="G320" i="1"/>
  <c r="B319" i="1"/>
  <c r="J317" i="1"/>
  <c r="I316" i="1"/>
  <c r="I315" i="1"/>
  <c r="I314" i="1"/>
  <c r="I313" i="1"/>
  <c r="E312" i="1"/>
  <c r="E311" i="1"/>
  <c r="D310" i="1"/>
  <c r="D309" i="1"/>
  <c r="C308" i="1"/>
  <c r="M306" i="1"/>
  <c r="M305" i="1"/>
  <c r="L304" i="1"/>
  <c r="K303" i="1"/>
  <c r="J302" i="1"/>
  <c r="G301" i="1"/>
  <c r="G437" i="1"/>
  <c r="B429" i="1"/>
  <c r="B421" i="1"/>
  <c r="D413" i="1"/>
  <c r="I406" i="1"/>
  <c r="D400" i="1"/>
  <c r="B393" i="1"/>
  <c r="L388" i="1"/>
  <c r="G387" i="1"/>
  <c r="B386" i="1"/>
  <c r="I384" i="1"/>
  <c r="F383" i="1"/>
  <c r="C382" i="1"/>
  <c r="K380" i="1"/>
  <c r="H379" i="1"/>
  <c r="N377" i="1"/>
  <c r="K376" i="1"/>
  <c r="E375" i="1"/>
  <c r="N373" i="1"/>
  <c r="K372" i="1"/>
  <c r="B371" i="1"/>
  <c r="N369" i="1"/>
  <c r="I368" i="1"/>
  <c r="E367" i="1"/>
  <c r="M365" i="1"/>
  <c r="I364" i="1"/>
  <c r="D363" i="1"/>
  <c r="M361" i="1"/>
  <c r="J360" i="1"/>
  <c r="D359" i="1"/>
  <c r="K357" i="1"/>
  <c r="E356" i="1"/>
  <c r="B355" i="1"/>
  <c r="K353" i="1"/>
  <c r="H352" i="1"/>
  <c r="N350" i="1"/>
  <c r="K349" i="1"/>
  <c r="I348" i="1"/>
  <c r="C347" i="1"/>
  <c r="N345" i="1"/>
  <c r="G344" i="1"/>
  <c r="E343" i="1"/>
  <c r="L341" i="1"/>
  <c r="H340" i="1"/>
  <c r="C339" i="1"/>
  <c r="I337" i="1"/>
  <c r="F336" i="1"/>
  <c r="N334" i="1"/>
  <c r="L333" i="1"/>
  <c r="G332" i="1"/>
  <c r="A331" i="1"/>
  <c r="J329" i="1"/>
  <c r="F328" i="1"/>
  <c r="D327" i="1"/>
  <c r="L325" i="1"/>
  <c r="G324" i="1"/>
  <c r="N322" i="1"/>
  <c r="J321" i="1"/>
  <c r="E320" i="1"/>
  <c r="A319" i="1"/>
  <c r="I317" i="1"/>
  <c r="H316" i="1"/>
  <c r="H315" i="1"/>
  <c r="H314" i="1"/>
  <c r="H313" i="1"/>
  <c r="D312" i="1"/>
  <c r="D311" i="1"/>
  <c r="C310" i="1"/>
  <c r="C309" i="1"/>
  <c r="B308" i="1"/>
  <c r="L306" i="1"/>
  <c r="L305" i="1"/>
  <c r="K304" i="1"/>
  <c r="J303" i="1"/>
  <c r="I302" i="1"/>
  <c r="E301" i="1"/>
  <c r="C300" i="1"/>
  <c r="A299" i="1"/>
  <c r="A298" i="1"/>
  <c r="A297" i="1"/>
  <c r="L295" i="1"/>
  <c r="I436" i="1"/>
  <c r="J428" i="1"/>
  <c r="H420" i="1"/>
  <c r="I412" i="1"/>
  <c r="A406" i="1"/>
  <c r="I399" i="1"/>
  <c r="J392" i="1"/>
  <c r="K388" i="1"/>
  <c r="E387" i="1"/>
  <c r="M385" i="1"/>
  <c r="H384" i="1"/>
  <c r="E383" i="1"/>
  <c r="N381" i="1"/>
  <c r="J380" i="1"/>
  <c r="B379" i="1"/>
  <c r="M377" i="1"/>
  <c r="J376" i="1"/>
  <c r="D375" i="1"/>
  <c r="M373" i="1"/>
  <c r="F372" i="1"/>
  <c r="A371" i="1"/>
  <c r="K369" i="1"/>
  <c r="H368" i="1"/>
  <c r="D367" i="1"/>
  <c r="J365" i="1"/>
  <c r="H364" i="1"/>
  <c r="B363" i="1"/>
  <c r="L361" i="1"/>
  <c r="G360" i="1"/>
  <c r="N358" i="1"/>
  <c r="H357" i="1"/>
  <c r="D356" i="1"/>
  <c r="A355" i="1"/>
  <c r="J353" i="1"/>
  <c r="E352" i="1"/>
  <c r="M350" i="1"/>
  <c r="J349" i="1"/>
  <c r="F348" i="1"/>
  <c r="B347" i="1"/>
  <c r="I345" i="1"/>
  <c r="F344" i="1"/>
  <c r="D343" i="1"/>
  <c r="K341" i="1"/>
  <c r="G340" i="1"/>
  <c r="L338" i="1"/>
  <c r="H337" i="1"/>
  <c r="B336" i="1"/>
  <c r="M334" i="1"/>
  <c r="K333" i="1"/>
  <c r="C332" i="1"/>
  <c r="N330" i="1"/>
  <c r="I329" i="1"/>
  <c r="E328" i="1"/>
  <c r="N326" i="1"/>
  <c r="I325" i="1"/>
  <c r="C324" i="1"/>
  <c r="M322" i="1"/>
  <c r="I321" i="1"/>
  <c r="D320" i="1"/>
  <c r="L318" i="1"/>
  <c r="H317" i="1"/>
  <c r="G316" i="1"/>
  <c r="G315" i="1"/>
  <c r="G314" i="1"/>
  <c r="D313" i="1"/>
  <c r="C312" i="1"/>
  <c r="C311" i="1"/>
  <c r="B310" i="1"/>
  <c r="B309" i="1"/>
  <c r="M307" i="1"/>
  <c r="K306" i="1"/>
  <c r="K305" i="1"/>
  <c r="J304" i="1"/>
  <c r="I303" i="1"/>
  <c r="E302" i="1"/>
  <c r="L435" i="1"/>
  <c r="L427" i="1"/>
  <c r="J419" i="1"/>
  <c r="B412" i="1"/>
  <c r="I405" i="1"/>
  <c r="N398" i="1"/>
  <c r="N391" i="1"/>
  <c r="J388" i="1"/>
  <c r="D387" i="1"/>
  <c r="L385" i="1"/>
  <c r="G384" i="1"/>
  <c r="D383" i="1"/>
  <c r="M381" i="1"/>
  <c r="I380" i="1"/>
  <c r="A379" i="1"/>
  <c r="L377" i="1"/>
  <c r="I376" i="1"/>
  <c r="B375" i="1"/>
  <c r="L373" i="1"/>
  <c r="E372" i="1"/>
  <c r="N370" i="1"/>
  <c r="J369" i="1"/>
  <c r="G368" i="1"/>
  <c r="C367" i="1"/>
  <c r="I365" i="1"/>
  <c r="G364" i="1"/>
  <c r="A363" i="1"/>
  <c r="K361" i="1"/>
  <c r="E360" i="1"/>
  <c r="M358" i="1"/>
  <c r="G357" i="1"/>
  <c r="C356" i="1"/>
  <c r="N354" i="1"/>
  <c r="I353" i="1"/>
  <c r="D352" i="1"/>
  <c r="L350" i="1"/>
  <c r="I349" i="1"/>
  <c r="E348" i="1"/>
  <c r="A347" i="1"/>
  <c r="H345" i="1"/>
  <c r="E344" i="1"/>
  <c r="B343" i="1"/>
  <c r="J341" i="1"/>
  <c r="E340" i="1"/>
  <c r="K338" i="1"/>
  <c r="G337" i="1"/>
  <c r="A336" i="1"/>
  <c r="L334" i="1"/>
  <c r="J333" i="1"/>
  <c r="B332" i="1"/>
  <c r="M330" i="1"/>
  <c r="H329" i="1"/>
  <c r="D328" i="1"/>
  <c r="M326" i="1"/>
  <c r="H325" i="1"/>
  <c r="B324" i="1"/>
  <c r="L322" i="1"/>
  <c r="H321" i="1"/>
  <c r="B320" i="1"/>
  <c r="K318" i="1"/>
  <c r="G317" i="1"/>
  <c r="F316" i="1"/>
  <c r="F315" i="1"/>
  <c r="F314" i="1"/>
  <c r="C313" i="1"/>
  <c r="B312" i="1"/>
  <c r="B311" i="1"/>
  <c r="A310" i="1"/>
  <c r="A309" i="1"/>
  <c r="L307" i="1"/>
  <c r="J306" i="1"/>
  <c r="J305" i="1"/>
  <c r="I304" i="1"/>
  <c r="H303" i="1"/>
  <c r="D302" i="1"/>
  <c r="E435" i="1"/>
  <c r="D427" i="1"/>
  <c r="N418" i="1"/>
  <c r="H411" i="1"/>
  <c r="A405" i="1"/>
  <c r="H398" i="1"/>
  <c r="H391" i="1"/>
  <c r="G388" i="1"/>
  <c r="A387" i="1"/>
  <c r="I385" i="1"/>
  <c r="F384" i="1"/>
  <c r="B383" i="1"/>
  <c r="L381" i="1"/>
  <c r="F380" i="1"/>
  <c r="N378" i="1"/>
  <c r="K377" i="1"/>
  <c r="F376" i="1"/>
  <c r="A375" i="1"/>
  <c r="G373" i="1"/>
  <c r="D372" i="1"/>
  <c r="M370" i="1"/>
  <c r="I369" i="1"/>
  <c r="E368" i="1"/>
  <c r="L366" i="1"/>
  <c r="H365" i="1"/>
  <c r="C364" i="1"/>
  <c r="N362" i="1"/>
  <c r="J361" i="1"/>
  <c r="B360" i="1"/>
  <c r="L358" i="1"/>
  <c r="F357" i="1"/>
  <c r="B356" i="1"/>
  <c r="K354" i="1"/>
  <c r="E353" i="1"/>
  <c r="N351" i="1"/>
  <c r="K350" i="1"/>
  <c r="H349" i="1"/>
  <c r="D348" i="1"/>
  <c r="L346" i="1"/>
  <c r="G345" i="1"/>
  <c r="D344" i="1"/>
  <c r="M342" i="1"/>
  <c r="I341" i="1"/>
  <c r="M339" i="1"/>
  <c r="J338" i="1"/>
  <c r="E337" i="1"/>
  <c r="N335" i="1"/>
  <c r="K334" i="1"/>
  <c r="E333" i="1"/>
  <c r="A332" i="1"/>
  <c r="J330" i="1"/>
  <c r="G329" i="1"/>
  <c r="C328" i="1"/>
  <c r="J326" i="1"/>
  <c r="G325" i="1"/>
  <c r="A324" i="1"/>
  <c r="K322" i="1"/>
  <c r="E321" i="1"/>
  <c r="M319" i="1"/>
  <c r="H318" i="1"/>
  <c r="F317" i="1"/>
  <c r="E316" i="1"/>
  <c r="E315" i="1"/>
  <c r="C314" i="1"/>
  <c r="B313" i="1"/>
  <c r="A312" i="1"/>
  <c r="A311" i="1"/>
  <c r="N309" i="1"/>
  <c r="L308" i="1"/>
  <c r="K307" i="1"/>
  <c r="I306" i="1"/>
  <c r="I305" i="1"/>
  <c r="H304" i="1"/>
  <c r="D303" i="1"/>
  <c r="C302" i="1"/>
  <c r="A301" i="1"/>
  <c r="N299" i="1"/>
  <c r="L298" i="1"/>
  <c r="J297" i="1"/>
  <c r="J296" i="1"/>
  <c r="I295" i="1"/>
  <c r="G294" i="1"/>
  <c r="G293" i="1"/>
  <c r="B292" i="1"/>
  <c r="A291" i="1"/>
  <c r="N289" i="1"/>
  <c r="O288" i="1"/>
  <c r="A288" i="1"/>
  <c r="M286" i="1"/>
  <c r="L285" i="1"/>
  <c r="K284" i="1"/>
  <c r="I283" i="1"/>
  <c r="H282" i="1"/>
  <c r="D281" i="1"/>
  <c r="C280" i="1"/>
  <c r="B279" i="1"/>
  <c r="A278" i="1"/>
  <c r="M276" i="1"/>
  <c r="I275" i="1"/>
  <c r="I274" i="1"/>
  <c r="I273" i="1"/>
  <c r="G272" i="1"/>
  <c r="E271" i="1"/>
  <c r="B270" i="1"/>
  <c r="A269" i="1"/>
  <c r="N267" i="1"/>
  <c r="P266" i="1"/>
  <c r="A266" i="1"/>
  <c r="K264" i="1"/>
  <c r="J263" i="1"/>
  <c r="H262" i="1"/>
  <c r="H261" i="1"/>
  <c r="H260" i="1"/>
  <c r="B259" i="1"/>
  <c r="N257" i="1"/>
  <c r="L256" i="1"/>
  <c r="K255" i="1"/>
  <c r="J254" i="1"/>
  <c r="F253" i="1"/>
  <c r="E252" i="1"/>
  <c r="D251" i="1"/>
  <c r="A250" i="1"/>
  <c r="N248" i="1"/>
  <c r="J247" i="1"/>
  <c r="H246" i="1"/>
  <c r="G245" i="1"/>
  <c r="D244" i="1"/>
  <c r="B243" i="1"/>
  <c r="N241" i="1"/>
  <c r="N240" i="1"/>
  <c r="M239" i="1"/>
  <c r="L238" i="1"/>
  <c r="L237" i="1"/>
  <c r="J236" i="1"/>
  <c r="H235" i="1"/>
  <c r="G234" i="1"/>
  <c r="E233" i="1"/>
  <c r="D232" i="1"/>
  <c r="A231" i="1"/>
  <c r="N229" i="1"/>
  <c r="M228" i="1"/>
  <c r="L227" i="1"/>
  <c r="K226" i="1"/>
  <c r="H225" i="1"/>
  <c r="E224" i="1"/>
  <c r="E223" i="1"/>
  <c r="B222" i="1"/>
  <c r="B221" i="1"/>
  <c r="N219" i="1"/>
  <c r="O218" i="1"/>
  <c r="A218" i="1"/>
  <c r="A217" i="1"/>
  <c r="N215" i="1"/>
  <c r="L214" i="1"/>
  <c r="K213" i="1"/>
  <c r="J212" i="1"/>
  <c r="I211" i="1"/>
  <c r="G210" i="1"/>
  <c r="A209" i="1"/>
  <c r="M207" i="1"/>
  <c r="K206" i="1"/>
  <c r="J205" i="1"/>
  <c r="I204" i="1"/>
  <c r="E203" i="1"/>
  <c r="D202" i="1"/>
  <c r="C201" i="1"/>
  <c r="D200" i="1"/>
  <c r="E199" i="1"/>
  <c r="D198" i="1"/>
  <c r="G197" i="1"/>
  <c r="J196" i="1"/>
  <c r="M195" i="1"/>
  <c r="P194" i="1"/>
  <c r="B194" i="1"/>
  <c r="F193" i="1"/>
  <c r="H192" i="1"/>
  <c r="J191" i="1"/>
  <c r="K190" i="1"/>
  <c r="M189" i="1"/>
  <c r="O188" i="1"/>
  <c r="A188" i="1"/>
  <c r="E187" i="1"/>
  <c r="H186" i="1"/>
  <c r="J185" i="1"/>
  <c r="K184" i="1"/>
  <c r="L183" i="1"/>
  <c r="N182" i="1"/>
  <c r="O181" i="1"/>
  <c r="C181" i="1"/>
  <c r="I180" i="1"/>
  <c r="K179" i="1"/>
  <c r="M178" i="1"/>
  <c r="M177" i="1"/>
  <c r="M176" i="1"/>
  <c r="M175" i="1"/>
  <c r="N174" i="1"/>
  <c r="N173" i="1"/>
  <c r="B173" i="1"/>
  <c r="B172" i="1"/>
  <c r="H171" i="1"/>
  <c r="N170" i="1"/>
  <c r="B170" i="1"/>
  <c r="D169" i="1"/>
  <c r="F168" i="1"/>
  <c r="G167" i="1"/>
  <c r="H166" i="1"/>
  <c r="H165" i="1"/>
  <c r="I164" i="1"/>
  <c r="K163" i="1"/>
  <c r="L162" i="1"/>
  <c r="N161" i="1"/>
  <c r="B161" i="1"/>
  <c r="D160" i="1"/>
  <c r="E159" i="1"/>
  <c r="E158" i="1"/>
  <c r="J157" i="1"/>
  <c r="P156" i="1"/>
  <c r="D156" i="1"/>
  <c r="J155" i="1"/>
  <c r="L154" i="1"/>
  <c r="P153" i="1"/>
  <c r="D153" i="1"/>
  <c r="J152" i="1"/>
  <c r="P151" i="1"/>
  <c r="D151" i="1"/>
  <c r="F150" i="1"/>
  <c r="K149" i="1"/>
  <c r="M148" i="1"/>
  <c r="R147" i="1"/>
  <c r="F147" i="1"/>
  <c r="H146" i="1"/>
  <c r="I145" i="1"/>
  <c r="I144" i="1"/>
  <c r="M143" i="1"/>
  <c r="A143" i="1"/>
  <c r="G142" i="1"/>
  <c r="I141" i="1"/>
  <c r="L140" i="1"/>
  <c r="P139" i="1"/>
  <c r="D139" i="1"/>
  <c r="E138" i="1"/>
  <c r="G137" i="1"/>
  <c r="L136" i="1"/>
  <c r="O135" i="1"/>
  <c r="A135" i="1"/>
  <c r="B134" i="1"/>
  <c r="E133" i="1"/>
  <c r="I132" i="1"/>
  <c r="O131" i="1"/>
  <c r="C131" i="1"/>
  <c r="G130" i="1"/>
  <c r="I129" i="1"/>
  <c r="K128" i="1"/>
  <c r="L127" i="1"/>
  <c r="P126" i="1"/>
  <c r="I434" i="1"/>
  <c r="G426" i="1"/>
  <c r="H418" i="1"/>
  <c r="A411" i="1"/>
  <c r="G404" i="1"/>
  <c r="M397" i="1"/>
  <c r="N390" i="1"/>
  <c r="F388" i="1"/>
  <c r="N386" i="1"/>
  <c r="H385" i="1"/>
  <c r="E384" i="1"/>
  <c r="A383" i="1"/>
  <c r="K381" i="1"/>
  <c r="E380" i="1"/>
  <c r="M378" i="1"/>
  <c r="J377" i="1"/>
  <c r="E376" i="1"/>
  <c r="N374" i="1"/>
  <c r="F373" i="1"/>
  <c r="B372" i="1"/>
  <c r="L370" i="1"/>
  <c r="H369" i="1"/>
  <c r="D368" i="1"/>
  <c r="K366" i="1"/>
  <c r="G365" i="1"/>
  <c r="B364" i="1"/>
  <c r="M362" i="1"/>
  <c r="I361" i="1"/>
  <c r="A360" i="1"/>
  <c r="K358" i="1"/>
  <c r="E357" i="1"/>
  <c r="A356" i="1"/>
  <c r="J354" i="1"/>
  <c r="D353" i="1"/>
  <c r="M351" i="1"/>
  <c r="J350" i="1"/>
  <c r="G349" i="1"/>
  <c r="B348" i="1"/>
  <c r="K346" i="1"/>
  <c r="E345" i="1"/>
  <c r="C344" i="1"/>
  <c r="L342" i="1"/>
  <c r="H341" i="1"/>
  <c r="L339" i="1"/>
  <c r="I338" i="1"/>
  <c r="D337" i="1"/>
  <c r="M335" i="1"/>
  <c r="J334" i="1"/>
  <c r="D333" i="1"/>
  <c r="N331" i="1"/>
  <c r="I330" i="1"/>
  <c r="E329" i="1"/>
  <c r="B328" i="1"/>
  <c r="I326" i="1"/>
  <c r="F325" i="1"/>
  <c r="N323" i="1"/>
  <c r="J322" i="1"/>
  <c r="D321" i="1"/>
  <c r="L319" i="1"/>
  <c r="G318" i="1"/>
  <c r="E317" i="1"/>
  <c r="D316" i="1"/>
  <c r="D315" i="1"/>
  <c r="B314" i="1"/>
  <c r="A313" i="1"/>
  <c r="N311" i="1"/>
  <c r="N310" i="1"/>
  <c r="M309" i="1"/>
  <c r="K308" i="1"/>
  <c r="J307" i="1"/>
  <c r="H306" i="1"/>
  <c r="H305" i="1"/>
  <c r="G304" i="1"/>
  <c r="N433" i="1"/>
  <c r="K425" i="1"/>
  <c r="J417" i="1"/>
  <c r="G410" i="1"/>
  <c r="N403" i="1"/>
  <c r="G397" i="1"/>
  <c r="E390" i="1"/>
  <c r="B388" i="1"/>
  <c r="M386" i="1"/>
  <c r="G385" i="1"/>
  <c r="D384" i="1"/>
  <c r="L382" i="1"/>
  <c r="H381" i="1"/>
  <c r="A380" i="1"/>
  <c r="L378" i="1"/>
  <c r="I377" i="1"/>
  <c r="D376" i="1"/>
  <c r="K374" i="1"/>
  <c r="E373" i="1"/>
  <c r="A372" i="1"/>
  <c r="I370" i="1"/>
  <c r="G369" i="1"/>
  <c r="M367" i="1"/>
  <c r="J366" i="1"/>
  <c r="F365" i="1"/>
  <c r="A364" i="1"/>
  <c r="L362" i="1"/>
  <c r="D361" i="1"/>
  <c r="N359" i="1"/>
  <c r="H358" i="1"/>
  <c r="D357" i="1"/>
  <c r="N355" i="1"/>
  <c r="G354" i="1"/>
  <c r="C353" i="1"/>
  <c r="L351" i="1"/>
  <c r="I350" i="1"/>
  <c r="D349" i="1"/>
  <c r="M347" i="1"/>
  <c r="H346" i="1"/>
  <c r="D345" i="1"/>
  <c r="B344" i="1"/>
  <c r="K342" i="1"/>
  <c r="D341" i="1"/>
  <c r="K339" i="1"/>
  <c r="H338" i="1"/>
  <c r="A337" i="1"/>
  <c r="L335" i="1"/>
  <c r="E334" i="1"/>
  <c r="B333" i="1"/>
  <c r="M331" i="1"/>
  <c r="H330" i="1"/>
  <c r="D329" i="1"/>
  <c r="K327" i="1"/>
  <c r="H326" i="1"/>
  <c r="B325" i="1"/>
  <c r="M323" i="1"/>
  <c r="I322" i="1"/>
  <c r="A321" i="1"/>
  <c r="K319" i="1"/>
  <c r="F318" i="1"/>
  <c r="D317" i="1"/>
  <c r="C316" i="1"/>
  <c r="A315" i="1"/>
  <c r="A314" i="1"/>
  <c r="N312" i="1"/>
  <c r="M311" i="1"/>
  <c r="M310" i="1"/>
  <c r="J309" i="1"/>
  <c r="J308" i="1"/>
  <c r="I307" i="1"/>
  <c r="G306" i="1"/>
  <c r="G305" i="1"/>
  <c r="C304" i="1"/>
  <c r="B303" i="1"/>
  <c r="A302" i="1"/>
  <c r="F433" i="1"/>
  <c r="B425" i="1"/>
  <c r="A417" i="1"/>
  <c r="K409" i="1"/>
  <c r="E403" i="1"/>
  <c r="K396" i="1"/>
  <c r="B390" i="1"/>
  <c r="A388" i="1"/>
  <c r="L386" i="1"/>
  <c r="F385" i="1"/>
  <c r="B384" i="1"/>
  <c r="K382" i="1"/>
  <c r="G381" i="1"/>
  <c r="N379" i="1"/>
  <c r="K378" i="1"/>
  <c r="H377" i="1"/>
  <c r="B376" i="1"/>
  <c r="J374" i="1"/>
  <c r="D373" i="1"/>
  <c r="N371" i="1"/>
  <c r="H370" i="1"/>
  <c r="F369" i="1"/>
  <c r="L367" i="1"/>
  <c r="I366" i="1"/>
  <c r="E365" i="1"/>
  <c r="N363" i="1"/>
  <c r="K362" i="1"/>
  <c r="B361" i="1"/>
  <c r="M359" i="1"/>
  <c r="G358" i="1"/>
  <c r="B357" i="1"/>
  <c r="M355" i="1"/>
  <c r="E354" i="1"/>
  <c r="B353" i="1"/>
  <c r="K351" i="1"/>
  <c r="H350" i="1"/>
  <c r="C349" i="1"/>
  <c r="L347" i="1"/>
  <c r="G346" i="1"/>
  <c r="C345" i="1"/>
  <c r="A344" i="1"/>
  <c r="J342" i="1"/>
  <c r="B341" i="1"/>
  <c r="J339" i="1"/>
  <c r="G338" i="1"/>
  <c r="N336" i="1"/>
  <c r="K335" i="1"/>
  <c r="D334" i="1"/>
  <c r="A333" i="1"/>
  <c r="L331" i="1"/>
  <c r="G330" i="1"/>
  <c r="B329" i="1"/>
  <c r="J327" i="1"/>
  <c r="G326" i="1"/>
  <c r="A325" i="1"/>
  <c r="L323" i="1"/>
  <c r="H322" i="1"/>
  <c r="N320" i="1"/>
  <c r="J319" i="1"/>
  <c r="E318" i="1"/>
  <c r="B317" i="1"/>
  <c r="B316" i="1"/>
  <c r="N314" i="1"/>
  <c r="N313" i="1"/>
  <c r="M312" i="1"/>
  <c r="L311" i="1"/>
  <c r="L310" i="1"/>
  <c r="I309" i="1"/>
  <c r="I308" i="1"/>
  <c r="H307" i="1"/>
  <c r="F306" i="1"/>
  <c r="E305" i="1"/>
  <c r="B304" i="1"/>
  <c r="A303" i="1"/>
  <c r="N301" i="1"/>
  <c r="L300" i="1"/>
  <c r="K299" i="1"/>
  <c r="G298" i="1"/>
  <c r="G297" i="1"/>
  <c r="G296" i="1"/>
  <c r="E295" i="1"/>
  <c r="J432" i="1"/>
  <c r="E424" i="1"/>
  <c r="G416" i="1"/>
  <c r="E409" i="1"/>
  <c r="L402" i="1"/>
  <c r="B396" i="1"/>
  <c r="L389" i="1"/>
  <c r="N387" i="1"/>
  <c r="I386" i="1"/>
  <c r="E385" i="1"/>
  <c r="A384" i="1"/>
  <c r="H382" i="1"/>
  <c r="E381" i="1"/>
  <c r="M379" i="1"/>
  <c r="J378" i="1"/>
  <c r="E377" i="1"/>
  <c r="M375" i="1"/>
  <c r="G374" i="1"/>
  <c r="B373" i="1"/>
  <c r="M371" i="1"/>
  <c r="G370" i="1"/>
  <c r="B369" i="1"/>
  <c r="K367" i="1"/>
  <c r="H366" i="1"/>
  <c r="B365" i="1"/>
  <c r="M363" i="1"/>
  <c r="E362" i="1"/>
  <c r="A361" i="1"/>
  <c r="L359" i="1"/>
  <c r="E358" i="1"/>
  <c r="A357" i="1"/>
  <c r="H355" i="1"/>
  <c r="D354" i="1"/>
  <c r="M352" i="1"/>
  <c r="J351" i="1"/>
  <c r="G350" i="1"/>
  <c r="N348" i="1"/>
  <c r="K347" i="1"/>
  <c r="E346" i="1"/>
  <c r="B345" i="1"/>
  <c r="L343" i="1"/>
  <c r="G342" i="1"/>
  <c r="M340" i="1"/>
  <c r="I339" i="1"/>
  <c r="E338" i="1"/>
  <c r="M336" i="1"/>
  <c r="H335" i="1"/>
  <c r="C334" i="1"/>
  <c r="N332" i="1"/>
  <c r="I331" i="1"/>
  <c r="F330" i="1"/>
  <c r="K328" i="1"/>
  <c r="I327" i="1"/>
  <c r="E326" i="1"/>
  <c r="N324" i="1"/>
  <c r="K323" i="1"/>
  <c r="A322" i="1"/>
  <c r="M320" i="1"/>
  <c r="G319" i="1"/>
  <c r="D318" i="1"/>
  <c r="A317" i="1"/>
  <c r="M315" i="1"/>
  <c r="M314" i="1"/>
  <c r="M313" i="1"/>
  <c r="L312" i="1"/>
  <c r="K311" i="1"/>
  <c r="I310" i="1"/>
  <c r="H309" i="1"/>
  <c r="H308" i="1"/>
  <c r="G307" i="1"/>
  <c r="E306" i="1"/>
  <c r="B305" i="1"/>
  <c r="A304" i="1"/>
  <c r="N302" i="1"/>
  <c r="M301" i="1"/>
  <c r="K300" i="1"/>
  <c r="H299" i="1"/>
  <c r="F298" i="1"/>
  <c r="F297" i="1"/>
  <c r="E296" i="1"/>
  <c r="D295" i="1"/>
  <c r="A294" i="1"/>
  <c r="N292" i="1"/>
  <c r="L291" i="1"/>
  <c r="K290" i="1"/>
  <c r="J289" i="1"/>
  <c r="I288" i="1"/>
  <c r="I287" i="1"/>
  <c r="I286" i="1"/>
  <c r="H285" i="1"/>
  <c r="G284" i="1"/>
  <c r="B283" i="1"/>
  <c r="N281" i="1"/>
  <c r="M280" i="1"/>
  <c r="M279" i="1"/>
  <c r="L278" i="1"/>
  <c r="I277" i="1"/>
  <c r="G276" i="1"/>
  <c r="E275" i="1"/>
  <c r="E274" i="1"/>
  <c r="D273" i="1"/>
  <c r="N271" i="1"/>
  <c r="L270" i="1"/>
  <c r="L269" i="1"/>
  <c r="K268" i="1"/>
  <c r="J267" i="1"/>
  <c r="I266" i="1"/>
  <c r="I265" i="1"/>
  <c r="G264" i="1"/>
  <c r="E263" i="1"/>
  <c r="D262" i="1"/>
  <c r="A261" i="1"/>
  <c r="N259" i="1"/>
  <c r="L258" i="1"/>
  <c r="J257" i="1"/>
  <c r="H256" i="1"/>
  <c r="D255" i="1"/>
  <c r="B254" i="1"/>
  <c r="B253" i="1"/>
  <c r="A252" i="1"/>
  <c r="M250" i="1"/>
  <c r="I249" i="1"/>
  <c r="H248" i="1"/>
  <c r="E247" i="1"/>
  <c r="C246" i="1"/>
  <c r="A245" i="1"/>
  <c r="K243" i="1"/>
  <c r="J242" i="1"/>
  <c r="J241" i="1"/>
  <c r="J240" i="1"/>
  <c r="I239" i="1"/>
  <c r="F238" i="1"/>
  <c r="F237" i="1"/>
  <c r="E236" i="1"/>
  <c r="D235" i="1"/>
  <c r="B234" i="1"/>
  <c r="L232" i="1"/>
  <c r="L231" i="1"/>
  <c r="K230" i="1"/>
  <c r="J229" i="1"/>
  <c r="I228" i="1"/>
  <c r="F227" i="1"/>
  <c r="E226" i="1"/>
  <c r="B225" i="1"/>
  <c r="A224" i="1"/>
  <c r="N222" i="1"/>
  <c r="J221" i="1"/>
  <c r="J220" i="1"/>
  <c r="J219" i="1"/>
  <c r="K218" i="1"/>
  <c r="K217" i="1"/>
  <c r="I216" i="1"/>
  <c r="H215" i="1"/>
  <c r="H214" i="1"/>
  <c r="G213" i="1"/>
  <c r="E212" i="1"/>
  <c r="A211" i="1"/>
  <c r="M209" i="1"/>
  <c r="K208" i="1"/>
  <c r="I207" i="1"/>
  <c r="G206" i="1"/>
  <c r="D205" i="1"/>
  <c r="B204" i="1"/>
  <c r="N202" i="1"/>
  <c r="N201" i="1"/>
  <c r="N200" i="1"/>
  <c r="M199" i="1"/>
  <c r="O198" i="1"/>
  <c r="O197" i="1"/>
  <c r="B197" i="1"/>
  <c r="F196" i="1"/>
  <c r="I195" i="1"/>
  <c r="L194" i="1"/>
  <c r="N193" i="1"/>
  <c r="A193" i="1"/>
  <c r="B192" i="1"/>
  <c r="E191" i="1"/>
  <c r="G190" i="1"/>
  <c r="I189" i="1"/>
  <c r="K188" i="1"/>
  <c r="M187" i="1"/>
  <c r="A187" i="1"/>
  <c r="C186" i="1"/>
  <c r="F185" i="1"/>
  <c r="G184" i="1"/>
  <c r="H183" i="1"/>
  <c r="J182" i="1"/>
  <c r="K181" i="1"/>
  <c r="Q180" i="1"/>
  <c r="E180" i="1"/>
  <c r="G179" i="1"/>
  <c r="I178" i="1"/>
  <c r="I177" i="1"/>
  <c r="I176" i="1"/>
  <c r="I175" i="1"/>
  <c r="J174" i="1"/>
  <c r="J173" i="1"/>
  <c r="L172" i="1"/>
  <c r="P171" i="1"/>
  <c r="D171" i="1"/>
  <c r="J170" i="1"/>
  <c r="L169" i="1"/>
  <c r="N168" i="1"/>
  <c r="A168" i="1"/>
  <c r="B167" i="1"/>
  <c r="B166" i="1"/>
  <c r="D165" i="1"/>
  <c r="E164" i="1"/>
  <c r="G163" i="1"/>
  <c r="H162" i="1"/>
  <c r="J161" i="1"/>
  <c r="L160" i="1"/>
  <c r="M159" i="1"/>
  <c r="N158" i="1"/>
  <c r="R157" i="1"/>
  <c r="F157" i="1"/>
  <c r="L156" i="1"/>
  <c r="R155" i="1"/>
  <c r="F155" i="1"/>
  <c r="H154" i="1"/>
  <c r="L153" i="1"/>
  <c r="R152" i="1"/>
  <c r="F152" i="1"/>
  <c r="L151" i="1"/>
  <c r="N150" i="1"/>
  <c r="A150" i="1"/>
  <c r="G149" i="1"/>
  <c r="I148" i="1"/>
  <c r="N147" i="1"/>
  <c r="B147" i="1"/>
  <c r="C146" i="1"/>
  <c r="D145" i="1"/>
  <c r="D144" i="1"/>
  <c r="I143" i="1"/>
  <c r="O142" i="1"/>
  <c r="C142" i="1"/>
  <c r="D141" i="1"/>
  <c r="H140" i="1"/>
  <c r="L139" i="1"/>
  <c r="N138" i="1"/>
  <c r="A138" i="1"/>
  <c r="B137" i="1"/>
  <c r="H136" i="1"/>
  <c r="K135" i="1"/>
  <c r="L134" i="1"/>
  <c r="M133" i="1"/>
  <c r="A133" i="1"/>
  <c r="E132" i="1"/>
  <c r="K131" i="1"/>
  <c r="O130" i="1"/>
  <c r="B130" i="1"/>
  <c r="E129" i="1"/>
  <c r="G128" i="1"/>
  <c r="H127" i="1"/>
  <c r="L126" i="1"/>
  <c r="Q125" i="1"/>
  <c r="D125" i="1"/>
  <c r="I124" i="1"/>
  <c r="K123" i="1"/>
  <c r="L122" i="1"/>
  <c r="M121" i="1"/>
  <c r="N120" i="1"/>
  <c r="A120" i="1"/>
  <c r="A119" i="1"/>
  <c r="A118" i="1"/>
  <c r="G117" i="1"/>
  <c r="I116" i="1"/>
  <c r="I115" i="1"/>
  <c r="J114" i="1"/>
  <c r="O113" i="1"/>
  <c r="C113" i="1"/>
  <c r="E112" i="1"/>
  <c r="E111" i="1"/>
  <c r="H110" i="1"/>
  <c r="L109" i="1"/>
  <c r="O108" i="1"/>
  <c r="B108" i="1"/>
  <c r="D107" i="1"/>
  <c r="H106" i="1"/>
  <c r="L105" i="1"/>
  <c r="N104" i="1"/>
  <c r="A104" i="1"/>
  <c r="D103" i="1"/>
  <c r="I102" i="1"/>
  <c r="O101" i="1"/>
  <c r="C101" i="1"/>
  <c r="I100" i="1"/>
  <c r="O99" i="1"/>
  <c r="C99" i="1"/>
  <c r="E98" i="1"/>
  <c r="G97" i="1"/>
  <c r="G96" i="1"/>
  <c r="H95" i="1"/>
  <c r="H94" i="1"/>
  <c r="H93" i="1"/>
  <c r="H92" i="1"/>
  <c r="H91" i="1"/>
  <c r="H90" i="1"/>
  <c r="H89" i="1"/>
  <c r="L88" i="1"/>
  <c r="N87" i="1"/>
  <c r="A87" i="1"/>
  <c r="A86" i="1"/>
  <c r="C85" i="1"/>
  <c r="E84" i="1"/>
  <c r="G83" i="1"/>
  <c r="I82" i="1"/>
  <c r="J81" i="1"/>
  <c r="N80" i="1"/>
  <c r="A80" i="1"/>
  <c r="B79" i="1"/>
  <c r="D78" i="1"/>
  <c r="G77" i="1"/>
  <c r="J76" i="1"/>
  <c r="L75" i="1"/>
  <c r="M74" i="1"/>
  <c r="P73" i="1"/>
  <c r="D73" i="1"/>
  <c r="J72" i="1"/>
  <c r="L71" i="1"/>
  <c r="M70" i="1"/>
  <c r="N69" i="1"/>
  <c r="R68" i="1"/>
  <c r="F68" i="1"/>
  <c r="H67" i="1"/>
  <c r="I66" i="1"/>
  <c r="J65" i="1"/>
  <c r="K64" i="1"/>
  <c r="L63" i="1"/>
  <c r="M62" i="1"/>
  <c r="N61" i="1"/>
  <c r="A61" i="1"/>
  <c r="B60" i="1"/>
  <c r="C59" i="1"/>
  <c r="D58" i="1"/>
  <c r="D57" i="1"/>
  <c r="E56" i="1"/>
  <c r="E55" i="1"/>
  <c r="E54" i="1"/>
  <c r="G53" i="1"/>
  <c r="H52" i="1"/>
  <c r="I51" i="1"/>
  <c r="J50" i="1"/>
  <c r="K49" i="1"/>
  <c r="L48" i="1"/>
  <c r="M47" i="1"/>
  <c r="N46" i="1"/>
  <c r="N45" i="1"/>
  <c r="A45" i="1"/>
  <c r="C44" i="1"/>
  <c r="E43" i="1"/>
  <c r="F42" i="1"/>
  <c r="G41" i="1"/>
  <c r="H40" i="1"/>
  <c r="J39" i="1"/>
  <c r="K38" i="1"/>
  <c r="K37" i="1"/>
  <c r="L36" i="1"/>
  <c r="L35" i="1"/>
  <c r="M34" i="1"/>
  <c r="N33" i="1"/>
  <c r="A33" i="1"/>
  <c r="A32" i="1"/>
  <c r="A31" i="1"/>
  <c r="A30" i="1"/>
  <c r="A29" i="1"/>
  <c r="B28" i="1"/>
  <c r="C27" i="1"/>
  <c r="E26" i="1"/>
  <c r="G25" i="1"/>
  <c r="G24" i="1"/>
  <c r="H23" i="1"/>
  <c r="M22" i="1"/>
  <c r="A22" i="1"/>
  <c r="B21" i="1"/>
  <c r="H20" i="1"/>
  <c r="J19" i="1"/>
  <c r="A432" i="1"/>
  <c r="L423" i="1"/>
  <c r="J415" i="1"/>
  <c r="K408" i="1"/>
  <c r="D402" i="1"/>
  <c r="J395" i="1"/>
  <c r="B389" i="1"/>
  <c r="M387" i="1"/>
  <c r="H386" i="1"/>
  <c r="D385" i="1"/>
  <c r="N383" i="1"/>
  <c r="G382" i="1"/>
  <c r="D381" i="1"/>
  <c r="L379" i="1"/>
  <c r="I378" i="1"/>
  <c r="D377" i="1"/>
  <c r="L375" i="1"/>
  <c r="E374" i="1"/>
  <c r="A373" i="1"/>
  <c r="L371" i="1"/>
  <c r="F370" i="1"/>
  <c r="A369" i="1"/>
  <c r="J367" i="1"/>
  <c r="G366" i="1"/>
  <c r="A365" i="1"/>
  <c r="L363" i="1"/>
  <c r="D362" i="1"/>
  <c r="N360" i="1"/>
  <c r="K359" i="1"/>
  <c r="D358" i="1"/>
  <c r="N356" i="1"/>
  <c r="G355" i="1"/>
  <c r="C354" i="1"/>
  <c r="L352" i="1"/>
  <c r="I351" i="1"/>
  <c r="F350" i="1"/>
  <c r="M348" i="1"/>
  <c r="J347" i="1"/>
  <c r="D346" i="1"/>
  <c r="A345" i="1"/>
  <c r="K343" i="1"/>
  <c r="E342" i="1"/>
  <c r="L340" i="1"/>
  <c r="H339" i="1"/>
  <c r="D338" i="1"/>
  <c r="L336" i="1"/>
  <c r="G335" i="1"/>
  <c r="B334" i="1"/>
  <c r="M332" i="1"/>
  <c r="H331" i="1"/>
  <c r="E330" i="1"/>
  <c r="J328" i="1"/>
  <c r="H327" i="1"/>
  <c r="D326" i="1"/>
  <c r="M324" i="1"/>
  <c r="J323" i="1"/>
  <c r="N321" i="1"/>
  <c r="L320" i="1"/>
  <c r="E319" i="1"/>
  <c r="C318" i="1"/>
  <c r="N316" i="1"/>
  <c r="L315" i="1"/>
  <c r="L314" i="1"/>
  <c r="L313" i="1"/>
  <c r="K312" i="1"/>
  <c r="J311" i="1"/>
  <c r="H310" i="1"/>
  <c r="G309" i="1"/>
  <c r="G308" i="1"/>
  <c r="E307" i="1"/>
  <c r="D306" i="1"/>
  <c r="A305" i="1"/>
  <c r="N303" i="1"/>
  <c r="M302" i="1"/>
  <c r="L301" i="1"/>
  <c r="J300" i="1"/>
  <c r="G299" i="1"/>
  <c r="E298" i="1"/>
  <c r="E297" i="1"/>
  <c r="D296" i="1"/>
  <c r="B295" i="1"/>
  <c r="N293" i="1"/>
  <c r="M292" i="1"/>
  <c r="K291" i="1"/>
  <c r="J290" i="1"/>
  <c r="I289" i="1"/>
  <c r="H288" i="1"/>
  <c r="H287" i="1"/>
  <c r="H286" i="1"/>
  <c r="G285" i="1"/>
  <c r="E284" i="1"/>
  <c r="A283" i="1"/>
  <c r="M281" i="1"/>
  <c r="L280" i="1"/>
  <c r="L279" i="1"/>
  <c r="K278" i="1"/>
  <c r="H277" i="1"/>
  <c r="E276" i="1"/>
  <c r="D275" i="1"/>
  <c r="D274" i="1"/>
  <c r="B273" i="1"/>
  <c r="M271" i="1"/>
  <c r="K270" i="1"/>
  <c r="K269" i="1"/>
  <c r="J268" i="1"/>
  <c r="I267" i="1"/>
  <c r="H266" i="1"/>
  <c r="H265" i="1"/>
  <c r="E264" i="1"/>
  <c r="D263" i="1"/>
  <c r="C262" i="1"/>
  <c r="O260" i="1"/>
  <c r="M259" i="1"/>
  <c r="K258" i="1"/>
  <c r="I257" i="1"/>
  <c r="G256" i="1"/>
  <c r="C255" i="1"/>
  <c r="A254" i="1"/>
  <c r="A253" i="1"/>
  <c r="N251" i="1"/>
  <c r="L250" i="1"/>
  <c r="H249" i="1"/>
  <c r="G248" i="1"/>
  <c r="D247" i="1"/>
  <c r="B246" i="1"/>
  <c r="N244" i="1"/>
  <c r="J243" i="1"/>
  <c r="I242" i="1"/>
  <c r="I241" i="1"/>
  <c r="I240" i="1"/>
  <c r="H239" i="1"/>
  <c r="E238" i="1"/>
  <c r="E237" i="1"/>
  <c r="D236" i="1"/>
  <c r="B235" i="1"/>
  <c r="A234" i="1"/>
  <c r="K232" i="1"/>
  <c r="K231" i="1"/>
  <c r="J230" i="1"/>
  <c r="I229" i="1"/>
  <c r="H228" i="1"/>
  <c r="E227" i="1"/>
  <c r="D226" i="1"/>
  <c r="A225" i="1"/>
  <c r="N223" i="1"/>
  <c r="M222" i="1"/>
  <c r="I221" i="1"/>
  <c r="I220" i="1"/>
  <c r="I219" i="1"/>
  <c r="J218" i="1"/>
  <c r="J217" i="1"/>
  <c r="H216" i="1"/>
  <c r="G215" i="1"/>
  <c r="G214" i="1"/>
  <c r="F213" i="1"/>
  <c r="D212" i="1"/>
  <c r="N210" i="1"/>
  <c r="L209" i="1"/>
  <c r="J208" i="1"/>
  <c r="H207" i="1"/>
  <c r="F206" i="1"/>
  <c r="B205" i="1"/>
  <c r="A204" i="1"/>
  <c r="M202" i="1"/>
  <c r="M201" i="1"/>
  <c r="M200" i="1"/>
  <c r="L199" i="1"/>
  <c r="N198" i="1"/>
  <c r="N197" i="1"/>
  <c r="A197" i="1"/>
  <c r="E196" i="1"/>
  <c r="H195" i="1"/>
  <c r="K194" i="1"/>
  <c r="M193" i="1"/>
  <c r="O192" i="1"/>
  <c r="A192" i="1"/>
  <c r="D191" i="1"/>
  <c r="E190" i="1"/>
  <c r="H189" i="1"/>
  <c r="J188" i="1"/>
  <c r="L187" i="1"/>
  <c r="O186" i="1"/>
  <c r="B186" i="1"/>
  <c r="E185" i="1"/>
  <c r="E184" i="1"/>
  <c r="G183" i="1"/>
  <c r="I182" i="1"/>
  <c r="J181" i="1"/>
  <c r="P180" i="1"/>
  <c r="D180" i="1"/>
  <c r="F179" i="1"/>
  <c r="H178" i="1"/>
  <c r="H177" i="1"/>
  <c r="H176" i="1"/>
  <c r="H175" i="1"/>
  <c r="I174" i="1"/>
  <c r="I173" i="1"/>
  <c r="K172" i="1"/>
  <c r="O171" i="1"/>
  <c r="C171" i="1"/>
  <c r="I170" i="1"/>
  <c r="K169" i="1"/>
  <c r="M168" i="1"/>
  <c r="N167" i="1"/>
  <c r="A167" i="1"/>
  <c r="A166" i="1"/>
  <c r="B165" i="1"/>
  <c r="D164" i="1"/>
  <c r="E163" i="1"/>
  <c r="G162" i="1"/>
  <c r="I161" i="1"/>
  <c r="K160" i="1"/>
  <c r="L159" i="1"/>
  <c r="M158" i="1"/>
  <c r="Q157" i="1"/>
  <c r="E157" i="1"/>
  <c r="K156" i="1"/>
  <c r="Q155" i="1"/>
  <c r="E155" i="1"/>
  <c r="G154" i="1"/>
  <c r="K153" i="1"/>
  <c r="Q152" i="1"/>
  <c r="E152" i="1"/>
  <c r="K151" i="1"/>
  <c r="M150" i="1"/>
  <c r="R149" i="1"/>
  <c r="F149" i="1"/>
  <c r="H148" i="1"/>
  <c r="M147" i="1"/>
  <c r="A147" i="1"/>
  <c r="B146" i="1"/>
  <c r="B145" i="1"/>
  <c r="B144" i="1"/>
  <c r="H143" i="1"/>
  <c r="N142" i="1"/>
  <c r="B142" i="1"/>
  <c r="C141" i="1"/>
  <c r="G140" i="1"/>
  <c r="K139" i="1"/>
  <c r="M138" i="1"/>
  <c r="N137" i="1"/>
  <c r="A137" i="1"/>
  <c r="G136" i="1"/>
  <c r="J135" i="1"/>
  <c r="K134" i="1"/>
  <c r="L133" i="1"/>
  <c r="P132" i="1"/>
  <c r="D132" i="1"/>
  <c r="J131" i="1"/>
  <c r="N130" i="1"/>
  <c r="A130" i="1"/>
  <c r="D129" i="1"/>
  <c r="E128" i="1"/>
  <c r="G127" i="1"/>
  <c r="K126" i="1"/>
  <c r="P125" i="1"/>
  <c r="B125" i="1"/>
  <c r="H124" i="1"/>
  <c r="J123" i="1"/>
  <c r="K122" i="1"/>
  <c r="L121" i="1"/>
  <c r="M120" i="1"/>
  <c r="N119" i="1"/>
  <c r="N118" i="1"/>
  <c r="R117" i="1"/>
  <c r="F117" i="1"/>
  <c r="H116" i="1"/>
  <c r="H115" i="1"/>
  <c r="I114" i="1"/>
  <c r="N113" i="1"/>
  <c r="B113" i="1"/>
  <c r="D112" i="1"/>
  <c r="D111" i="1"/>
  <c r="G110" i="1"/>
  <c r="K109" i="1"/>
  <c r="N108" i="1"/>
  <c r="A108" i="1"/>
  <c r="C107" i="1"/>
  <c r="G106" i="1"/>
  <c r="K105" i="1"/>
  <c r="M104" i="1"/>
  <c r="Q103" i="1"/>
  <c r="B103" i="1"/>
  <c r="H102" i="1"/>
  <c r="N101" i="1"/>
  <c r="B101" i="1"/>
  <c r="H100" i="1"/>
  <c r="N99" i="1"/>
  <c r="B99" i="1"/>
  <c r="D98" i="1"/>
  <c r="E97" i="1"/>
  <c r="E96" i="1"/>
  <c r="G95" i="1"/>
  <c r="G94" i="1"/>
  <c r="G93" i="1"/>
  <c r="G92" i="1"/>
  <c r="G91" i="1"/>
  <c r="G90" i="1"/>
  <c r="G89" i="1"/>
  <c r="K88" i="1"/>
  <c r="M87" i="1"/>
  <c r="N86" i="1"/>
  <c r="N85" i="1"/>
  <c r="B85" i="1"/>
  <c r="D84" i="1"/>
  <c r="F83" i="1"/>
  <c r="H82" i="1"/>
  <c r="I81" i="1"/>
  <c r="M80" i="1"/>
  <c r="O79" i="1"/>
  <c r="A79" i="1"/>
  <c r="C78" i="1"/>
  <c r="F77" i="1"/>
  <c r="I76" i="1"/>
  <c r="K75" i="1"/>
  <c r="L74" i="1"/>
  <c r="O73" i="1"/>
  <c r="C73" i="1"/>
  <c r="I72" i="1"/>
  <c r="K71" i="1"/>
  <c r="L70" i="1"/>
  <c r="M69" i="1"/>
  <c r="Q68" i="1"/>
  <c r="E68" i="1"/>
  <c r="G67" i="1"/>
  <c r="H66" i="1"/>
  <c r="I65" i="1"/>
  <c r="J64" i="1"/>
  <c r="K63" i="1"/>
  <c r="L62" i="1"/>
  <c r="M61" i="1"/>
  <c r="N60" i="1"/>
  <c r="A60" i="1"/>
  <c r="B59" i="1"/>
  <c r="B58" i="1"/>
  <c r="B57" i="1"/>
  <c r="D56" i="1"/>
  <c r="D55" i="1"/>
  <c r="D54" i="1"/>
  <c r="E53" i="1"/>
  <c r="G52" i="1"/>
  <c r="H51" i="1"/>
  <c r="I50" i="1"/>
  <c r="J49" i="1"/>
  <c r="K48" i="1"/>
  <c r="L47" i="1"/>
  <c r="M46" i="1"/>
  <c r="M45" i="1"/>
  <c r="N44" i="1"/>
  <c r="B44" i="1"/>
  <c r="D43" i="1"/>
  <c r="E42" i="1"/>
  <c r="F41" i="1"/>
  <c r="G40" i="1"/>
  <c r="I39" i="1"/>
  <c r="J38" i="1"/>
  <c r="J37" i="1"/>
  <c r="K36" i="1"/>
  <c r="K35" i="1"/>
  <c r="L34" i="1"/>
  <c r="M33" i="1"/>
  <c r="N32" i="1"/>
  <c r="N31" i="1"/>
  <c r="N30" i="1"/>
  <c r="N29" i="1"/>
  <c r="N28" i="1"/>
  <c r="A28" i="1"/>
  <c r="B27" i="1"/>
  <c r="D26" i="1"/>
  <c r="E25" i="1"/>
  <c r="F24" i="1"/>
  <c r="G23" i="1"/>
  <c r="L22" i="1"/>
  <c r="O21" i="1"/>
  <c r="A21" i="1"/>
  <c r="G20" i="1"/>
  <c r="I19" i="1"/>
  <c r="B301" i="1"/>
  <c r="M298" i="1"/>
  <c r="K296" i="1"/>
  <c r="I294" i="1"/>
  <c r="A293" i="1"/>
  <c r="C291" i="1"/>
  <c r="K289" i="1"/>
  <c r="C288" i="1"/>
  <c r="J286" i="1"/>
  <c r="M284" i="1"/>
  <c r="F283" i="1"/>
  <c r="H281" i="1"/>
  <c r="N279" i="1"/>
  <c r="D278" i="1"/>
  <c r="H276" i="1"/>
  <c r="K274" i="1"/>
  <c r="E273" i="1"/>
  <c r="H271" i="1"/>
  <c r="M269" i="1"/>
  <c r="B268" i="1"/>
  <c r="L266" i="1"/>
  <c r="A265" i="1"/>
  <c r="G263" i="1"/>
  <c r="J261" i="1"/>
  <c r="A260" i="1"/>
  <c r="B258" i="1"/>
  <c r="I256" i="1"/>
  <c r="L254" i="1"/>
  <c r="C253" i="1"/>
  <c r="G251" i="1"/>
  <c r="L249" i="1"/>
  <c r="N247" i="1"/>
  <c r="D246" i="1"/>
  <c r="G244" i="1"/>
  <c r="K242" i="1"/>
  <c r="B241" i="1"/>
  <c r="J239" i="1"/>
  <c r="N237" i="1"/>
  <c r="G236" i="1"/>
  <c r="I234" i="1"/>
  <c r="A233" i="1"/>
  <c r="E231" i="1"/>
  <c r="K229" i="1"/>
  <c r="N227" i="1"/>
  <c r="F226" i="1"/>
  <c r="H224" i="1"/>
  <c r="A223" i="1"/>
  <c r="D221" i="1"/>
  <c r="K219" i="1"/>
  <c r="C218" i="1"/>
  <c r="L216" i="1"/>
  <c r="B215" i="1"/>
  <c r="H213" i="1"/>
  <c r="K211" i="1"/>
  <c r="N209" i="1"/>
  <c r="A208" i="1"/>
  <c r="H206" i="1"/>
  <c r="K204" i="1"/>
  <c r="A203" i="1"/>
  <c r="E201" i="1"/>
  <c r="P199" i="1"/>
  <c r="I198" i="1"/>
  <c r="D197" i="1"/>
  <c r="O195" i="1"/>
  <c r="M194" i="1"/>
  <c r="H193" i="1"/>
  <c r="D192" i="1"/>
  <c r="M190" i="1"/>
  <c r="J189" i="1"/>
  <c r="D188" i="1"/>
  <c r="B187" i="1"/>
  <c r="L185" i="1"/>
  <c r="H184" i="1"/>
  <c r="B183" i="1"/>
  <c r="L181" i="1"/>
  <c r="K180" i="1"/>
  <c r="H179" i="1"/>
  <c r="A178" i="1"/>
  <c r="J176" i="1"/>
  <c r="B175" i="1"/>
  <c r="K173" i="1"/>
  <c r="E172" i="1"/>
  <c r="E171" i="1"/>
  <c r="D170" i="1"/>
  <c r="A169" i="1"/>
  <c r="I167" i="1"/>
  <c r="D166" i="1"/>
  <c r="K164" i="1"/>
  <c r="H163" i="1"/>
  <c r="B162" i="1"/>
  <c r="M160" i="1"/>
  <c r="G159" i="1"/>
  <c r="A158" i="1"/>
  <c r="R156" i="1"/>
  <c r="A156" i="1"/>
  <c r="N154" i="1"/>
  <c r="M153" i="1"/>
  <c r="L152" i="1"/>
  <c r="M151" i="1"/>
  <c r="H150" i="1"/>
  <c r="H149" i="1"/>
  <c r="B148" i="1"/>
  <c r="C147" i="1"/>
  <c r="K145" i="1"/>
  <c r="E144" i="1"/>
  <c r="C143" i="1"/>
  <c r="D142" i="1"/>
  <c r="N140" i="1"/>
  <c r="M139" i="1"/>
  <c r="H138" i="1"/>
  <c r="C137" i="1"/>
  <c r="B136" i="1"/>
  <c r="M134" i="1"/>
  <c r="G133" i="1"/>
  <c r="F132" i="1"/>
  <c r="E131" i="1"/>
  <c r="C130" i="1"/>
  <c r="M128" i="1"/>
  <c r="I127" i="1"/>
  <c r="G126" i="1"/>
  <c r="J125" i="1"/>
  <c r="L124" i="1"/>
  <c r="L123" i="1"/>
  <c r="I122" i="1"/>
  <c r="H121" i="1"/>
  <c r="G120" i="1"/>
  <c r="E119" i="1"/>
  <c r="A300" i="1"/>
  <c r="M297" i="1"/>
  <c r="J295" i="1"/>
  <c r="K293" i="1"/>
  <c r="A292" i="1"/>
  <c r="D290" i="1"/>
  <c r="N288" i="1"/>
  <c r="E287" i="1"/>
  <c r="K285" i="1"/>
  <c r="M283" i="1"/>
  <c r="G282" i="1"/>
  <c r="I280" i="1"/>
  <c r="A279" i="1"/>
  <c r="D277" i="1"/>
  <c r="H275" i="1"/>
  <c r="M273" i="1"/>
  <c r="E272" i="1"/>
  <c r="H270" i="1"/>
  <c r="N268" i="1"/>
  <c r="D267" i="1"/>
  <c r="N265" i="1"/>
  <c r="B264" i="1"/>
  <c r="G262" i="1"/>
  <c r="L260" i="1"/>
  <c r="A259" i="1"/>
  <c r="B257" i="1"/>
  <c r="J255" i="1"/>
  <c r="L253" i="1"/>
  <c r="D252" i="1"/>
  <c r="G250" i="1"/>
  <c r="M248" i="1"/>
  <c r="N246" i="1"/>
  <c r="E245" i="1"/>
  <c r="G243" i="1"/>
  <c r="M241" i="1"/>
  <c r="D240" i="1"/>
  <c r="K238" i="1"/>
  <c r="B237" i="1"/>
  <c r="G235" i="1"/>
  <c r="J233" i="1"/>
  <c r="C232" i="1"/>
  <c r="G230" i="1"/>
  <c r="L228" i="1"/>
  <c r="A227" i="1"/>
  <c r="G225" i="1"/>
  <c r="I223" i="1"/>
  <c r="A222" i="1"/>
  <c r="F220" i="1"/>
  <c r="N218" i="1"/>
  <c r="E217" i="1"/>
  <c r="M215" i="1"/>
  <c r="C214" i="1"/>
  <c r="I212" i="1"/>
  <c r="K210" i="1"/>
  <c r="N208" i="1"/>
  <c r="A207" i="1"/>
  <c r="I205" i="1"/>
  <c r="L203" i="1"/>
  <c r="C202" i="1"/>
  <c r="H200" i="1"/>
  <c r="D199" i="1"/>
  <c r="K197" i="1"/>
  <c r="I196" i="1"/>
  <c r="E195" i="1"/>
  <c r="A194" i="1"/>
  <c r="L192" i="1"/>
  <c r="I191" i="1"/>
  <c r="B190" i="1"/>
  <c r="N188" i="1"/>
  <c r="I187" i="1"/>
  <c r="G186" i="1"/>
  <c r="A185" i="1"/>
  <c r="K183" i="1"/>
  <c r="E182" i="1"/>
  <c r="B181" i="1"/>
  <c r="A180" i="1"/>
  <c r="L178" i="1"/>
  <c r="D177" i="1"/>
  <c r="L175" i="1"/>
  <c r="E174" i="1"/>
  <c r="A173" i="1"/>
  <c r="L171" i="1"/>
  <c r="M170" i="1"/>
  <c r="H169" i="1"/>
  <c r="E168" i="1"/>
  <c r="L166" i="1"/>
  <c r="G165" i="1"/>
  <c r="A164" i="1"/>
  <c r="K162" i="1"/>
  <c r="F161" i="1"/>
  <c r="B160" i="1"/>
  <c r="J158" i="1"/>
  <c r="I157" i="1"/>
  <c r="H156" i="1"/>
  <c r="I155" i="1"/>
  <c r="B154" i="1"/>
  <c r="C153" i="1"/>
  <c r="B152" i="1"/>
  <c r="C151" i="1"/>
  <c r="O149" i="1"/>
  <c r="L148" i="1"/>
  <c r="J147" i="1"/>
  <c r="G146" i="1"/>
  <c r="M144" i="1"/>
  <c r="L143" i="1"/>
  <c r="K142" i="1"/>
  <c r="H141" i="1"/>
  <c r="D140" i="1"/>
  <c r="B139" i="1"/>
  <c r="K137" i="1"/>
  <c r="K136" i="1"/>
  <c r="G135" i="1"/>
  <c r="A134" i="1"/>
  <c r="M132" i="1"/>
  <c r="N131" i="1"/>
  <c r="K130" i="1"/>
  <c r="H129" i="1"/>
  <c r="A128" i="1"/>
  <c r="O126" i="1"/>
  <c r="R125" i="1"/>
  <c r="R124" i="1"/>
  <c r="D124" i="1"/>
  <c r="D123" i="1"/>
  <c r="B122" i="1"/>
  <c r="A121" i="1"/>
  <c r="L119" i="1"/>
  <c r="J118" i="1"/>
  <c r="C303" i="1"/>
  <c r="D299" i="1"/>
  <c r="L296" i="1"/>
  <c r="F294" i="1"/>
  <c r="H292" i="1"/>
  <c r="C290" i="1"/>
  <c r="F288" i="1"/>
  <c r="K286" i="1"/>
  <c r="J284" i="1"/>
  <c r="J282" i="1"/>
  <c r="H280" i="1"/>
  <c r="G278" i="1"/>
  <c r="I276" i="1"/>
  <c r="H274" i="1"/>
  <c r="I272" i="1"/>
  <c r="G270" i="1"/>
  <c r="H268" i="1"/>
  <c r="M266" i="1"/>
  <c r="J264" i="1"/>
  <c r="J262" i="1"/>
  <c r="K260" i="1"/>
  <c r="I258" i="1"/>
  <c r="J256" i="1"/>
  <c r="I254" i="1"/>
  <c r="H252" i="1"/>
  <c r="E250" i="1"/>
  <c r="D248" i="1"/>
  <c r="E246" i="1"/>
  <c r="B244" i="1"/>
  <c r="D242" i="1"/>
  <c r="B240" i="1"/>
  <c r="C238" i="1"/>
  <c r="H236" i="1"/>
  <c r="F234" i="1"/>
  <c r="F232" i="1"/>
  <c r="F230" i="1"/>
  <c r="C228" i="1"/>
  <c r="G226" i="1"/>
  <c r="D224" i="1"/>
  <c r="E222" i="1"/>
  <c r="E220" i="1"/>
  <c r="H218" i="1"/>
  <c r="M216" i="1"/>
  <c r="K214" i="1"/>
  <c r="L212" i="1"/>
  <c r="J210" i="1"/>
  <c r="H208" i="1"/>
  <c r="I206" i="1"/>
  <c r="H204" i="1"/>
  <c r="F202" i="1"/>
  <c r="G200" i="1"/>
  <c r="L198" i="1"/>
  <c r="E197" i="1"/>
  <c r="L195" i="1"/>
  <c r="E194" i="1"/>
  <c r="K192" i="1"/>
  <c r="A191" i="1"/>
  <c r="K189" i="1"/>
  <c r="P187" i="1"/>
  <c r="J186" i="1"/>
  <c r="N184" i="1"/>
  <c r="E183" i="1"/>
  <c r="M181" i="1"/>
  <c r="H180" i="1"/>
  <c r="A179" i="1"/>
  <c r="B177" i="1"/>
  <c r="E175" i="1"/>
  <c r="L173" i="1"/>
  <c r="A172" i="1"/>
  <c r="P170" i="1"/>
  <c r="G169" i="1"/>
  <c r="L167" i="1"/>
  <c r="E166" i="1"/>
  <c r="H164" i="1"/>
  <c r="N162" i="1"/>
  <c r="E161" i="1"/>
  <c r="J159" i="1"/>
  <c r="B158" i="1"/>
  <c r="O156" i="1"/>
  <c r="L155" i="1"/>
  <c r="A154" i="1"/>
  <c r="O152" i="1"/>
  <c r="N151" i="1"/>
  <c r="E150" i="1"/>
  <c r="A149" i="1"/>
  <c r="I147" i="1"/>
  <c r="N145" i="1"/>
  <c r="G144" i="1"/>
  <c r="R142" i="1"/>
  <c r="K141" i="1"/>
  <c r="C140" i="1"/>
  <c r="K138" i="1"/>
  <c r="D137" i="1"/>
  <c r="N135" i="1"/>
  <c r="E134" i="1"/>
  <c r="L132" i="1"/>
  <c r="H131" i="1"/>
  <c r="J128" i="1"/>
  <c r="R126" i="1"/>
  <c r="O125" i="1"/>
  <c r="O124" i="1"/>
  <c r="M123" i="1"/>
  <c r="G122" i="1"/>
  <c r="C121" i="1"/>
  <c r="K119" i="1"/>
  <c r="G118" i="1"/>
  <c r="I117" i="1"/>
  <c r="G116" i="1"/>
  <c r="D115" i="1"/>
  <c r="C114" i="1"/>
  <c r="G112" i="1"/>
  <c r="C111" i="1"/>
  <c r="F109" i="1"/>
  <c r="H105" i="1"/>
  <c r="K102" i="1"/>
  <c r="C100" i="1"/>
  <c r="D97" i="1"/>
  <c r="L93" i="1"/>
  <c r="R88" i="1"/>
  <c r="M85" i="1"/>
  <c r="M82" i="1"/>
  <c r="K78" i="1"/>
  <c r="I74" i="1"/>
  <c r="K70" i="1"/>
  <c r="L67" i="1"/>
  <c r="G64" i="1"/>
  <c r="K302" i="1"/>
  <c r="B302" i="1"/>
  <c r="N298" i="1"/>
  <c r="H296" i="1"/>
  <c r="D294" i="1"/>
  <c r="J301" i="1"/>
  <c r="K298" i="1"/>
  <c r="B296" i="1"/>
  <c r="L293" i="1"/>
  <c r="D301" i="1"/>
  <c r="N300" i="1"/>
  <c r="C298" i="1"/>
  <c r="K295" i="1"/>
  <c r="I293" i="1"/>
  <c r="H291" i="1"/>
  <c r="E289" i="1"/>
  <c r="K287" i="1"/>
  <c r="M285" i="1"/>
  <c r="K283" i="1"/>
  <c r="J281" i="1"/>
  <c r="J279" i="1"/>
  <c r="M277" i="1"/>
  <c r="L275" i="1"/>
  <c r="K273" i="1"/>
  <c r="J271" i="1"/>
  <c r="I269" i="1"/>
  <c r="L267" i="1"/>
  <c r="B266" i="1"/>
  <c r="L263" i="1"/>
  <c r="L261" i="1"/>
  <c r="K259" i="1"/>
  <c r="L257" i="1"/>
  <c r="L255" i="1"/>
  <c r="J253" i="1"/>
  <c r="I251" i="1"/>
  <c r="E249" i="1"/>
  <c r="H247" i="1"/>
  <c r="H245" i="1"/>
  <c r="D243" i="1"/>
  <c r="F241" i="1"/>
  <c r="C239" i="1"/>
  <c r="H237" i="1"/>
  <c r="I235" i="1"/>
  <c r="H233" i="1"/>
  <c r="H231" i="1"/>
  <c r="G229" i="1"/>
  <c r="J227" i="1"/>
  <c r="K225" i="1"/>
  <c r="G223" i="1"/>
  <c r="F221" i="1"/>
  <c r="G219" i="1"/>
  <c r="M217" i="1"/>
  <c r="A216" i="1"/>
  <c r="M213" i="1"/>
  <c r="M211" i="1"/>
  <c r="J209" i="1"/>
  <c r="K207" i="1"/>
  <c r="K205" i="1"/>
  <c r="J203" i="1"/>
  <c r="H201" i="1"/>
  <c r="J199" i="1"/>
  <c r="A198" i="1"/>
  <c r="K196" i="1"/>
  <c r="B195" i="1"/>
  <c r="J193" i="1"/>
  <c r="O191" i="1"/>
  <c r="I190" i="1"/>
  <c r="A189" i="1"/>
  <c r="G187" i="1"/>
  <c r="N185" i="1"/>
  <c r="C184" i="1"/>
  <c r="L182" i="1"/>
  <c r="D181" i="1"/>
  <c r="M179" i="1"/>
  <c r="D178" i="1"/>
  <c r="E176" i="1"/>
  <c r="L174" i="1"/>
  <c r="C173" i="1"/>
  <c r="J171" i="1"/>
  <c r="F170" i="1"/>
  <c r="K168" i="1"/>
  <c r="D167" i="1"/>
  <c r="I165" i="1"/>
  <c r="M163" i="1"/>
  <c r="D162" i="1"/>
  <c r="I160" i="1"/>
  <c r="B159" i="1"/>
  <c r="K157" i="1"/>
  <c r="F156" i="1"/>
  <c r="B155" i="1"/>
  <c r="I153" i="1"/>
  <c r="H152" i="1"/>
  <c r="E151" i="1"/>
  <c r="M149" i="1"/>
  <c r="E148" i="1"/>
  <c r="M146" i="1"/>
  <c r="G145" i="1"/>
  <c r="N143" i="1"/>
  <c r="I142" i="1"/>
  <c r="P140" i="1"/>
  <c r="I139" i="1"/>
  <c r="C138" i="1"/>
  <c r="M136" i="1"/>
  <c r="D135" i="1"/>
  <c r="I133" i="1"/>
  <c r="B132" i="1"/>
  <c r="A131" i="1"/>
  <c r="J129" i="1"/>
  <c r="N127" i="1"/>
  <c r="I126" i="1"/>
  <c r="I125" i="1"/>
  <c r="G124" i="1"/>
  <c r="E123" i="1"/>
  <c r="N121" i="1"/>
  <c r="I120" i="1"/>
  <c r="D119" i="1"/>
  <c r="P117" i="1"/>
  <c r="B117" i="1"/>
  <c r="N115" i="1"/>
  <c r="M114" i="1"/>
  <c r="P113" i="1"/>
  <c r="N112" i="1"/>
  <c r="M111" i="1"/>
  <c r="M110" i="1"/>
  <c r="O109" i="1"/>
  <c r="A109" i="1"/>
  <c r="N107" i="1"/>
  <c r="O106" i="1"/>
  <c r="R105" i="1"/>
  <c r="B105" i="1"/>
  <c r="B104" i="1"/>
  <c r="R102" i="1"/>
  <c r="D102" i="1"/>
  <c r="H101" i="1"/>
  <c r="L100" i="1"/>
  <c r="P99" i="1"/>
  <c r="N98" i="1"/>
  <c r="N97" i="1"/>
  <c r="L96" i="1"/>
  <c r="K95" i="1"/>
  <c r="I94" i="1"/>
  <c r="D93" i="1"/>
  <c r="A92" i="1"/>
  <c r="M90" i="1"/>
  <c r="K89" i="1"/>
  <c r="M88" i="1"/>
  <c r="K87" i="1"/>
  <c r="J86" i="1"/>
  <c r="H85" i="1"/>
  <c r="I84" i="1"/>
  <c r="H83" i="1"/>
  <c r="E82" i="1"/>
  <c r="E81" i="1"/>
  <c r="G80" i="1"/>
  <c r="G79" i="1"/>
  <c r="E78" i="1"/>
  <c r="D77" i="1"/>
  <c r="D76" i="1"/>
  <c r="D75" i="1"/>
  <c r="C74" i="1"/>
  <c r="E73" i="1"/>
  <c r="G72" i="1"/>
  <c r="G71" i="1"/>
  <c r="F70" i="1"/>
  <c r="D69" i="1"/>
  <c r="G68" i="1"/>
  <c r="D67" i="1"/>
  <c r="C66" i="1"/>
  <c r="B65" i="1"/>
  <c r="A64" i="1"/>
  <c r="N62" i="1"/>
  <c r="K61" i="1"/>
  <c r="J60" i="1"/>
  <c r="I59" i="1"/>
  <c r="H58" i="1"/>
  <c r="E57" i="1"/>
  <c r="A56" i="1"/>
  <c r="M54" i="1"/>
  <c r="L53" i="1"/>
  <c r="K52" i="1"/>
  <c r="J51" i="1"/>
  <c r="G50" i="1"/>
  <c r="E49" i="1"/>
  <c r="D48" i="1"/>
  <c r="C47" i="1"/>
  <c r="A46" i="1"/>
  <c r="L44" i="1"/>
  <c r="M43" i="1"/>
  <c r="K42" i="1"/>
  <c r="J41" i="1"/>
  <c r="I40" i="1"/>
  <c r="G39" i="1"/>
  <c r="E38" i="1"/>
  <c r="D37" i="1"/>
  <c r="A36" i="1"/>
  <c r="N34" i="1"/>
  <c r="K33" i="1"/>
  <c r="J32" i="1"/>
  <c r="H31" i="1"/>
  <c r="E30" i="1"/>
  <c r="B29" i="1"/>
  <c r="M27" i="1"/>
  <c r="M26" i="1"/>
  <c r="L25" i="1"/>
  <c r="J24" i="1"/>
  <c r="I23" i="1"/>
  <c r="J22" i="1"/>
  <c r="K21" i="1"/>
  <c r="M20" i="1"/>
  <c r="M19" i="1"/>
  <c r="L18" i="1"/>
  <c r="M17" i="1"/>
  <c r="M16" i="1"/>
  <c r="N15" i="1"/>
  <c r="A15" i="1"/>
  <c r="B14" i="1"/>
  <c r="C13" i="1"/>
  <c r="E12" i="1"/>
  <c r="G11" i="1"/>
  <c r="G10" i="1"/>
  <c r="H9" i="1"/>
  <c r="J8" i="1"/>
  <c r="P7" i="1"/>
  <c r="D7" i="1"/>
  <c r="G6" i="1"/>
  <c r="J5" i="1"/>
  <c r="J4" i="1"/>
  <c r="O3" i="1"/>
  <c r="C3" i="1"/>
  <c r="F2" i="1"/>
  <c r="J1" i="1"/>
  <c r="G129" i="1"/>
  <c r="M112" i="1"/>
  <c r="N109" i="1"/>
  <c r="M107" i="1"/>
  <c r="A105" i="1"/>
  <c r="Q102" i="1"/>
  <c r="C102" i="1"/>
  <c r="K100" i="1"/>
  <c r="M99" i="1"/>
  <c r="M97" i="1"/>
  <c r="K96" i="1"/>
  <c r="E94" i="1"/>
  <c r="B93" i="1"/>
  <c r="N91" i="1"/>
  <c r="J89" i="1"/>
  <c r="J88" i="1"/>
  <c r="J87" i="1"/>
  <c r="G85" i="1"/>
  <c r="H84" i="1"/>
  <c r="D82" i="1"/>
  <c r="D81" i="1"/>
  <c r="E80" i="1"/>
  <c r="B78" i="1"/>
  <c r="C77" i="1"/>
  <c r="C76" i="1"/>
  <c r="B74" i="1"/>
  <c r="B73" i="1"/>
  <c r="F72" i="1"/>
  <c r="E70" i="1"/>
  <c r="B69" i="1"/>
  <c r="D68" i="1"/>
  <c r="B66" i="1"/>
  <c r="A65" i="1"/>
  <c r="K62" i="1"/>
  <c r="M300" i="1"/>
  <c r="B298" i="1"/>
  <c r="H295" i="1"/>
  <c r="H293" i="1"/>
  <c r="G291" i="1"/>
  <c r="D289" i="1"/>
  <c r="J287" i="1"/>
  <c r="J285" i="1"/>
  <c r="J283" i="1"/>
  <c r="I281" i="1"/>
  <c r="G279" i="1"/>
  <c r="L277" i="1"/>
  <c r="G275" i="1"/>
  <c r="J273" i="1"/>
  <c r="I271" i="1"/>
  <c r="H269" i="1"/>
  <c r="K267" i="1"/>
  <c r="K265" i="1"/>
  <c r="K263" i="1"/>
  <c r="K261" i="1"/>
  <c r="J259" i="1"/>
  <c r="K257" i="1"/>
  <c r="I255" i="1"/>
  <c r="I253" i="1"/>
  <c r="H251" i="1"/>
  <c r="D249" i="1"/>
  <c r="G247" i="1"/>
  <c r="D245" i="1"/>
  <c r="C243" i="1"/>
  <c r="E241" i="1"/>
  <c r="B239" i="1"/>
  <c r="G237" i="1"/>
  <c r="F235" i="1"/>
  <c r="G233" i="1"/>
  <c r="G231" i="1"/>
  <c r="D229" i="1"/>
  <c r="I227" i="1"/>
  <c r="E225" i="1"/>
  <c r="F223" i="1"/>
  <c r="E221" i="1"/>
  <c r="F219" i="1"/>
  <c r="L217" i="1"/>
  <c r="J215" i="1"/>
  <c r="L213" i="1"/>
  <c r="L211" i="1"/>
  <c r="I209" i="1"/>
  <c r="J207" i="1"/>
  <c r="H205" i="1"/>
  <c r="I203" i="1"/>
  <c r="G201" i="1"/>
  <c r="I199" i="1"/>
  <c r="P197" i="1"/>
  <c r="H196" i="1"/>
  <c r="A195" i="1"/>
  <c r="I193" i="1"/>
  <c r="N191" i="1"/>
  <c r="H190" i="1"/>
  <c r="M188" i="1"/>
  <c r="F187" i="1"/>
  <c r="M185" i="1"/>
  <c r="B184" i="1"/>
  <c r="K182" i="1"/>
  <c r="A181" i="1"/>
  <c r="L179" i="1"/>
  <c r="B178" i="1"/>
  <c r="D176" i="1"/>
  <c r="K174" i="1"/>
  <c r="N172" i="1"/>
  <c r="I171" i="1"/>
  <c r="E170" i="1"/>
  <c r="J168" i="1"/>
  <c r="C167" i="1"/>
  <c r="F165" i="1"/>
  <c r="L163" i="1"/>
  <c r="C162" i="1"/>
  <c r="H160" i="1"/>
  <c r="A159" i="1"/>
  <c r="H157" i="1"/>
  <c r="E156" i="1"/>
  <c r="A155" i="1"/>
  <c r="H153" i="1"/>
  <c r="G152" i="1"/>
  <c r="B151" i="1"/>
  <c r="L149" i="1"/>
  <c r="D148" i="1"/>
  <c r="L146" i="1"/>
  <c r="E145" i="1"/>
  <c r="K143" i="1"/>
  <c r="H142" i="1"/>
  <c r="O140" i="1"/>
  <c r="H139" i="1"/>
  <c r="B138" i="1"/>
  <c r="J136" i="1"/>
  <c r="B135" i="1"/>
  <c r="H133" i="1"/>
  <c r="A132" i="1"/>
  <c r="P130" i="1"/>
  <c r="M127" i="1"/>
  <c r="H126" i="1"/>
  <c r="H125" i="1"/>
  <c r="F124" i="1"/>
  <c r="B123" i="1"/>
  <c r="K121" i="1"/>
  <c r="H120" i="1"/>
  <c r="B119" i="1"/>
  <c r="O117" i="1"/>
  <c r="A117" i="1"/>
  <c r="M115" i="1"/>
  <c r="L114" i="1"/>
  <c r="M113" i="1"/>
  <c r="L111" i="1"/>
  <c r="L110" i="1"/>
  <c r="M108" i="1"/>
  <c r="N106" i="1"/>
  <c r="P105" i="1"/>
  <c r="O103" i="1"/>
  <c r="G101" i="1"/>
  <c r="M98" i="1"/>
  <c r="J95" i="1"/>
  <c r="L90" i="1"/>
  <c r="I86" i="1"/>
  <c r="E83" i="1"/>
  <c r="E79" i="1"/>
  <c r="B75" i="1"/>
  <c r="E71" i="1"/>
  <c r="C67" i="1"/>
  <c r="N63" i="1"/>
  <c r="E300" i="1"/>
  <c r="D300" i="1"/>
  <c r="I297" i="1"/>
  <c r="L294" i="1"/>
  <c r="B293" i="1"/>
  <c r="B300" i="1"/>
  <c r="H297" i="1"/>
  <c r="K294" i="1"/>
  <c r="K292" i="1"/>
  <c r="M299" i="1"/>
  <c r="L299" i="1"/>
  <c r="B297" i="1"/>
  <c r="H294" i="1"/>
  <c r="I292" i="1"/>
  <c r="H290" i="1"/>
  <c r="L288" i="1"/>
  <c r="L286" i="1"/>
  <c r="L284" i="1"/>
  <c r="K282" i="1"/>
  <c r="J280" i="1"/>
  <c r="M278" i="1"/>
  <c r="L276" i="1"/>
  <c r="J274" i="1"/>
  <c r="J272" i="1"/>
  <c r="I270" i="1"/>
  <c r="L268" i="1"/>
  <c r="N266" i="1"/>
  <c r="N264" i="1"/>
  <c r="K262" i="1"/>
  <c r="M260" i="1"/>
  <c r="M258" i="1"/>
  <c r="K256" i="1"/>
  <c r="K254" i="1"/>
  <c r="K252" i="1"/>
  <c r="H250" i="1"/>
  <c r="I248" i="1"/>
  <c r="G246" i="1"/>
  <c r="E244" i="1"/>
  <c r="E242" i="1"/>
  <c r="G240" i="1"/>
  <c r="I238" i="1"/>
  <c r="I236" i="1"/>
  <c r="H234" i="1"/>
  <c r="G232" i="1"/>
  <c r="H230" i="1"/>
  <c r="J228" i="1"/>
  <c r="J226" i="1"/>
  <c r="G224" i="1"/>
  <c r="G222" i="1"/>
  <c r="G220" i="1"/>
  <c r="L218" i="1"/>
  <c r="N216" i="1"/>
  <c r="A215" i="1"/>
  <c r="M212" i="1"/>
  <c r="L210" i="1"/>
  <c r="L208" i="1"/>
  <c r="J206" i="1"/>
  <c r="J204" i="1"/>
  <c r="I202" i="1"/>
  <c r="I200" i="1"/>
  <c r="P198" i="1"/>
  <c r="F197" i="1"/>
  <c r="N195" i="1"/>
  <c r="G194" i="1"/>
  <c r="M192" i="1"/>
  <c r="G191" i="1"/>
  <c r="L189" i="1"/>
  <c r="B188" i="1"/>
  <c r="K186" i="1"/>
  <c r="B185" i="1"/>
  <c r="I183" i="1"/>
  <c r="N181" i="1"/>
  <c r="J180" i="1"/>
  <c r="B179" i="1"/>
  <c r="E177" i="1"/>
  <c r="J175" i="1"/>
  <c r="M173" i="1"/>
  <c r="D172" i="1"/>
  <c r="Q170" i="1"/>
  <c r="I169" i="1"/>
  <c r="B168" i="1"/>
  <c r="G166" i="1"/>
  <c r="J164" i="1"/>
  <c r="A163" i="1"/>
  <c r="G161" i="1"/>
  <c r="N159" i="1"/>
  <c r="D158" i="1"/>
  <c r="Q156" i="1"/>
  <c r="M155" i="1"/>
  <c r="D154" i="1"/>
  <c r="A153" i="1"/>
  <c r="O151" i="1"/>
  <c r="G150" i="1"/>
  <c r="B149" i="1"/>
  <c r="K147" i="1"/>
  <c r="D146" i="1"/>
  <c r="H144" i="1"/>
  <c r="B143" i="1"/>
  <c r="L141" i="1"/>
  <c r="E140" i="1"/>
  <c r="O138" i="1"/>
  <c r="E137" i="1"/>
  <c r="A136" i="1"/>
  <c r="G134" i="1"/>
  <c r="N132" i="1"/>
  <c r="L131" i="1"/>
  <c r="E130" i="1"/>
  <c r="L128" i="1"/>
  <c r="A127" i="1"/>
  <c r="A126" i="1"/>
  <c r="P124" i="1"/>
  <c r="N123" i="1"/>
  <c r="H122" i="1"/>
  <c r="D121" i="1"/>
  <c r="M119" i="1"/>
  <c r="H118" i="1"/>
  <c r="J117" i="1"/>
  <c r="J116" i="1"/>
  <c r="E115" i="1"/>
  <c r="D114" i="1"/>
  <c r="H113" i="1"/>
  <c r="H112" i="1"/>
  <c r="G111" i="1"/>
  <c r="E110" i="1"/>
  <c r="G109" i="1"/>
  <c r="H108" i="1"/>
  <c r="H107" i="1"/>
  <c r="I106" i="1"/>
  <c r="I105" i="1"/>
  <c r="I104" i="1"/>
  <c r="J103" i="1"/>
  <c r="L102" i="1"/>
  <c r="P101" i="1"/>
  <c r="R100" i="1"/>
  <c r="D100" i="1"/>
  <c r="H99" i="1"/>
  <c r="H98" i="1"/>
  <c r="H97" i="1"/>
  <c r="C96" i="1"/>
  <c r="A95" i="1"/>
  <c r="M93" i="1"/>
  <c r="K92" i="1"/>
  <c r="I91" i="1"/>
  <c r="D90" i="1"/>
  <c r="A89" i="1"/>
  <c r="E88" i="1"/>
  <c r="E87" i="1"/>
  <c r="B86" i="1"/>
  <c r="O84" i="1"/>
  <c r="N83" i="1"/>
  <c r="N82" i="1"/>
  <c r="M81" i="1"/>
  <c r="O80" i="1"/>
  <c r="M79" i="1"/>
  <c r="L78" i="1"/>
  <c r="L77" i="1"/>
  <c r="M76" i="1"/>
  <c r="M75" i="1"/>
  <c r="J74" i="1"/>
  <c r="K73" i="1"/>
  <c r="O72" i="1"/>
  <c r="A72" i="1"/>
  <c r="N70" i="1"/>
  <c r="K69" i="1"/>
  <c r="M68" i="1"/>
  <c r="M67" i="1"/>
  <c r="L66" i="1"/>
  <c r="K65" i="1"/>
  <c r="H64" i="1"/>
  <c r="G63" i="1"/>
  <c r="E62" i="1"/>
  <c r="D61" i="1"/>
  <c r="C60" i="1"/>
  <c r="N58" i="1"/>
  <c r="L57" i="1"/>
  <c r="J56" i="1"/>
  <c r="I55" i="1"/>
  <c r="G54" i="1"/>
  <c r="C53" i="1"/>
  <c r="B52" i="1"/>
  <c r="A51" i="1"/>
  <c r="N49" i="1"/>
  <c r="M48" i="1"/>
  <c r="J47" i="1"/>
  <c r="I46" i="1"/>
  <c r="G45" i="1"/>
  <c r="F44" i="1"/>
  <c r="G43" i="1"/>
  <c r="B42" i="1"/>
  <c r="A41" i="1"/>
  <c r="A40" i="1"/>
  <c r="N38" i="1"/>
  <c r="L37" i="1"/>
  <c r="I36" i="1"/>
  <c r="G35" i="1"/>
  <c r="E34" i="1"/>
  <c r="D33" i="1"/>
  <c r="B32" i="1"/>
  <c r="L30" i="1"/>
  <c r="J29" i="1"/>
  <c r="H28" i="1"/>
  <c r="G27" i="1"/>
  <c r="G26" i="1"/>
  <c r="B25" i="1"/>
  <c r="A24" i="1"/>
  <c r="R22" i="1"/>
  <c r="D22" i="1"/>
  <c r="D21" i="1"/>
  <c r="E20" i="1"/>
  <c r="D19" i="1"/>
  <c r="E18" i="1"/>
  <c r="G17" i="1"/>
  <c r="G16" i="1"/>
  <c r="H15" i="1"/>
  <c r="I14" i="1"/>
  <c r="J13" i="1"/>
  <c r="K12" i="1"/>
  <c r="M11" i="1"/>
  <c r="M10" i="1"/>
  <c r="N9" i="1"/>
  <c r="B9" i="1"/>
  <c r="D8" i="1"/>
  <c r="J7" i="1"/>
  <c r="M6" i="1"/>
  <c r="A6" i="1"/>
  <c r="B5" i="1"/>
  <c r="D4" i="1"/>
  <c r="I3" i="1"/>
  <c r="L2" i="1"/>
  <c r="Q1" i="1"/>
  <c r="D1" i="1"/>
  <c r="D130" i="1"/>
  <c r="G113" i="1"/>
  <c r="D110" i="1"/>
  <c r="G108" i="1"/>
  <c r="G107" i="1"/>
  <c r="E106" i="1"/>
  <c r="H104" i="1"/>
  <c r="I103" i="1"/>
  <c r="M101" i="1"/>
  <c r="Q100" i="1"/>
  <c r="G99" i="1"/>
  <c r="G98" i="1"/>
  <c r="B96" i="1"/>
  <c r="N94" i="1"/>
  <c r="J92" i="1"/>
  <c r="E91" i="1"/>
  <c r="B90" i="1"/>
  <c r="D88" i="1"/>
  <c r="D87" i="1"/>
  <c r="N84" i="1"/>
  <c r="M83" i="1"/>
  <c r="L81" i="1"/>
  <c r="L80" i="1"/>
  <c r="L79" i="1"/>
  <c r="K77" i="1"/>
  <c r="L76" i="1"/>
  <c r="J75" i="1"/>
  <c r="J73" i="1"/>
  <c r="N72" i="1"/>
  <c r="N71" i="1"/>
  <c r="J69" i="1"/>
  <c r="L68" i="1"/>
  <c r="K66" i="1"/>
  <c r="H65" i="1"/>
  <c r="F63" i="1"/>
  <c r="D62" i="1"/>
  <c r="N297" i="1"/>
  <c r="M291" i="1"/>
  <c r="A289" i="1"/>
  <c r="C286" i="1"/>
  <c r="M282" i="1"/>
  <c r="B280" i="1"/>
  <c r="A277" i="1"/>
  <c r="B274" i="1"/>
  <c r="N270" i="1"/>
  <c r="A268" i="1"/>
  <c r="D265" i="1"/>
  <c r="E262" i="1"/>
  <c r="G259" i="1"/>
  <c r="N255" i="1"/>
  <c r="M252" i="1"/>
  <c r="N249" i="1"/>
  <c r="J246" i="1"/>
  <c r="H243" i="1"/>
  <c r="L240" i="1"/>
  <c r="M237" i="1"/>
  <c r="K234" i="1"/>
  <c r="M231" i="1"/>
  <c r="N228" i="1"/>
  <c r="M225" i="1"/>
  <c r="I222" i="1"/>
  <c r="M219" i="1"/>
  <c r="C217" i="1"/>
  <c r="D214" i="1"/>
  <c r="G211" i="1"/>
  <c r="N207" i="1"/>
  <c r="M204" i="1"/>
  <c r="A202" i="1"/>
  <c r="F199" i="1"/>
  <c r="M196" i="1"/>
  <c r="I194" i="1"/>
  <c r="G192" i="1"/>
  <c r="O189" i="1"/>
  <c r="J187" i="1"/>
  <c r="H185" i="1"/>
  <c r="A183" i="1"/>
  <c r="M180" i="1"/>
  <c r="J178" i="1"/>
  <c r="N175" i="1"/>
  <c r="E173" i="1"/>
  <c r="A171" i="1"/>
  <c r="C169" i="1"/>
  <c r="J166" i="1"/>
  <c r="B164" i="1"/>
  <c r="L161" i="1"/>
  <c r="F159" i="1"/>
  <c r="B157" i="1"/>
  <c r="G155" i="1"/>
  <c r="E153" i="1"/>
  <c r="G151" i="1"/>
  <c r="D149" i="1"/>
  <c r="E147" i="1"/>
  <c r="K144" i="1"/>
  <c r="L142" i="1"/>
  <c r="J140" i="1"/>
  <c r="G138" i="1"/>
  <c r="D136" i="1"/>
  <c r="N133" i="1"/>
  <c r="P131" i="1"/>
  <c r="L129" i="1"/>
  <c r="D127" i="1"/>
  <c r="L125" i="1"/>
  <c r="B124" i="1"/>
  <c r="D122" i="1"/>
  <c r="D120" i="1"/>
  <c r="B118" i="1"/>
  <c r="L116" i="1"/>
  <c r="O114" i="1"/>
  <c r="J113" i="1"/>
  <c r="A112" i="1"/>
  <c r="I110" i="1"/>
  <c r="C109" i="1"/>
  <c r="J107" i="1"/>
  <c r="B106" i="1"/>
  <c r="K104" i="1"/>
  <c r="E103" i="1"/>
  <c r="R101" i="1"/>
  <c r="N100" i="1"/>
  <c r="J99" i="1"/>
  <c r="B98" i="1"/>
  <c r="H96" i="1"/>
  <c r="K94" i="1"/>
  <c r="M92" i="1"/>
  <c r="A91" i="1"/>
  <c r="D89" i="1"/>
  <c r="A88" i="1"/>
  <c r="E86" i="1"/>
  <c r="K84" i="1"/>
  <c r="A83" i="1"/>
  <c r="G81" i="1"/>
  <c r="B80" i="1"/>
  <c r="H78" i="1"/>
  <c r="O76" i="1"/>
  <c r="G75" i="1"/>
  <c r="M73" i="1"/>
  <c r="K72" i="1"/>
  <c r="B71" i="1"/>
  <c r="G69" i="1"/>
  <c r="A68" i="1"/>
  <c r="E66" i="1"/>
  <c r="L64" i="1"/>
  <c r="B63" i="1"/>
  <c r="H61" i="1"/>
  <c r="D60" i="1"/>
  <c r="L58" i="1"/>
  <c r="H57" i="1"/>
  <c r="N55" i="1"/>
  <c r="J54" i="1"/>
  <c r="D53" i="1"/>
  <c r="N51" i="1"/>
  <c r="K50" i="1"/>
  <c r="D49" i="1"/>
  <c r="A48" i="1"/>
  <c r="J46" i="1"/>
  <c r="D45" i="1"/>
  <c r="O43" i="1"/>
  <c r="J42" i="1"/>
  <c r="E41" i="1"/>
  <c r="B40" i="1"/>
  <c r="L38" i="1"/>
  <c r="F37" i="1"/>
  <c r="N35" i="1"/>
  <c r="I34" i="1"/>
  <c r="M295" i="1"/>
  <c r="N290" i="1"/>
  <c r="D288" i="1"/>
  <c r="D285" i="1"/>
  <c r="B282" i="1"/>
  <c r="D279" i="1"/>
  <c r="A276" i="1"/>
  <c r="G273" i="1"/>
  <c r="E270" i="1"/>
  <c r="C267" i="1"/>
  <c r="H264" i="1"/>
  <c r="G261" i="1"/>
  <c r="G258" i="1"/>
  <c r="A255" i="1"/>
  <c r="C252" i="1"/>
  <c r="B249" i="1"/>
  <c r="K245" i="1"/>
  <c r="L242" i="1"/>
  <c r="N239" i="1"/>
  <c r="A237" i="1"/>
  <c r="D234" i="1"/>
  <c r="N230" i="1"/>
  <c r="A228" i="1"/>
  <c r="M224" i="1"/>
  <c r="N221" i="1"/>
  <c r="B219" i="1"/>
  <c r="D216" i="1"/>
  <c r="I213" i="1"/>
  <c r="H210" i="1"/>
  <c r="N206" i="1"/>
  <c r="D204" i="1"/>
  <c r="B201" i="1"/>
  <c r="J198" i="1"/>
  <c r="B196" i="1"/>
  <c r="P193" i="1"/>
  <c r="L191" i="1"/>
  <c r="D189" i="1"/>
  <c r="C187" i="1"/>
  <c r="L184" i="1"/>
  <c r="D182" i="1"/>
  <c r="F180" i="1"/>
  <c r="L177" i="1"/>
  <c r="C175" i="1"/>
  <c r="I172" i="1"/>
  <c r="L170" i="1"/>
  <c r="H168" i="1"/>
  <c r="L165" i="1"/>
  <c r="I163" i="1"/>
  <c r="C161" i="1"/>
  <c r="I158" i="1"/>
  <c r="M156" i="1"/>
  <c r="K154" i="1"/>
  <c r="M152" i="1"/>
  <c r="K150" i="1"/>
  <c r="K148" i="1"/>
  <c r="J146" i="1"/>
  <c r="Q143" i="1"/>
  <c r="E142" i="1"/>
  <c r="A140" i="1"/>
  <c r="J137" i="1"/>
  <c r="L135" i="1"/>
  <c r="D133" i="1"/>
  <c r="F131" i="1"/>
  <c r="A129" i="1"/>
  <c r="N126" i="1"/>
  <c r="E125" i="1"/>
  <c r="H123" i="1"/>
  <c r="I121" i="1"/>
  <c r="I119" i="1"/>
  <c r="M117" i="1"/>
  <c r="D116" i="1"/>
  <c r="H114" i="1"/>
  <c r="E113" i="1"/>
  <c r="J111" i="1"/>
  <c r="A110" i="1"/>
  <c r="K108" i="1"/>
  <c r="B107" i="1"/>
  <c r="N105" i="1"/>
  <c r="F104" i="1"/>
  <c r="O102" i="1"/>
  <c r="K101" i="1"/>
  <c r="G100" i="1"/>
  <c r="E99" i="1"/>
  <c r="K97" i="1"/>
  <c r="N95" i="1"/>
  <c r="B94" i="1"/>
  <c r="E92" i="1"/>
  <c r="J90" i="1"/>
  <c r="P88" i="1"/>
  <c r="H87" i="1"/>
  <c r="K85" i="1"/>
  <c r="B84" i="1"/>
  <c r="K82" i="1"/>
  <c r="B81" i="1"/>
  <c r="J79" i="1"/>
  <c r="O77" i="1"/>
  <c r="H76" i="1"/>
  <c r="O74" i="1"/>
  <c r="H73" i="1"/>
  <c r="D72" i="1"/>
  <c r="I70" i="1"/>
  <c r="P68" i="1"/>
  <c r="J67" i="1"/>
  <c r="N65" i="1"/>
  <c r="D64" i="1"/>
  <c r="I62" i="1"/>
  <c r="C61" i="1"/>
  <c r="L59" i="1"/>
  <c r="I58" i="1"/>
  <c r="N56" i="1"/>
  <c r="K55" i="1"/>
  <c r="C54" i="1"/>
  <c r="N52" i="1"/>
  <c r="K51" i="1"/>
  <c r="D50" i="1"/>
  <c r="A49" i="1"/>
  <c r="I47" i="1"/>
  <c r="E46" i="1"/>
  <c r="M44" i="1"/>
  <c r="K43" i="1"/>
  <c r="G42" i="1"/>
  <c r="N40" i="1"/>
  <c r="L39" i="1"/>
  <c r="G38" i="1"/>
  <c r="A37" i="1"/>
  <c r="I35" i="1"/>
  <c r="D34" i="1"/>
  <c r="M32" i="1"/>
  <c r="I31" i="1"/>
  <c r="B30" i="1"/>
  <c r="J28" i="1"/>
  <c r="E27" i="1"/>
  <c r="O25" i="1"/>
  <c r="K24" i="1"/>
  <c r="D23" i="1"/>
  <c r="F22" i="1"/>
  <c r="R20" i="1"/>
  <c r="B20" i="1"/>
  <c r="M18" i="1"/>
  <c r="K17" i="1"/>
  <c r="I16" i="1"/>
  <c r="G15" i="1"/>
  <c r="F14" i="1"/>
  <c r="D13" i="1"/>
  <c r="C12" i="1"/>
  <c r="A11" i="1"/>
  <c r="M9" i="1"/>
  <c r="M8" i="1"/>
  <c r="Q7" i="1"/>
  <c r="B7" i="1"/>
  <c r="C6" i="1"/>
  <c r="A5" i="1"/>
  <c r="R3" i="1"/>
  <c r="D3" i="1"/>
  <c r="D2" i="1"/>
  <c r="F1" i="1"/>
  <c r="G295" i="1"/>
  <c r="M290" i="1"/>
  <c r="B288" i="1"/>
  <c r="A285" i="1"/>
  <c r="A282" i="1"/>
  <c r="C279" i="1"/>
  <c r="N275" i="1"/>
  <c r="L272" i="1"/>
  <c r="A270" i="1"/>
  <c r="B267" i="1"/>
  <c r="C264" i="1"/>
  <c r="E261" i="1"/>
  <c r="A258" i="1"/>
  <c r="N254" i="1"/>
  <c r="B252" i="1"/>
  <c r="A249" i="1"/>
  <c r="J245" i="1"/>
  <c r="G242" i="1"/>
  <c r="L239" i="1"/>
  <c r="N236" i="1"/>
  <c r="K233" i="1"/>
  <c r="M230" i="1"/>
  <c r="M227" i="1"/>
  <c r="L224" i="1"/>
  <c r="M221" i="1"/>
  <c r="A219" i="1"/>
  <c r="C216" i="1"/>
  <c r="D213" i="1"/>
  <c r="E210" i="1"/>
  <c r="M206" i="1"/>
  <c r="M203" i="1"/>
  <c r="A201" i="1"/>
  <c r="H198" i="1"/>
  <c r="A196" i="1"/>
  <c r="O193" i="1"/>
  <c r="K191" i="1"/>
  <c r="C189" i="1"/>
  <c r="M186" i="1"/>
  <c r="J184" i="1"/>
  <c r="B182" i="1"/>
  <c r="B180" i="1"/>
  <c r="K177" i="1"/>
  <c r="A175" i="1"/>
  <c r="H172" i="1"/>
  <c r="K170" i="1"/>
  <c r="G168" i="1"/>
  <c r="K165" i="1"/>
  <c r="C163" i="1"/>
  <c r="A161" i="1"/>
  <c r="H158" i="1"/>
  <c r="I156" i="1"/>
  <c r="J154" i="1"/>
  <c r="K152" i="1"/>
  <c r="J150" i="1"/>
  <c r="J148" i="1"/>
  <c r="I146" i="1"/>
  <c r="P143" i="1"/>
  <c r="N141" i="1"/>
  <c r="O139" i="1"/>
  <c r="I137" i="1"/>
  <c r="H135" i="1"/>
  <c r="C133" i="1"/>
  <c r="D131" i="1"/>
  <c r="O128" i="1"/>
  <c r="M126" i="1"/>
  <c r="A125" i="1"/>
  <c r="G123" i="1"/>
  <c r="G121" i="1"/>
  <c r="H119" i="1"/>
  <c r="L117" i="1"/>
  <c r="B116" i="1"/>
  <c r="G114" i="1"/>
  <c r="D113" i="1"/>
  <c r="I111" i="1"/>
  <c r="R109" i="1"/>
  <c r="J108" i="1"/>
  <c r="A107" i="1"/>
  <c r="M105" i="1"/>
  <c r="E104" i="1"/>
  <c r="N102" i="1"/>
  <c r="J101" i="1"/>
  <c r="F100" i="1"/>
  <c r="D99" i="1"/>
  <c r="J97" i="1"/>
  <c r="M95" i="1"/>
  <c r="A94" i="1"/>
  <c r="D92" i="1"/>
  <c r="I90" i="1"/>
  <c r="O88" i="1"/>
  <c r="G87" i="1"/>
  <c r="J85" i="1"/>
  <c r="A84" i="1"/>
  <c r="J82" i="1"/>
  <c r="A81" i="1"/>
  <c r="I79" i="1"/>
  <c r="N77" i="1"/>
  <c r="G76" i="1"/>
  <c r="N74" i="1"/>
  <c r="G73" i="1"/>
  <c r="C72" i="1"/>
  <c r="H70" i="1"/>
  <c r="O68" i="1"/>
  <c r="I67" i="1"/>
  <c r="M65" i="1"/>
  <c r="C64" i="1"/>
  <c r="H62" i="1"/>
  <c r="B61" i="1"/>
  <c r="K59" i="1"/>
  <c r="G58" i="1"/>
  <c r="M56" i="1"/>
  <c r="J55" i="1"/>
  <c r="B54" i="1"/>
  <c r="M52" i="1"/>
  <c r="G51" i="1"/>
  <c r="C50" i="1"/>
  <c r="N48" i="1"/>
  <c r="H47" i="1"/>
  <c r="D46" i="1"/>
  <c r="K44" i="1"/>
  <c r="J43" i="1"/>
  <c r="D42" i="1"/>
  <c r="M40" i="1"/>
  <c r="K39" i="1"/>
  <c r="D38" i="1"/>
  <c r="N36" i="1"/>
  <c r="H35" i="1"/>
  <c r="C34" i="1"/>
  <c r="L32" i="1"/>
  <c r="G31" i="1"/>
  <c r="M29" i="1"/>
  <c r="I28" i="1"/>
  <c r="D27" i="1"/>
  <c r="N25" i="1"/>
  <c r="I24" i="1"/>
  <c r="C23" i="1"/>
  <c r="E22" i="1"/>
  <c r="Q20" i="1"/>
  <c r="A20" i="1"/>
  <c r="K18" i="1"/>
  <c r="J17" i="1"/>
  <c r="H16" i="1"/>
  <c r="E15" i="1"/>
  <c r="E14" i="1"/>
  <c r="B13" i="1"/>
  <c r="B12" i="1"/>
  <c r="N10" i="1"/>
  <c r="L9" i="1"/>
  <c r="L8" i="1"/>
  <c r="O7" i="1"/>
  <c r="A7" i="1"/>
  <c r="B6" i="1"/>
  <c r="N4" i="1"/>
  <c r="Q3" i="1"/>
  <c r="B3" i="1"/>
  <c r="B2" i="1"/>
  <c r="E1" i="1"/>
  <c r="E294" i="1"/>
  <c r="B290" i="1"/>
  <c r="F287" i="1"/>
  <c r="I284" i="1"/>
  <c r="G281" i="1"/>
  <c r="F278" i="1"/>
  <c r="F275" i="1"/>
  <c r="H272" i="1"/>
  <c r="G269" i="1"/>
  <c r="F266" i="1"/>
  <c r="I263" i="1"/>
  <c r="J260" i="1"/>
  <c r="G257" i="1"/>
  <c r="E254" i="1"/>
  <c r="E251" i="1"/>
  <c r="B248" i="1"/>
  <c r="B245" i="1"/>
  <c r="C242" i="1"/>
  <c r="A239" i="1"/>
  <c r="A236" i="1"/>
  <c r="D233" i="1"/>
  <c r="B230" i="1"/>
  <c r="B227" i="1"/>
  <c r="C224" i="1"/>
  <c r="C221" i="1"/>
  <c r="E218" i="1"/>
  <c r="I215" i="1"/>
  <c r="K212" i="1"/>
  <c r="H209" i="1"/>
  <c r="A206" i="1"/>
  <c r="D203" i="1"/>
  <c r="F200" i="1"/>
  <c r="L197" i="1"/>
  <c r="K195" i="1"/>
  <c r="G193" i="1"/>
  <c r="O190" i="1"/>
  <c r="L188" i="1"/>
  <c r="I186" i="1"/>
  <c r="A184" i="1"/>
  <c r="H181" i="1"/>
  <c r="J179" i="1"/>
  <c r="A177" i="1"/>
  <c r="G174" i="1"/>
  <c r="R171" i="1"/>
  <c r="C170" i="1"/>
  <c r="K167" i="1"/>
  <c r="E165" i="1"/>
  <c r="M162" i="1"/>
  <c r="G160" i="1"/>
  <c r="O157" i="1"/>
  <c r="C156" i="1"/>
  <c r="R153" i="1"/>
  <c r="C152" i="1"/>
  <c r="D150" i="1"/>
  <c r="A148" i="1"/>
  <c r="M145" i="1"/>
  <c r="J143" i="1"/>
  <c r="J141" i="1"/>
  <c r="G139" i="1"/>
  <c r="Q136" i="1"/>
  <c r="O134" i="1"/>
  <c r="K132" i="1"/>
  <c r="L130" i="1"/>
  <c r="I128" i="1"/>
  <c r="F126" i="1"/>
  <c r="N124" i="1"/>
  <c r="A123" i="1"/>
  <c r="B121" i="1"/>
  <c r="M118" i="1"/>
  <c r="H117" i="1"/>
  <c r="L115" i="1"/>
  <c r="B114" i="1"/>
  <c r="L112" i="1"/>
  <c r="B111" i="1"/>
  <c r="M109" i="1"/>
  <c r="E108" i="1"/>
  <c r="M106" i="1"/>
  <c r="G105" i="1"/>
  <c r="N103" i="1"/>
  <c r="J102" i="1"/>
  <c r="F101" i="1"/>
  <c r="B100" i="1"/>
  <c r="L98" i="1"/>
  <c r="B97" i="1"/>
  <c r="I95" i="1"/>
  <c r="K93" i="1"/>
  <c r="M91" i="1"/>
  <c r="A90" i="1"/>
  <c r="I88" i="1"/>
  <c r="B87" i="1"/>
  <c r="F85" i="1"/>
  <c r="L83" i="1"/>
  <c r="B82" i="1"/>
  <c r="K80" i="1"/>
  <c r="D79" i="1"/>
  <c r="J77" i="1"/>
  <c r="B76" i="1"/>
  <c r="H74" i="1"/>
  <c r="A73" i="1"/>
  <c r="M71" i="1"/>
  <c r="D70" i="1"/>
  <c r="K68" i="1"/>
  <c r="B67" i="1"/>
  <c r="G65" i="1"/>
  <c r="M63" i="1"/>
  <c r="C62" i="1"/>
  <c r="L60" i="1"/>
  <c r="H59" i="1"/>
  <c r="A58" i="1"/>
  <c r="K56" i="1"/>
  <c r="G55" i="1"/>
  <c r="N53" i="1"/>
  <c r="J52" i="1"/>
  <c r="D51" i="1"/>
  <c r="A50" i="1"/>
  <c r="I48" i="1"/>
  <c r="E47" i="1"/>
  <c r="L45" i="1"/>
  <c r="I44" i="1"/>
  <c r="H43" i="1"/>
  <c r="N41" i="1"/>
  <c r="K40" i="1"/>
  <c r="F39" i="1"/>
  <c r="A38" i="1"/>
  <c r="J36" i="1"/>
  <c r="D35" i="1"/>
  <c r="A34" i="1"/>
  <c r="J292" i="1"/>
  <c r="L289" i="1"/>
  <c r="B287" i="1"/>
  <c r="L283" i="1"/>
  <c r="N280" i="1"/>
  <c r="N277" i="1"/>
  <c r="N274" i="1"/>
  <c r="K271" i="1"/>
  <c r="M268" i="1"/>
  <c r="C266" i="1"/>
  <c r="L262" i="1"/>
  <c r="B260" i="1"/>
  <c r="M256" i="1"/>
  <c r="K253" i="1"/>
  <c r="N250" i="1"/>
  <c r="I247" i="1"/>
  <c r="H244" i="1"/>
  <c r="G241" i="1"/>
  <c r="J238" i="1"/>
  <c r="J235" i="1"/>
  <c r="H232" i="1"/>
  <c r="L229" i="1"/>
  <c r="L226" i="1"/>
  <c r="H223" i="1"/>
  <c r="K220" i="1"/>
  <c r="N217" i="1"/>
  <c r="C215" i="1"/>
  <c r="N211" i="1"/>
  <c r="M208" i="1"/>
  <c r="L205" i="1"/>
  <c r="J202" i="1"/>
  <c r="A200" i="1"/>
  <c r="H197" i="1"/>
  <c r="D195" i="1"/>
  <c r="B193" i="1"/>
  <c r="J190" i="1"/>
  <c r="E188" i="1"/>
  <c r="O185" i="1"/>
  <c r="J183" i="1"/>
  <c r="E181" i="1"/>
  <c r="C179" i="1"/>
  <c r="K176" i="1"/>
  <c r="A174" i="1"/>
  <c r="K171" i="1"/>
  <c r="M169" i="1"/>
  <c r="E167" i="1"/>
  <c r="L164" i="1"/>
  <c r="E162" i="1"/>
  <c r="A160" i="1"/>
  <c r="L157" i="1"/>
  <c r="N155" i="1"/>
  <c r="N153" i="1"/>
  <c r="Q151" i="1"/>
  <c r="N149" i="1"/>
  <c r="O147" i="1"/>
  <c r="H145" i="1"/>
  <c r="D143" i="1"/>
  <c r="A141" i="1"/>
  <c r="A139" i="1"/>
  <c r="N136" i="1"/>
  <c r="H134" i="1"/>
  <c r="G132" i="1"/>
  <c r="H130" i="1"/>
  <c r="O127" i="1"/>
  <c r="B126" i="1"/>
  <c r="J124" i="1"/>
  <c r="J122" i="1"/>
  <c r="J120" i="1"/>
  <c r="I118" i="1"/>
  <c r="C117" i="1"/>
  <c r="G115" i="1"/>
  <c r="Q113" i="1"/>
  <c r="I112" i="1"/>
  <c r="N110" i="1"/>
  <c r="H109" i="1"/>
  <c r="O107" i="1"/>
  <c r="J106" i="1"/>
  <c r="C105" i="1"/>
  <c r="K103" i="1"/>
  <c r="E102" i="1"/>
  <c r="A101" i="1"/>
  <c r="Q99" i="1"/>
  <c r="I98" i="1"/>
  <c r="M96" i="1"/>
  <c r="B95" i="1"/>
  <c r="E93" i="1"/>
  <c r="J91" i="1"/>
  <c r="L89" i="1"/>
  <c r="F88" i="1"/>
  <c r="K86" i="1"/>
  <c r="A85" i="1"/>
  <c r="I83" i="1"/>
  <c r="N81" i="1"/>
  <c r="H80" i="1"/>
  <c r="M78" i="1"/>
  <c r="E77" i="1"/>
  <c r="N75" i="1"/>
  <c r="D74" i="1"/>
  <c r="P72" i="1"/>
  <c r="H71" i="1"/>
  <c r="L69" i="1"/>
  <c r="H68" i="1"/>
  <c r="M66" i="1"/>
  <c r="C65" i="1"/>
  <c r="H63" i="1"/>
  <c r="L61" i="1"/>
  <c r="H60" i="1"/>
  <c r="D59" i="1"/>
  <c r="K57" i="1"/>
  <c r="G56" i="1"/>
  <c r="N54" i="1"/>
  <c r="J53" i="1"/>
  <c r="E52" i="1"/>
  <c r="N50" i="1"/>
  <c r="I49" i="1"/>
  <c r="E48" i="1"/>
  <c r="A47" i="1"/>
  <c r="I45" i="1"/>
  <c r="E44" i="1"/>
  <c r="N42" i="1"/>
  <c r="K41" i="1"/>
  <c r="E40" i="1"/>
  <c r="B39" i="1"/>
  <c r="I37" i="1"/>
  <c r="E36" i="1"/>
  <c r="A35" i="1"/>
  <c r="I33" i="1"/>
  <c r="E32" i="1"/>
  <c r="K30" i="1"/>
  <c r="G29" i="1"/>
  <c r="N27" i="1"/>
  <c r="K26" i="1"/>
  <c r="H25" i="1"/>
  <c r="N23" i="1"/>
  <c r="O22" i="1"/>
  <c r="L21" i="1"/>
  <c r="K20" i="1"/>
  <c r="G19" i="1"/>
  <c r="D18" i="1"/>
  <c r="B17" i="1"/>
  <c r="A16" i="1"/>
  <c r="M14" i="1"/>
  <c r="L13" i="1"/>
  <c r="J12" i="1"/>
  <c r="J11" i="1"/>
  <c r="H10" i="1"/>
  <c r="F9" i="1"/>
  <c r="F8" i="1"/>
  <c r="I7" i="1"/>
  <c r="J6" i="1"/>
  <c r="K5" i="1"/>
  <c r="H4" i="1"/>
  <c r="K3" i="1"/>
  <c r="K2" i="1"/>
  <c r="M1" i="1"/>
  <c r="B299" i="1"/>
  <c r="G292" i="1"/>
  <c r="C289" i="1"/>
  <c r="E286" i="1"/>
  <c r="H283" i="1"/>
  <c r="E280" i="1"/>
  <c r="E277" i="1"/>
  <c r="G274" i="1"/>
  <c r="G271" i="1"/>
  <c r="D268" i="1"/>
  <c r="J265" i="1"/>
  <c r="I262" i="1"/>
  <c r="I259" i="1"/>
  <c r="B256" i="1"/>
  <c r="E253" i="1"/>
  <c r="D250" i="1"/>
  <c r="A247" i="1"/>
  <c r="A244" i="1"/>
  <c r="A241" i="1"/>
  <c r="B238" i="1"/>
  <c r="E235" i="1"/>
  <c r="E232" i="1"/>
  <c r="B229" i="1"/>
  <c r="A226" i="1"/>
  <c r="D223" i="1"/>
  <c r="D220" i="1"/>
  <c r="F217" i="1"/>
  <c r="J214" i="1"/>
  <c r="J211" i="1"/>
  <c r="G208" i="1"/>
  <c r="G205" i="1"/>
  <c r="E202" i="1"/>
  <c r="H199" i="1"/>
  <c r="O196" i="1"/>
  <c r="O194" i="1"/>
  <c r="J192" i="1"/>
  <c r="C190" i="1"/>
  <c r="O187" i="1"/>
  <c r="K185" i="1"/>
  <c r="D183" i="1"/>
  <c r="R180" i="1"/>
  <c r="N178" i="1"/>
  <c r="B176" i="1"/>
  <c r="G173" i="1"/>
  <c r="G171" i="1"/>
  <c r="F169" i="1"/>
  <c r="M166" i="1"/>
  <c r="G164" i="1"/>
  <c r="A162" i="1"/>
  <c r="I159" i="1"/>
  <c r="G157" i="1"/>
  <c r="K155" i="1"/>
  <c r="G153" i="1"/>
  <c r="I151" i="1"/>
  <c r="J149" i="1"/>
  <c r="H147" i="1"/>
  <c r="N144" i="1"/>
  <c r="Q142" i="1"/>
  <c r="M140" i="1"/>
  <c r="J138" i="1"/>
  <c r="I136" i="1"/>
  <c r="D134" i="1"/>
  <c r="R131" i="1"/>
  <c r="N129" i="1"/>
  <c r="K127" i="1"/>
  <c r="N125" i="1"/>
  <c r="E124" i="1"/>
  <c r="F122" i="1"/>
  <c r="F120" i="1"/>
  <c r="E118" i="1"/>
  <c r="N116" i="1"/>
  <c r="B115" i="1"/>
  <c r="L113" i="1"/>
  <c r="F112" i="1"/>
  <c r="K110" i="1"/>
  <c r="E109" i="1"/>
  <c r="L107" i="1"/>
  <c r="D106" i="1"/>
  <c r="O104" i="1"/>
  <c r="H103" i="1"/>
  <c r="B102" i="1"/>
  <c r="P100" i="1"/>
  <c r="L99" i="1"/>
  <c r="F98" i="1"/>
  <c r="J96" i="1"/>
  <c r="M94" i="1"/>
  <c r="A93" i="1"/>
  <c r="D91" i="1"/>
  <c r="I89" i="1"/>
  <c r="C88" i="1"/>
  <c r="H86" i="1"/>
  <c r="M84" i="1"/>
  <c r="D83" i="1"/>
  <c r="K81" i="1"/>
  <c r="D80" i="1"/>
  <c r="J78" i="1"/>
  <c r="B77" i="1"/>
  <c r="I75" i="1"/>
  <c r="A74" i="1"/>
  <c r="M72" i="1"/>
  <c r="D71" i="1"/>
  <c r="I69" i="1"/>
  <c r="C68" i="1"/>
  <c r="J66" i="1"/>
  <c r="N64" i="1"/>
  <c r="E63" i="1"/>
  <c r="J61" i="1"/>
  <c r="G60" i="1"/>
  <c r="A59" i="1"/>
  <c r="J57" i="1"/>
  <c r="F56" i="1"/>
  <c r="L54" i="1"/>
  <c r="I53" i="1"/>
  <c r="D52" i="1"/>
  <c r="M50" i="1"/>
  <c r="H49" i="1"/>
  <c r="C48" i="1"/>
  <c r="L46" i="1"/>
  <c r="H45" i="1"/>
  <c r="D44" i="1"/>
  <c r="M42" i="1"/>
  <c r="I41" i="1"/>
  <c r="D40" i="1"/>
  <c r="A39" i="1"/>
  <c r="H37" i="1"/>
  <c r="D36" i="1"/>
  <c r="K34" i="1"/>
  <c r="H33" i="1"/>
  <c r="D32" i="1"/>
  <c r="J30" i="1"/>
  <c r="E29" i="1"/>
  <c r="L27" i="1"/>
  <c r="J26" i="1"/>
  <c r="D25" i="1"/>
  <c r="M23" i="1"/>
  <c r="N22" i="1"/>
  <c r="J21" i="1"/>
  <c r="J20" i="1"/>
  <c r="E19" i="1"/>
  <c r="C18" i="1"/>
  <c r="A17" i="1"/>
  <c r="M15" i="1"/>
  <c r="L14" i="1"/>
  <c r="K13" i="1"/>
  <c r="I12" i="1"/>
  <c r="I11" i="1"/>
  <c r="E10" i="1"/>
  <c r="E9" i="1"/>
  <c r="E8" i="1"/>
  <c r="H7" i="1"/>
  <c r="I6" i="1"/>
  <c r="I5" i="1"/>
  <c r="G4" i="1"/>
  <c r="J3" i="1"/>
  <c r="J2" i="1"/>
  <c r="L1" i="1"/>
  <c r="J110" i="1"/>
  <c r="A124" i="1"/>
  <c r="L92" i="1"/>
  <c r="A71" i="1"/>
  <c r="K58" i="1"/>
  <c r="N47" i="1"/>
  <c r="E37" i="1"/>
  <c r="D30" i="1"/>
  <c r="B24" i="1"/>
  <c r="L20" i="1"/>
  <c r="I15" i="1"/>
  <c r="I10" i="1"/>
  <c r="K7" i="1"/>
  <c r="I4" i="1"/>
  <c r="O1" i="1"/>
  <c r="E288" i="1"/>
  <c r="E204" i="1"/>
  <c r="D175" i="1"/>
  <c r="N156" i="1"/>
  <c r="R143" i="1"/>
  <c r="G131" i="1"/>
  <c r="J119" i="1"/>
  <c r="B110" i="1"/>
  <c r="L101" i="1"/>
  <c r="Q88" i="1"/>
  <c r="K79" i="1"/>
  <c r="J70" i="1"/>
  <c r="E61" i="1"/>
  <c r="A53" i="1"/>
  <c r="B45" i="1"/>
  <c r="G34" i="1"/>
  <c r="L29" i="1"/>
  <c r="M25" i="1"/>
  <c r="I20" i="1"/>
  <c r="D15" i="1"/>
  <c r="A12" i="1"/>
  <c r="K8" i="1"/>
  <c r="F4" i="1"/>
  <c r="K239" i="1"/>
  <c r="J165" i="1"/>
  <c r="N139" i="1"/>
  <c r="A116" i="1"/>
  <c r="P106" i="1"/>
  <c r="I101" i="1"/>
  <c r="L95" i="1"/>
  <c r="G82" i="1"/>
  <c r="H79" i="1"/>
  <c r="F73" i="1"/>
  <c r="B64" i="1"/>
  <c r="E58" i="1"/>
  <c r="B50" i="1"/>
  <c r="J44" i="1"/>
  <c r="H39" i="1"/>
  <c r="J27" i="1"/>
  <c r="K23" i="1"/>
  <c r="I18" i="1"/>
  <c r="N11" i="1"/>
  <c r="F7" i="1"/>
  <c r="I1" i="1"/>
  <c r="I52" i="1"/>
  <c r="J25" i="1"/>
  <c r="G13" i="1"/>
  <c r="N2" i="1"/>
  <c r="F123" i="1"/>
  <c r="G70" i="1"/>
  <c r="M36" i="1"/>
  <c r="L16" i="1"/>
  <c r="N5" i="1"/>
  <c r="D47" i="1"/>
  <c r="H18" i="1"/>
  <c r="M5" i="1"/>
  <c r="M39" i="1"/>
  <c r="A113" i="1"/>
  <c r="B92" i="1"/>
  <c r="E76" i="1"/>
  <c r="M60" i="1"/>
  <c r="G47" i="1"/>
  <c r="A42" i="1"/>
  <c r="L31" i="1"/>
  <c r="K25" i="1"/>
  <c r="B22" i="1"/>
  <c r="C15" i="1"/>
  <c r="C10" i="1"/>
  <c r="E4" i="1"/>
  <c r="B55" i="1"/>
  <c r="B15" i="1"/>
  <c r="J294" i="1"/>
  <c r="N287" i="1"/>
  <c r="K281" i="1"/>
  <c r="M275" i="1"/>
  <c r="N269" i="1"/>
  <c r="A264" i="1"/>
  <c r="M257" i="1"/>
  <c r="I245" i="1"/>
  <c r="I233" i="1"/>
  <c r="K227" i="1"/>
  <c r="G221" i="1"/>
  <c r="B216" i="1"/>
  <c r="A210" i="1"/>
  <c r="K203" i="1"/>
  <c r="B198" i="1"/>
  <c r="K193" i="1"/>
  <c r="B189" i="1"/>
  <c r="I184" i="1"/>
  <c r="N179" i="1"/>
  <c r="M174" i="1"/>
  <c r="G170" i="1"/>
  <c r="N160" i="1"/>
  <c r="G156" i="1"/>
  <c r="I152" i="1"/>
  <c r="F148" i="1"/>
  <c r="O143" i="1"/>
  <c r="E135" i="1"/>
  <c r="B131" i="1"/>
  <c r="G119" i="1"/>
  <c r="P109" i="1"/>
  <c r="D104" i="1"/>
  <c r="A99" i="1"/>
  <c r="I85" i="1"/>
  <c r="E67" i="1"/>
  <c r="L52" i="1"/>
  <c r="K29" i="1"/>
  <c r="H13" i="1"/>
  <c r="O2" i="1"/>
  <c r="M41" i="1"/>
  <c r="N21" i="1"/>
  <c r="B10" i="1"/>
  <c r="H1" i="1"/>
  <c r="J293" i="1"/>
  <c r="D287" i="1"/>
  <c r="B281" i="1"/>
  <c r="B275" i="1"/>
  <c r="D269" i="1"/>
  <c r="H263" i="1"/>
  <c r="A257" i="1"/>
  <c r="B251" i="1"/>
  <c r="J244" i="1"/>
  <c r="N238" i="1"/>
  <c r="B233" i="1"/>
  <c r="N226" i="1"/>
  <c r="A221" i="1"/>
  <c r="E215" i="1"/>
  <c r="G209" i="1"/>
  <c r="B203" i="1"/>
  <c r="J197" i="1"/>
  <c r="E193" i="1"/>
  <c r="H188" i="1"/>
  <c r="N183" i="1"/>
  <c r="I179" i="1"/>
  <c r="D174" i="1"/>
  <c r="A170" i="1"/>
  <c r="N164" i="1"/>
  <c r="F160" i="1"/>
  <c r="B156" i="1"/>
  <c r="A152" i="1"/>
  <c r="Q147" i="1"/>
  <c r="F143" i="1"/>
  <c r="F139" i="1"/>
  <c r="N134" i="1"/>
  <c r="J130" i="1"/>
  <c r="E126" i="1"/>
  <c r="N122" i="1"/>
  <c r="L118" i="1"/>
  <c r="K115" i="1"/>
  <c r="K112" i="1"/>
  <c r="J109" i="1"/>
  <c r="L106" i="1"/>
  <c r="M103" i="1"/>
  <c r="E101" i="1"/>
  <c r="K98" i="1"/>
  <c r="E95" i="1"/>
  <c r="L91" i="1"/>
  <c r="H88" i="1"/>
  <c r="E85" i="1"/>
  <c r="A82" i="1"/>
  <c r="O78" i="1"/>
  <c r="A76" i="1"/>
  <c r="R72" i="1"/>
  <c r="B70" i="1"/>
  <c r="A67" i="1"/>
  <c r="J63" i="1"/>
  <c r="K60" i="1"/>
  <c r="N57" i="1"/>
  <c r="M49" i="1"/>
  <c r="E39" i="1"/>
  <c r="H36" i="1"/>
  <c r="L33" i="1"/>
  <c r="K31" i="1"/>
  <c r="I29" i="1"/>
  <c r="I27" i="1"/>
  <c r="J23" i="1"/>
  <c r="K16" i="1"/>
  <c r="L11" i="1"/>
  <c r="H8" i="1"/>
  <c r="B4" i="1"/>
  <c r="F293" i="1"/>
  <c r="C287" i="1"/>
  <c r="A281" i="1"/>
  <c r="A275" i="1"/>
  <c r="B269" i="1"/>
  <c r="A263" i="1"/>
  <c r="N256" i="1"/>
  <c r="A251" i="1"/>
  <c r="I244" i="1"/>
  <c r="M238" i="1"/>
  <c r="I232" i="1"/>
  <c r="M226" i="1"/>
  <c r="L220" i="1"/>
  <c r="D215" i="1"/>
  <c r="E209" i="1"/>
  <c r="K202" i="1"/>
  <c r="I197" i="1"/>
  <c r="D193" i="1"/>
  <c r="G188" i="1"/>
  <c r="M183" i="1"/>
  <c r="D179" i="1"/>
  <c r="B174" i="1"/>
  <c r="N169" i="1"/>
  <c r="M164" i="1"/>
  <c r="E160" i="1"/>
  <c r="O155" i="1"/>
  <c r="R151" i="1"/>
  <c r="P147" i="1"/>
  <c r="E143" i="1"/>
  <c r="E139" i="1"/>
  <c r="I134" i="1"/>
  <c r="I130" i="1"/>
  <c r="D126" i="1"/>
  <c r="M122" i="1"/>
  <c r="K118" i="1"/>
  <c r="J115" i="1"/>
  <c r="J112" i="1"/>
  <c r="I109" i="1"/>
  <c r="K106" i="1"/>
  <c r="L103" i="1"/>
  <c r="D101" i="1"/>
  <c r="J98" i="1"/>
  <c r="D95" i="1"/>
  <c r="K91" i="1"/>
  <c r="G88" i="1"/>
  <c r="D85" i="1"/>
  <c r="O81" i="1"/>
  <c r="N78" i="1"/>
  <c r="O75" i="1"/>
  <c r="Q72" i="1"/>
  <c r="A70" i="1"/>
  <c r="N66" i="1"/>
  <c r="I63" i="1"/>
  <c r="I60" i="1"/>
  <c r="M57" i="1"/>
  <c r="A55" i="1"/>
  <c r="F52" i="1"/>
  <c r="L49" i="1"/>
  <c r="B47" i="1"/>
  <c r="G44" i="1"/>
  <c r="L41" i="1"/>
  <c r="D39" i="1"/>
  <c r="G36" i="1"/>
  <c r="J33" i="1"/>
  <c r="J31" i="1"/>
  <c r="H29" i="1"/>
  <c r="H27" i="1"/>
  <c r="I25" i="1"/>
  <c r="E23" i="1"/>
  <c r="M21" i="1"/>
  <c r="C20" i="1"/>
  <c r="G18" i="1"/>
  <c r="J16" i="1"/>
  <c r="N14" i="1"/>
  <c r="E13" i="1"/>
  <c r="K11" i="1"/>
  <c r="A10" i="1"/>
  <c r="G8" i="1"/>
  <c r="C7" i="1"/>
  <c r="L5" i="1"/>
  <c r="A4" i="1"/>
  <c r="M2" i="1"/>
  <c r="G1" i="1"/>
  <c r="N291" i="1"/>
  <c r="D286" i="1"/>
  <c r="D280" i="1"/>
  <c r="F274" i="1"/>
  <c r="C268" i="1"/>
  <c r="F262" i="1"/>
  <c r="A256" i="1"/>
  <c r="B250" i="1"/>
  <c r="N243" i="1"/>
  <c r="A238" i="1"/>
  <c r="N231" i="1"/>
  <c r="N225" i="1"/>
  <c r="C220" i="1"/>
  <c r="I214" i="1"/>
  <c r="E208" i="1"/>
  <c r="B202" i="1"/>
  <c r="N196" i="1"/>
  <c r="I192" i="1"/>
  <c r="N187" i="1"/>
  <c r="C183" i="1"/>
  <c r="K178" i="1"/>
  <c r="F173" i="1"/>
  <c r="E169" i="1"/>
  <c r="F164" i="1"/>
  <c r="H159" i="1"/>
  <c r="H155" i="1"/>
  <c r="H151" i="1"/>
  <c r="G147" i="1"/>
  <c r="P142" i="1"/>
  <c r="I138" i="1"/>
  <c r="O133" i="1"/>
  <c r="M129" i="1"/>
  <c r="M125" i="1"/>
  <c r="E122" i="1"/>
  <c r="D118" i="1"/>
  <c r="A115" i="1"/>
  <c r="B112" i="1"/>
  <c r="C106" i="1"/>
  <c r="G103" i="1"/>
  <c r="O100" i="1"/>
  <c r="C98" i="1"/>
  <c r="L94" i="1"/>
  <c r="B91" i="1"/>
  <c r="B88" i="1"/>
  <c r="L84" i="1"/>
  <c r="H81" i="1"/>
  <c r="I78" i="1"/>
  <c r="H75" i="1"/>
  <c r="L72" i="1"/>
  <c r="H69" i="1"/>
  <c r="G66" i="1"/>
  <c r="D63" i="1"/>
  <c r="E60" i="1"/>
  <c r="I57" i="1"/>
  <c r="K54" i="1"/>
  <c r="A52" i="1"/>
  <c r="G49" i="1"/>
  <c r="K46" i="1"/>
  <c r="A44" i="1"/>
  <c r="H41" i="1"/>
  <c r="M38" i="1"/>
  <c r="B36" i="1"/>
  <c r="G33" i="1"/>
  <c r="E31" i="1"/>
  <c r="D29" i="1"/>
  <c r="A27" i="1"/>
  <c r="A25" i="1"/>
  <c r="B23" i="1"/>
  <c r="I21" i="1"/>
  <c r="N19" i="1"/>
  <c r="B18" i="1"/>
  <c r="E16" i="1"/>
  <c r="K14" i="1"/>
  <c r="A13" i="1"/>
  <c r="H11" i="1"/>
  <c r="K9" i="1"/>
  <c r="C8" i="1"/>
  <c r="O6" i="1"/>
  <c r="H5" i="1"/>
  <c r="P3" i="1"/>
  <c r="I2" i="1"/>
  <c r="C1" i="1"/>
  <c r="I291" i="1"/>
  <c r="N285" i="1"/>
  <c r="A280" i="1"/>
  <c r="L273" i="1"/>
  <c r="M267" i="1"/>
  <c r="M261" i="1"/>
  <c r="M255" i="1"/>
  <c r="M249" i="1"/>
  <c r="E243" i="1"/>
  <c r="K237" i="1"/>
  <c r="I231" i="1"/>
  <c r="L225" i="1"/>
  <c r="L219" i="1"/>
  <c r="B214" i="1"/>
  <c r="L207" i="1"/>
  <c r="K201" i="1"/>
  <c r="L196" i="1"/>
  <c r="E192" i="1"/>
  <c r="H187" i="1"/>
  <c r="M182" i="1"/>
  <c r="E178" i="1"/>
  <c r="D173" i="1"/>
  <c r="B169" i="1"/>
  <c r="N163" i="1"/>
  <c r="D159" i="1"/>
  <c r="C155" i="1"/>
  <c r="F151" i="1"/>
  <c r="D147" i="1"/>
  <c r="J142" i="1"/>
  <c r="D138" i="1"/>
  <c r="J133" i="1"/>
  <c r="K129" i="1"/>
  <c r="A122" i="1"/>
  <c r="Q117" i="1"/>
  <c r="N114" i="1"/>
  <c r="N111" i="1"/>
  <c r="B109" i="1"/>
  <c r="A106" i="1"/>
  <c r="A103" i="1"/>
  <c r="M100" i="1"/>
  <c r="A98" i="1"/>
  <c r="J94" i="1"/>
  <c r="L87" i="1"/>
  <c r="J84" i="1"/>
  <c r="F81" i="1"/>
  <c r="G78" i="1"/>
  <c r="E75" i="1"/>
  <c r="E69" i="1"/>
  <c r="D66" i="1"/>
  <c r="A63" i="1"/>
  <c r="N59" i="1"/>
  <c r="I54" i="1"/>
  <c r="M51" i="1"/>
  <c r="C49" i="1"/>
  <c r="H46" i="1"/>
  <c r="D41" i="1"/>
  <c r="I38" i="1"/>
  <c r="M35" i="1"/>
  <c r="D31" i="1"/>
  <c r="M28" i="1"/>
  <c r="N24" i="1"/>
  <c r="A23" i="1"/>
  <c r="L19" i="1"/>
  <c r="D16" i="1"/>
  <c r="J14" i="1"/>
  <c r="E11" i="1"/>
  <c r="J9" i="1"/>
  <c r="N6" i="1"/>
  <c r="N3" i="1"/>
  <c r="B1" i="1"/>
  <c r="B291" i="1"/>
  <c r="E279" i="1"/>
  <c r="H273" i="1"/>
  <c r="E267" i="1"/>
  <c r="I261" i="1"/>
  <c r="H255" i="1"/>
  <c r="C249" i="1"/>
  <c r="A243" i="1"/>
  <c r="C237" i="1"/>
  <c r="D231" i="1"/>
  <c r="D225" i="1"/>
  <c r="E219" i="1"/>
  <c r="J213" i="1"/>
  <c r="E207" i="1"/>
  <c r="G196" i="1"/>
  <c r="M191" i="1"/>
  <c r="D187" i="1"/>
  <c r="G182" i="1"/>
  <c r="N177" i="1"/>
  <c r="I168" i="1"/>
  <c r="J163" i="1"/>
  <c r="K158" i="1"/>
  <c r="A151" i="1"/>
  <c r="K146" i="1"/>
  <c r="L137" i="1"/>
  <c r="F133" i="1"/>
  <c r="G125" i="1"/>
  <c r="J121" i="1"/>
  <c r="K114" i="1"/>
  <c r="K111" i="1"/>
  <c r="O105" i="1"/>
  <c r="P102" i="1"/>
  <c r="L97" i="1"/>
  <c r="D94" i="1"/>
  <c r="I87" i="1"/>
  <c r="G84" i="1"/>
  <c r="C81" i="1"/>
  <c r="A75" i="1"/>
  <c r="E72" i="1"/>
  <c r="A66" i="1"/>
  <c r="J62" i="1"/>
  <c r="A57" i="1"/>
  <c r="H54" i="1"/>
  <c r="B49" i="1"/>
  <c r="G46" i="1"/>
  <c r="B41" i="1"/>
  <c r="C33" i="1"/>
  <c r="B31" i="1"/>
  <c r="N26" i="1"/>
  <c r="Q22" i="1"/>
  <c r="G21" i="1"/>
  <c r="N17" i="1"/>
  <c r="C16" i="1"/>
  <c r="M12" i="1"/>
  <c r="I9" i="1"/>
  <c r="A8" i="1"/>
  <c r="E5" i="1"/>
  <c r="M3" i="1"/>
  <c r="A1" i="1"/>
  <c r="J248" i="1"/>
  <c r="Q124" i="1"/>
  <c r="O83" i="1"/>
  <c r="A54" i="1"/>
  <c r="B33" i="1"/>
  <c r="H19" i="1"/>
  <c r="G9" i="1"/>
  <c r="K45" i="1"/>
  <c r="C19" i="1"/>
  <c r="N7" i="1"/>
  <c r="D109" i="1"/>
  <c r="K125" i="1"/>
  <c r="N90" i="1"/>
  <c r="H72" i="1"/>
  <c r="G57" i="1"/>
  <c r="N43" i="1"/>
  <c r="E33" i="1"/>
  <c r="O26" i="1"/>
  <c r="H21" i="1"/>
  <c r="A18" i="1"/>
  <c r="N12" i="1"/>
  <c r="B8" i="1"/>
  <c r="G5" i="1"/>
  <c r="H2" i="1"/>
  <c r="I285" i="1"/>
  <c r="D201" i="1"/>
  <c r="M172" i="1"/>
  <c r="M154" i="1"/>
  <c r="F142" i="1"/>
  <c r="F129" i="1"/>
  <c r="N117" i="1"/>
  <c r="L108" i="1"/>
  <c r="J100" i="1"/>
  <c r="K90" i="1"/>
  <c r="A78" i="1"/>
  <c r="A69" i="1"/>
  <c r="M59" i="1"/>
  <c r="L51" i="1"/>
  <c r="L43" i="1"/>
  <c r="J35" i="1"/>
  <c r="L28" i="1"/>
  <c r="M24" i="1"/>
  <c r="K19" i="1"/>
  <c r="H14" i="1"/>
  <c r="D11" i="1"/>
  <c r="L6" i="1"/>
  <c r="G2" i="1"/>
  <c r="F242" i="1"/>
  <c r="B163" i="1"/>
  <c r="H137" i="1"/>
  <c r="E114" i="1"/>
  <c r="J105" i="1"/>
  <c r="E100" i="1"/>
  <c r="I97" i="1"/>
  <c r="F87" i="1"/>
  <c r="M77" i="1"/>
  <c r="B72" i="1"/>
  <c r="G62" i="1"/>
  <c r="L56" i="1"/>
  <c r="J48" i="1"/>
  <c r="I43" i="1"/>
  <c r="B38" i="1"/>
  <c r="K28" i="1"/>
  <c r="P22" i="1"/>
  <c r="L17" i="1"/>
  <c r="B11" i="1"/>
  <c r="D5" i="1"/>
  <c r="E2" i="1"/>
  <c r="M53" i="1"/>
  <c r="H24" i="1"/>
  <c r="H12" i="1"/>
  <c r="H3" i="1"/>
  <c r="E121" i="1"/>
  <c r="N68" i="1"/>
  <c r="E35" i="1"/>
  <c r="B16" i="1"/>
  <c r="K6" i="1"/>
  <c r="H48" i="1"/>
  <c r="I17" i="1"/>
  <c r="M4" i="1"/>
  <c r="H38" i="1"/>
  <c r="H111" i="1"/>
  <c r="E90" i="1"/>
  <c r="K74" i="1"/>
  <c r="J59" i="1"/>
  <c r="B46" i="1"/>
  <c r="L40" i="1"/>
  <c r="L26" i="1"/>
  <c r="L24" i="1"/>
  <c r="E21" i="1"/>
  <c r="L12" i="1"/>
  <c r="R7" i="1"/>
  <c r="I56" i="1"/>
  <c r="D14" i="1"/>
  <c r="L290" i="1"/>
  <c r="N284" i="1"/>
  <c r="N278" i="1"/>
  <c r="K272" i="1"/>
  <c r="A267" i="1"/>
  <c r="D261" i="1"/>
  <c r="M254" i="1"/>
  <c r="M236" i="1"/>
  <c r="L230" i="1"/>
  <c r="K224" i="1"/>
  <c r="M218" i="1"/>
  <c r="N212" i="1"/>
  <c r="L206" i="1"/>
  <c r="O200" i="1"/>
  <c r="P195" i="1"/>
  <c r="H191" i="1"/>
  <c r="L186" i="1"/>
  <c r="A182" i="1"/>
  <c r="J177" i="1"/>
  <c r="G172" i="1"/>
  <c r="D168" i="1"/>
  <c r="G158" i="1"/>
  <c r="I154" i="1"/>
  <c r="I150" i="1"/>
  <c r="E146" i="1"/>
  <c r="M141" i="1"/>
  <c r="B133" i="1"/>
  <c r="N128" i="1"/>
  <c r="K117" i="1"/>
  <c r="I108" i="1"/>
  <c r="M102" i="1"/>
  <c r="N93" i="1"/>
  <c r="P80" i="1"/>
  <c r="L65" i="1"/>
  <c r="E51" i="1"/>
  <c r="M30" i="1"/>
  <c r="G14" i="1"/>
  <c r="L3" i="1"/>
  <c r="B43" i="1"/>
  <c r="P20" i="1"/>
  <c r="D9" i="1"/>
  <c r="A290" i="1"/>
  <c r="H284" i="1"/>
  <c r="E278" i="1"/>
  <c r="D272" i="1"/>
  <c r="E266" i="1"/>
  <c r="I260" i="1"/>
  <c r="D254" i="1"/>
  <c r="A248" i="1"/>
  <c r="L241" i="1"/>
  <c r="N235" i="1"/>
  <c r="A230" i="1"/>
  <c r="B224" i="1"/>
  <c r="D218" i="1"/>
  <c r="H212" i="1"/>
  <c r="N205" i="1"/>
  <c r="E200" i="1"/>
  <c r="J195" i="1"/>
  <c r="N190" i="1"/>
  <c r="E186" i="1"/>
  <c r="G181" i="1"/>
  <c r="N176" i="1"/>
  <c r="Q171" i="1"/>
  <c r="J167" i="1"/>
  <c r="J162" i="1"/>
  <c r="N157" i="1"/>
  <c r="Q153" i="1"/>
  <c r="B150" i="1"/>
  <c r="L145" i="1"/>
  <c r="G141" i="1"/>
  <c r="P136" i="1"/>
  <c r="J132" i="1"/>
  <c r="H128" i="1"/>
  <c r="M124" i="1"/>
  <c r="L120" i="1"/>
  <c r="E117" i="1"/>
  <c r="A114" i="1"/>
  <c r="A111" i="1"/>
  <c r="D108" i="1"/>
  <c r="E105" i="1"/>
  <c r="G102" i="1"/>
  <c r="A100" i="1"/>
  <c r="A97" i="1"/>
  <c r="J93" i="1"/>
  <c r="N89" i="1"/>
  <c r="M86" i="1"/>
  <c r="K83" i="1"/>
  <c r="J80" i="1"/>
  <c r="I77" i="1"/>
  <c r="G74" i="1"/>
  <c r="J71" i="1"/>
  <c r="J68" i="1"/>
  <c r="E65" i="1"/>
  <c r="B62" i="1"/>
  <c r="G59" i="1"/>
  <c r="C51" i="1"/>
  <c r="J40" i="1"/>
  <c r="N37" i="1"/>
  <c r="C35" i="1"/>
  <c r="K32" i="1"/>
  <c r="I30" i="1"/>
  <c r="G28" i="1"/>
  <c r="I26" i="1"/>
  <c r="K22" i="1"/>
  <c r="L15" i="1"/>
  <c r="L10" i="1"/>
  <c r="H6" i="1"/>
  <c r="A2" i="1"/>
  <c r="M289" i="1"/>
  <c r="N283" i="1"/>
  <c r="B278" i="1"/>
  <c r="C272" i="1"/>
  <c r="D266" i="1"/>
  <c r="G260" i="1"/>
  <c r="M253" i="1"/>
  <c r="M247" i="1"/>
  <c r="K241" i="1"/>
  <c r="M235" i="1"/>
  <c r="M229" i="1"/>
  <c r="L223" i="1"/>
  <c r="B218" i="1"/>
  <c r="G212" i="1"/>
  <c r="M205" i="1"/>
  <c r="B200" i="1"/>
  <c r="F195" i="1"/>
  <c r="L190" i="1"/>
  <c r="D186" i="1"/>
  <c r="F181" i="1"/>
  <c r="L176" i="1"/>
  <c r="M171" i="1"/>
  <c r="H167" i="1"/>
  <c r="I162" i="1"/>
  <c r="M157" i="1"/>
  <c r="O153" i="1"/>
  <c r="P149" i="1"/>
  <c r="J145" i="1"/>
  <c r="E141" i="1"/>
  <c r="O136" i="1"/>
  <c r="H132" i="1"/>
  <c r="B128" i="1"/>
  <c r="K124" i="1"/>
  <c r="K120" i="1"/>
  <c r="D117" i="1"/>
  <c r="R113" i="1"/>
  <c r="O110" i="1"/>
  <c r="C108" i="1"/>
  <c r="D105" i="1"/>
  <c r="F102" i="1"/>
  <c r="R99" i="1"/>
  <c r="N96" i="1"/>
  <c r="I93" i="1"/>
  <c r="M89" i="1"/>
  <c r="L86" i="1"/>
  <c r="J83" i="1"/>
  <c r="I80" i="1"/>
  <c r="H77" i="1"/>
  <c r="E74" i="1"/>
  <c r="I71" i="1"/>
  <c r="I68" i="1"/>
  <c r="D65" i="1"/>
  <c r="A62" i="1"/>
  <c r="E59" i="1"/>
  <c r="H56" i="1"/>
  <c r="K53" i="1"/>
  <c r="B51" i="1"/>
  <c r="G48" i="1"/>
  <c r="J45" i="1"/>
  <c r="A43" i="1"/>
  <c r="F40" i="1"/>
  <c r="M37" i="1"/>
  <c r="B35" i="1"/>
  <c r="I32" i="1"/>
  <c r="H30" i="1"/>
  <c r="F28" i="1"/>
  <c r="H26" i="1"/>
  <c r="E24" i="1"/>
  <c r="I22" i="1"/>
  <c r="O20" i="1"/>
  <c r="B19" i="1"/>
  <c r="H17" i="1"/>
  <c r="K15" i="1"/>
  <c r="A14" i="1"/>
  <c r="G12" i="1"/>
  <c r="K10" i="1"/>
  <c r="C9" i="1"/>
  <c r="M7" i="1"/>
  <c r="F6" i="1"/>
  <c r="L4" i="1"/>
  <c r="G3" i="1"/>
  <c r="R1" i="1"/>
  <c r="H298" i="1"/>
  <c r="B289" i="1"/>
  <c r="G283" i="1"/>
  <c r="B277" i="1"/>
  <c r="D271" i="1"/>
  <c r="E265" i="1"/>
  <c r="H259" i="1"/>
  <c r="D253" i="1"/>
  <c r="M246" i="1"/>
  <c r="M240" i="1"/>
  <c r="N234" i="1"/>
  <c r="A229" i="1"/>
  <c r="B223" i="1"/>
  <c r="D217" i="1"/>
  <c r="H211" i="1"/>
  <c r="N204" i="1"/>
  <c r="G199" i="1"/>
  <c r="N194" i="1"/>
  <c r="A190" i="1"/>
  <c r="I185" i="1"/>
  <c r="N180" i="1"/>
  <c r="A176" i="1"/>
  <c r="F171" i="1"/>
  <c r="K166" i="1"/>
  <c r="M161" i="1"/>
  <c r="C157" i="1"/>
  <c r="F153" i="1"/>
  <c r="I149" i="1"/>
  <c r="L144" i="1"/>
  <c r="K140" i="1"/>
  <c r="E136" i="1"/>
  <c r="Q131" i="1"/>
  <c r="J127" i="1"/>
  <c r="C124" i="1"/>
  <c r="E120" i="1"/>
  <c r="M116" i="1"/>
  <c r="K113" i="1"/>
  <c r="K107" i="1"/>
  <c r="L104" i="1"/>
  <c r="A102" i="1"/>
  <c r="K99" i="1"/>
  <c r="I96" i="1"/>
  <c r="N92" i="1"/>
  <c r="E89" i="1"/>
  <c r="G86" i="1"/>
  <c r="B83" i="1"/>
  <c r="C80" i="1"/>
  <c r="A77" i="1"/>
  <c r="N73" i="1"/>
  <c r="C71" i="1"/>
  <c r="B68" i="1"/>
  <c r="M64" i="1"/>
  <c r="I61" i="1"/>
  <c r="M58" i="1"/>
  <c r="B56" i="1"/>
  <c r="H53" i="1"/>
  <c r="L50" i="1"/>
  <c r="B48" i="1"/>
  <c r="E45" i="1"/>
  <c r="L42" i="1"/>
  <c r="C40" i="1"/>
  <c r="G37" i="1"/>
  <c r="J34" i="1"/>
  <c r="H32" i="1"/>
  <c r="G30" i="1"/>
  <c r="E28" i="1"/>
  <c r="B26" i="1"/>
  <c r="D24" i="1"/>
  <c r="H22" i="1"/>
  <c r="N20" i="1"/>
  <c r="A19" i="1"/>
  <c r="E17" i="1"/>
  <c r="J15" i="1"/>
  <c r="N13" i="1"/>
  <c r="F12" i="1"/>
  <c r="J10" i="1"/>
  <c r="A9" i="1"/>
  <c r="L7" i="1"/>
  <c r="E6" i="1"/>
  <c r="K4" i="1"/>
  <c r="F3" i="1"/>
  <c r="P1" i="1"/>
  <c r="C297" i="1"/>
  <c r="M288" i="1"/>
  <c r="L282" i="1"/>
  <c r="N276" i="1"/>
  <c r="M270" i="1"/>
  <c r="B265" i="1"/>
  <c r="N258" i="1"/>
  <c r="L252" i="1"/>
  <c r="I246" i="1"/>
  <c r="K240" i="1"/>
  <c r="J234" i="1"/>
  <c r="K228" i="1"/>
  <c r="H222" i="1"/>
  <c r="B217" i="1"/>
  <c r="E211" i="1"/>
  <c r="L204" i="1"/>
  <c r="A199" i="1"/>
  <c r="H194" i="1"/>
  <c r="N189" i="1"/>
  <c r="G185" i="1"/>
  <c r="L180" i="1"/>
  <c r="K175" i="1"/>
  <c r="R170" i="1"/>
  <c r="I166" i="1"/>
  <c r="K161" i="1"/>
  <c r="A157" i="1"/>
  <c r="B153" i="1"/>
  <c r="C149" i="1"/>
  <c r="J144" i="1"/>
  <c r="I140" i="1"/>
  <c r="C136" i="1"/>
  <c r="M131" i="1"/>
  <c r="B127" i="1"/>
  <c r="B120" i="1"/>
  <c r="K116" i="1"/>
  <c r="I113" i="1"/>
  <c r="F110" i="1"/>
  <c r="I107" i="1"/>
  <c r="J104" i="1"/>
  <c r="Q101" i="1"/>
  <c r="I99" i="1"/>
  <c r="D96" i="1"/>
  <c r="B89" i="1"/>
  <c r="D86" i="1"/>
  <c r="O82" i="1"/>
  <c r="N79" i="1"/>
  <c r="N76" i="1"/>
  <c r="L73" i="1"/>
  <c r="N67" i="1"/>
  <c r="I64" i="1"/>
  <c r="G61" i="1"/>
  <c r="M55" i="1"/>
  <c r="B53" i="1"/>
  <c r="H50" i="1"/>
  <c r="C45" i="1"/>
  <c r="I42" i="1"/>
  <c r="N39" i="1"/>
  <c r="H34" i="1"/>
  <c r="G32" i="1"/>
  <c r="D28" i="1"/>
  <c r="A26" i="1"/>
  <c r="G22" i="1"/>
  <c r="N18" i="1"/>
  <c r="D17" i="1"/>
  <c r="M13" i="1"/>
  <c r="D12" i="1"/>
  <c r="N8" i="1"/>
  <c r="D6" i="1"/>
  <c r="E3" i="1"/>
  <c r="I296" i="1"/>
  <c r="I282" i="1"/>
  <c r="B276" i="1"/>
  <c r="F270" i="1"/>
  <c r="I264" i="1"/>
  <c r="H258" i="1"/>
  <c r="G252" i="1"/>
  <c r="N245" i="1"/>
  <c r="A240" i="1"/>
  <c r="E234" i="1"/>
  <c r="B228" i="1"/>
  <c r="D222" i="1"/>
  <c r="E216" i="1"/>
  <c r="I210" i="1"/>
  <c r="K198" i="1"/>
  <c r="D194" i="1"/>
  <c r="E189" i="1"/>
  <c r="M184" i="1"/>
  <c r="G180" i="1"/>
  <c r="O170" i="1"/>
  <c r="M165" i="1"/>
  <c r="D161" i="1"/>
  <c r="N152" i="1"/>
  <c r="N148" i="1"/>
  <c r="B140" i="1"/>
  <c r="M135" i="1"/>
  <c r="Q126" i="1"/>
  <c r="I123" i="1"/>
  <c r="E116" i="1"/>
  <c r="F113" i="1"/>
  <c r="E107" i="1"/>
  <c r="G104" i="1"/>
  <c r="F99" i="1"/>
  <c r="A96" i="1"/>
  <c r="I92" i="1"/>
  <c r="L85" i="1"/>
  <c r="L82" i="1"/>
  <c r="K76" i="1"/>
  <c r="I73" i="1"/>
  <c r="K67" i="1"/>
  <c r="E64" i="1"/>
  <c r="J58" i="1"/>
  <c r="L55" i="1"/>
  <c r="E50" i="1"/>
  <c r="K47" i="1"/>
  <c r="H42" i="1"/>
  <c r="B37" i="1"/>
  <c r="M31" i="1"/>
  <c r="K27" i="1"/>
  <c r="L23" i="1"/>
  <c r="C22" i="1"/>
  <c r="J18" i="1"/>
  <c r="N16" i="1"/>
  <c r="I13" i="1"/>
  <c r="D10" i="1"/>
  <c r="G7" i="1"/>
  <c r="O5" i="1"/>
  <c r="A3" i="1"/>
  <c r="K1" i="1"/>
  <c r="L251" i="1"/>
  <c r="J126" i="1"/>
  <c r="N88" i="1"/>
  <c r="H55" i="1"/>
  <c r="B34" i="1"/>
  <c r="F20" i="1"/>
  <c r="I8" i="1"/>
  <c r="H44" i="1"/>
  <c r="D20" i="1"/>
  <c r="E7" i="1"/>
</calcChain>
</file>

<file path=xl/sharedStrings.xml><?xml version="1.0" encoding="utf-8"?>
<sst xmlns="http://schemas.openxmlformats.org/spreadsheetml/2006/main" count="24722" uniqueCount="6697">
  <si>
    <t>STATUS</t>
  </si>
  <si>
    <t>TRIBUNAL DE JUSTIÇA DO ESTADO DE GOIÁS - EDITAL 07/2023</t>
  </si>
  <si>
    <t>LISTA DE CLASSIFICAÇÃO FINAL - SUPERIOR (EXCETO MUSEOLOGIA E GESTÃO DE RECURSOS HUMANOS) - AMPLA CONCORRÊNCIA - PUBLICADA EM 22/09/2023</t>
  </si>
  <si>
    <t>DICA: Para localizar seu nome utilize o atalho Ctrl+F</t>
  </si>
  <si>
    <r>
      <rPr>
        <b/>
        <sz val="12"/>
        <color rgb="FF000000"/>
        <rFont val="Calibri, Arial"/>
        <charset val="1"/>
      </rPr>
      <t xml:space="preserve">DICA: Para localizar seu nome utilize o atalho </t>
    </r>
    <r>
      <rPr>
        <b/>
        <sz val="12"/>
        <color rgb="FFFF0000"/>
        <rFont val="Calibri, Arial"/>
        <charset val="1"/>
      </rPr>
      <t>Ctrl+F</t>
    </r>
  </si>
  <si>
    <t>1ª CONVOCAÇÃO</t>
  </si>
  <si>
    <t>OBSERVAÇÃO - 1ª CONVOCAÇÃO</t>
  </si>
  <si>
    <t>2ª CONVOCAÇÃO</t>
  </si>
  <si>
    <t>OBSERVAÇÃO - 2ª CONVOCAÇÃO</t>
  </si>
  <si>
    <t>CLASSIFICAÇÃO</t>
  </si>
  <si>
    <t>NOME</t>
  </si>
  <si>
    <t>RG</t>
  </si>
  <si>
    <t>CPF</t>
  </si>
  <si>
    <t>SEXO</t>
  </si>
  <si>
    <t>ESTADO_CIVIL</t>
  </si>
  <si>
    <t>NACIONALIDADE</t>
  </si>
  <si>
    <t>ETINIA</t>
  </si>
  <si>
    <t>GENERO</t>
  </si>
  <si>
    <t>TEM_FILHOS</t>
  </si>
  <si>
    <t>CEP</t>
  </si>
  <si>
    <t>ESTADO</t>
  </si>
  <si>
    <t>MUNICIPIO</t>
  </si>
  <si>
    <t>ENDERECO</t>
  </si>
  <si>
    <t>BAIRRO</t>
  </si>
  <si>
    <t>EMAIL</t>
  </si>
  <si>
    <t>TELEFONE</t>
  </si>
  <si>
    <t>CELULAR</t>
  </si>
  <si>
    <t>PCD</t>
  </si>
  <si>
    <t>TIPO_DEFICIENCIA</t>
  </si>
  <si>
    <t>INSTITUICAO_ENSINO</t>
  </si>
  <si>
    <t>NIVEL_ESCOLAR</t>
  </si>
  <si>
    <t>CURSO</t>
  </si>
  <si>
    <t>DATA_INICIO_CURSO</t>
  </si>
  <si>
    <t>DATA_TERMINO_CURSO</t>
  </si>
  <si>
    <t>PERIODO_LETIVO</t>
  </si>
  <si>
    <t>TURNO_AULA</t>
  </si>
  <si>
    <t>TURNO_ESTAGIO</t>
  </si>
  <si>
    <t>PROGRAMA_SOCIAL</t>
  </si>
  <si>
    <t>MEDIA_GLOBAL</t>
  </si>
  <si>
    <t>IDIOMAS</t>
  </si>
  <si>
    <t>CONHECIMENTOS</t>
  </si>
  <si>
    <t>LOCAIS DE ESTÁGIO</t>
  </si>
  <si>
    <t>COTAS</t>
  </si>
  <si>
    <t>PROGRAMA BOLSA UNIVERSITÁRIA – OVG</t>
  </si>
  <si>
    <t>DATA NASCIMENTO</t>
  </si>
  <si>
    <t>SEMESTRE</t>
  </si>
  <si>
    <t>PONTUAÇÃO</t>
  </si>
  <si>
    <t>FERNANDO FERREIRA DE ARAÚJO</t>
  </si>
  <si>
    <t>70280277164</t>
  </si>
  <si>
    <t>MASCULINO</t>
  </si>
  <si>
    <t>SOLTEIRO</t>
  </si>
  <si>
    <t>BRASIL</t>
  </si>
  <si>
    <t>PARDA</t>
  </si>
  <si>
    <t>NÃO</t>
  </si>
  <si>
    <t>72940000</t>
  </si>
  <si>
    <t>GO</t>
  </si>
  <si>
    <t>ABADIÂNIA</t>
  </si>
  <si>
    <t>AVENIDA JK DE OLIVEIRA , 134. Q 1 LOTE 10</t>
  </si>
  <si>
    <t>CENTRO</t>
  </si>
  <si>
    <t>FERNANDOFERREIRATARCISIO@GMAIL.COM</t>
  </si>
  <si>
    <t>(62) 33431307</t>
  </si>
  <si>
    <t>(62) 998180545</t>
  </si>
  <si>
    <t>UNIVERSIDADE EVANGÉLICA DE GOIÁS</t>
  </si>
  <si>
    <t>SUPERIOR</t>
  </si>
  <si>
    <t>DIREITO</t>
  </si>
  <si>
    <t>SEMESTRAL</t>
  </si>
  <si>
    <t>NOITE</t>
  </si>
  <si>
    <t>TARDE</t>
  </si>
  <si>
    <t>ABADIÂNIA - GO</t>
  </si>
  <si>
    <t>DISPONÍVEL</t>
  </si>
  <si>
    <t>JAQUELINE OLIVEIRA DOS SANTOS</t>
  </si>
  <si>
    <t>08396096120</t>
  </si>
  <si>
    <t>FEMININO</t>
  </si>
  <si>
    <t>75960000</t>
  </si>
  <si>
    <t>ACREÚNA</t>
  </si>
  <si>
    <t>RUA PEDRO ANTÔNIO RODRIGUES , 181. PERTO DO SUPERMERCADO VEJA</t>
  </si>
  <si>
    <t>CANADÁ</t>
  </si>
  <si>
    <t>JAQUELINEOLIVEIRAJAQUELINE50@GMAIL.COM</t>
  </si>
  <si>
    <t>(64) 99291312</t>
  </si>
  <si>
    <t>FACULDADE ALMEIDA RODRIGUES</t>
  </si>
  <si>
    <t>ADMINISTRAÇÃO</t>
  </si>
  <si>
    <t>ACREÚNA - GO</t>
  </si>
  <si>
    <t>ISMAILIA SILVA FERREIRA</t>
  </si>
  <si>
    <t>83322256120</t>
  </si>
  <si>
    <t>CASADO</t>
  </si>
  <si>
    <t>BRANCA</t>
  </si>
  <si>
    <t>RUA JORDELINA DO CARMO ARANTES, 96.</t>
  </si>
  <si>
    <t>SETOR SERRA DOURADA</t>
  </si>
  <si>
    <t>ISMAILIAFERREIRA77@GMAIL.COM</t>
  </si>
  <si>
    <t>(64) 96073507</t>
  </si>
  <si>
    <t>(64) 996073507</t>
  </si>
  <si>
    <t>FACULDADE FAP</t>
  </si>
  <si>
    <t>ELLEN CRISTYNI DIAS SILVA</t>
  </si>
  <si>
    <t>09186007157</t>
  </si>
  <si>
    <t>AVENIDA ARAGUAIA , 65. WANDER AGRONEGÓCIOS</t>
  </si>
  <si>
    <t>SETOR CENTRAL</t>
  </si>
  <si>
    <t>ELLEN.C.D.SILVA@ACADEMICO.UNIRV.EDU.BR</t>
  </si>
  <si>
    <t>(64) 999675923</t>
  </si>
  <si>
    <t>UNIRV- UNIVERSIDADE DE RIO VERDE</t>
  </si>
  <si>
    <t>RAFAELA SILVA SANTOS</t>
  </si>
  <si>
    <t>6130246</t>
  </si>
  <si>
    <t>02889354113</t>
  </si>
  <si>
    <t>AVENIDA MINAS GERAIS, 10. Q 31 L 1B</t>
  </si>
  <si>
    <t>NOVA ACREÚNA</t>
  </si>
  <si>
    <t>RAFASILSAN12@GMAIL.COM</t>
  </si>
  <si>
    <t>(64) 96036989</t>
  </si>
  <si>
    <t>(64) 996036989</t>
  </si>
  <si>
    <t>UNIVERSIDADE DE RIO VERDE</t>
  </si>
  <si>
    <t>DANRLEY PIRES VICTOR</t>
  </si>
  <si>
    <t>20162764809</t>
  </si>
  <si>
    <t>05172363386</t>
  </si>
  <si>
    <t>72242021</t>
  </si>
  <si>
    <t>DF</t>
  </si>
  <si>
    <t>BRASÍLIA</t>
  </si>
  <si>
    <t>QNP 21 CONJUNTO L, 9.</t>
  </si>
  <si>
    <t>CEILÂNDIA NORTE (CEILÂNDIA)</t>
  </si>
  <si>
    <t>PIRESDANRLEY3@GMAIL.COM</t>
  </si>
  <si>
    <t>(61) 983002074</t>
  </si>
  <si>
    <t>SIM</t>
  </si>
  <si>
    <t>DOR EM MEMBRO INFERIOR (M79.6), PADRAO DE MARCHA EM ROTACAO EXTERNA (R26.8), ANTEVERSAO FEMORAL (Q65.8), PE PLANO VALGO (Q66.6)</t>
  </si>
  <si>
    <t>CENTRO UNIVERSITÁRIO PROJEÇÃO</t>
  </si>
  <si>
    <t>ÁGUAS LINDAS - GO</t>
  </si>
  <si>
    <t>DEFICIENTE</t>
  </si>
  <si>
    <t>LINDSEY MARA DE AZEVEDO GOMES</t>
  </si>
  <si>
    <t>6939963</t>
  </si>
  <si>
    <t>70967632102</t>
  </si>
  <si>
    <t>72920112</t>
  </si>
  <si>
    <t>ÁGUAS LINDAS DE GOIÁS</t>
  </si>
  <si>
    <t>QUADRA QUADRA 40, 3.</t>
  </si>
  <si>
    <t>JARDIM DA BARRAGEM II</t>
  </si>
  <si>
    <t>LINDSEYMARA53@GMAIL.COM</t>
  </si>
  <si>
    <t>(61) 93995705</t>
  </si>
  <si>
    <t>(61) 993624813</t>
  </si>
  <si>
    <t>UNIPROJEÇÃO TAGUATINGA</t>
  </si>
  <si>
    <t>MANHÃ</t>
  </si>
  <si>
    <t>MARIA BEATRIZ GOMES DE OLIVEIRA</t>
  </si>
  <si>
    <t>3436434</t>
  </si>
  <si>
    <t>04679274131</t>
  </si>
  <si>
    <t>72912433</t>
  </si>
  <si>
    <t>QUADRA QUADRA 39, 39. LOTE 23</t>
  </si>
  <si>
    <t>JARDIM GUAÍRA II</t>
  </si>
  <si>
    <t>BYAHLINDJA@GMAIL.COM</t>
  </si>
  <si>
    <t>(61) 36139758</t>
  </si>
  <si>
    <t>(61) 995297241</t>
  </si>
  <si>
    <t>CENTRO UNIVERSITÁRIO IESB</t>
  </si>
  <si>
    <t>EMANUELLY LOUISE JACINTO DE QUEIROGA</t>
  </si>
  <si>
    <t>3915617</t>
  </si>
  <si>
    <t>08104587137</t>
  </si>
  <si>
    <t>72911630</t>
  </si>
  <si>
    <t>QD 13, 25. CASA</t>
  </si>
  <si>
    <t>JARDIM GUAIRA</t>
  </si>
  <si>
    <t>EMANUELLYLOUISE02@ICLOUD.COM</t>
  </si>
  <si>
    <t>(61) 991371154</t>
  </si>
  <si>
    <t>BCEC - BRASIL CENTRAL DE EDUCACAO E CULTURA</t>
  </si>
  <si>
    <t>GESSICA VIEIRA DA SILVA</t>
  </si>
  <si>
    <t>00973870290</t>
  </si>
  <si>
    <t>72915627</t>
  </si>
  <si>
    <t>QUADRA QA 7, 26. 103</t>
  </si>
  <si>
    <t>MANSÕES OLINDA</t>
  </si>
  <si>
    <t>GESSICASILVA453@GMAIL.COM</t>
  </si>
  <si>
    <t>(61) 981566106</t>
  </si>
  <si>
    <t>ANHNAGUERA</t>
  </si>
  <si>
    <t>NICOLE BASTOS DOS SANTOS</t>
  </si>
  <si>
    <t>6741626</t>
  </si>
  <si>
    <t>03965153200</t>
  </si>
  <si>
    <t>72910361</t>
  </si>
  <si>
    <t>QUADRA 59 CONJUNTO A, S/N. LOTE 6 A 3</t>
  </si>
  <si>
    <t>PARQUE DA BARRAGEM SETOR 12</t>
  </si>
  <si>
    <t>NICOLE.BASTOS.2001@GMAIL.COM</t>
  </si>
  <si>
    <t>(93) 99049810</t>
  </si>
  <si>
    <t>(93) 996511606</t>
  </si>
  <si>
    <t>FACULDADE MAUÁ GO</t>
  </si>
  <si>
    <t>DÉBORA CAROLINE FERNANDES REBOUÇOS</t>
  </si>
  <si>
    <t>6108974</t>
  </si>
  <si>
    <t>70191881171</t>
  </si>
  <si>
    <t>72915645</t>
  </si>
  <si>
    <t>QUADRA QA 13, 4A.</t>
  </si>
  <si>
    <t>ABELHAREBOUCAS.123@GMAIL.COM</t>
  </si>
  <si>
    <t>(61) 993289909</t>
  </si>
  <si>
    <t>FACULDADE MAUÁ</t>
  </si>
  <si>
    <t>CLÁUDIO PEREIRA DO NASCIMENTO</t>
  </si>
  <si>
    <t>72307692134</t>
  </si>
  <si>
    <t>72925078</t>
  </si>
  <si>
    <t>QUADRA 102 CONJUNTO A, CASA 45. SETOR 9</t>
  </si>
  <si>
    <t>PARQUE DA BARRAGEM SETOR 09</t>
  </si>
  <si>
    <t>CLAUDIOPEREIRATUDOBEM@GMAIL.COM</t>
  </si>
  <si>
    <t>(61) 99668883</t>
  </si>
  <si>
    <t>(61) 992795320</t>
  </si>
  <si>
    <t>FRANCILENE PEREIRA DOS SANTOS</t>
  </si>
  <si>
    <t>3326916</t>
  </si>
  <si>
    <t>05674385114</t>
  </si>
  <si>
    <t>PRETA</t>
  </si>
  <si>
    <t>72914105</t>
  </si>
  <si>
    <t>QUADRA QUADRA 15, LOTE 01. Q.15 L.1</t>
  </si>
  <si>
    <t>CAMPING CLUBE</t>
  </si>
  <si>
    <t>FRANCILENE1999IFG@GMAIL.COM</t>
  </si>
  <si>
    <t>(61) 981616029</t>
  </si>
  <si>
    <t>RYAN SOUZA</t>
  </si>
  <si>
    <t>6561313</t>
  </si>
  <si>
    <t>70618610103</t>
  </si>
  <si>
    <t>72925012</t>
  </si>
  <si>
    <t>QUADRA 70 CONJUNTO B, 30.</t>
  </si>
  <si>
    <t>RYANROCHA021@GMAIL.COM</t>
  </si>
  <si>
    <t>(61) 995801188</t>
  </si>
  <si>
    <t>PSICOLOGIA</t>
  </si>
  <si>
    <t>EULA PAULA DA SILVA</t>
  </si>
  <si>
    <t>07741132431</t>
  </si>
  <si>
    <t>72915540</t>
  </si>
  <si>
    <t>QUADRA QA 30, 16A. AP 02</t>
  </si>
  <si>
    <t>EULAPAULADASILVA88@GMAIL.COM</t>
  </si>
  <si>
    <t>(61) 992364964</t>
  </si>
  <si>
    <t>BRENDA LORRAINE FIGUEREDO DE SOUZA</t>
  </si>
  <si>
    <t>3577206</t>
  </si>
  <si>
    <t>70503723150</t>
  </si>
  <si>
    <t>72922533</t>
  </si>
  <si>
    <t>QUADRA QUADRA 21, 36.</t>
  </si>
  <si>
    <t>JARDIM AMÉRICA IV</t>
  </si>
  <si>
    <t>BRENDAH689@GMAIL.COM</t>
  </si>
  <si>
    <t>(61) 999636493</t>
  </si>
  <si>
    <t>FACULDADE UNINASSAU DE BRASÍLIA</t>
  </si>
  <si>
    <t>MICKAELLY RODRIGUES DOURADO</t>
  </si>
  <si>
    <t>7517607</t>
  </si>
  <si>
    <t>70580083101</t>
  </si>
  <si>
    <t>72926289</t>
  </si>
  <si>
    <t>QUADRA QUADRA 8, 18.</t>
  </si>
  <si>
    <t>PARQUE DAS ÁGUAS BONITAS I ETAPA B</t>
  </si>
  <si>
    <t>MICKAELLYDOURADO7@GMAIL.COM</t>
  </si>
  <si>
    <t>(61) 981593674</t>
  </si>
  <si>
    <t>HYELLEN MARCONDES SILVA LIMA</t>
  </si>
  <si>
    <t>04039240146</t>
  </si>
  <si>
    <t>73950000</t>
  </si>
  <si>
    <t>ALVORADA DO NORTE</t>
  </si>
  <si>
    <t>RUA 4 QD.18 LT 6, 6.</t>
  </si>
  <si>
    <t>NOVA VILA</t>
  </si>
  <si>
    <t>HYELLENSL@GMAIL.COM</t>
  </si>
  <si>
    <t>(62) 996457861</t>
  </si>
  <si>
    <t>INSTITUTO FEDERAL GOIANO - CAMPUS POSSE</t>
  </si>
  <si>
    <t>ALVORADA DO NORTE - GO</t>
  </si>
  <si>
    <t>KAREN STHEFFANY FRANCA DE SOUSA</t>
  </si>
  <si>
    <t>70481102108</t>
  </si>
  <si>
    <t>73930000</t>
  </si>
  <si>
    <t>SIMOLÂNDIA</t>
  </si>
  <si>
    <t>RUA FLORES DE GOIAS QD 33 LT 22, SN. QD 33 LT 22</t>
  </si>
  <si>
    <t>KARENSTHENY@GMAIL.COM</t>
  </si>
  <si>
    <t>(62) 996520886</t>
  </si>
  <si>
    <t>FACULDADE ANHANGUERA</t>
  </si>
  <si>
    <t>VARIÁVEL</t>
  </si>
  <si>
    <t>ALEXANDRE ALVES DE MAGALHÃES</t>
  </si>
  <si>
    <t>07449524171</t>
  </si>
  <si>
    <t>75074810</t>
  </si>
  <si>
    <t>ANÁPOLIS</t>
  </si>
  <si>
    <t>AVENIDA DOUTOR OSVALDO CRUZ, 11. POUSADA DAS PALMEIRAS</t>
  </si>
  <si>
    <t>CIDADE UNIVERSITÁRIA</t>
  </si>
  <si>
    <t>AAMAGALHAES@DR.COM</t>
  </si>
  <si>
    <t>(62) 986045365</t>
  </si>
  <si>
    <t>UNIVERSIDADE ESTADUAL DE GOIÁS</t>
  </si>
  <si>
    <t>ANÁPOLIS - GO</t>
  </si>
  <si>
    <t>KEROLENE DO NASCIMENTO LIMA LEITE</t>
  </si>
  <si>
    <t>6361586</t>
  </si>
  <si>
    <t>06856445105</t>
  </si>
  <si>
    <t>75060320</t>
  </si>
  <si>
    <t>AVENIDA DOM EMANOEL GOMES DE OLIVEIRA, 20A. QUADRA 3 LOTE20A</t>
  </si>
  <si>
    <t>JARDIM ALEXANDRINA</t>
  </si>
  <si>
    <t>KEROLENENASC@GMAIL.COM</t>
  </si>
  <si>
    <t>(62) 986118787</t>
  </si>
  <si>
    <t>UNIEVANGÉLICA - UNIVERSIDADE EVANGÉLICA DE GOIÁS</t>
  </si>
  <si>
    <t>CIÊNCIAS CONTÁBEIS</t>
  </si>
  <si>
    <t>LORENA CAROLYNE FERNANDES</t>
  </si>
  <si>
    <t>02094068102</t>
  </si>
  <si>
    <t>72960000</t>
  </si>
  <si>
    <t>CORUMBÁ DE GOIÁS</t>
  </si>
  <si>
    <t>RUA JOÃO PAULINO PARENTE, 53. QUADRA 2 , LOTE 3</t>
  </si>
  <si>
    <t>DOS LEITES</t>
  </si>
  <si>
    <t>LORENACAROLYNE111@HOTMAIL.COM</t>
  </si>
  <si>
    <t>(62) 33381546</t>
  </si>
  <si>
    <t>(62) 984045134</t>
  </si>
  <si>
    <t>FACULDADE METROPOLITANA DE ANÁPOLIS</t>
  </si>
  <si>
    <t>ANNA CLARA FERREIRA DE MELO</t>
  </si>
  <si>
    <t>03948791120</t>
  </si>
  <si>
    <t>75080370</t>
  </si>
  <si>
    <t>RUA F, 210. RESIDENCIAL GARDEN APT103L</t>
  </si>
  <si>
    <t>CIDADE JARDIM</t>
  </si>
  <si>
    <t>ANNACLARAFERREIRAMELO@GMAIL.COM</t>
  </si>
  <si>
    <t>(62) 994982432</t>
  </si>
  <si>
    <t>UNIEVANGELICA</t>
  </si>
  <si>
    <t>LUAN LUCAS SANTOS DE ARRUDA</t>
  </si>
  <si>
    <t>61850661308</t>
  </si>
  <si>
    <t>75060040</t>
  </si>
  <si>
    <t>RUA BENEDITO BORGES, 2. Q. 26</t>
  </si>
  <si>
    <t>LUAN.AARRUDA14@HOTMAIL.COM</t>
  </si>
  <si>
    <t>(62) 994060695</t>
  </si>
  <si>
    <t>TAUANY VERÔNICA BATISTA DA SILVA</t>
  </si>
  <si>
    <t>6697041</t>
  </si>
  <si>
    <t>07280038131</t>
  </si>
  <si>
    <t>75105740</t>
  </si>
  <si>
    <t>RUA 141, SN. QUADRA X LOTE 13</t>
  </si>
  <si>
    <t>ALTO DA BELA VISTA</t>
  </si>
  <si>
    <t>TAUANYVERONICA15@GMAIL.COM</t>
  </si>
  <si>
    <t>(62) 994580557</t>
  </si>
  <si>
    <t>UNIVERSIDADE EVANGÉLICA DE GOIÁS - UNIEVANGÉLICA</t>
  </si>
  <si>
    <t>GUILHERME HENRIQUE PEREIRA CAMPOS</t>
  </si>
  <si>
    <t>70275843106</t>
  </si>
  <si>
    <t>75095260</t>
  </si>
  <si>
    <t>AVENIDA ALVORADA, 14. 14</t>
  </si>
  <si>
    <t>LOURDES</t>
  </si>
  <si>
    <t>GUILHERMEHPCHPC@GMAIL.COM</t>
  </si>
  <si>
    <t>(62) 93642327</t>
  </si>
  <si>
    <t>(62) 993642327</t>
  </si>
  <si>
    <t>UNIEVANGÉLICA</t>
  </si>
  <si>
    <t>CAROLINE MAGALHÃES RESENDE BRAZAO</t>
  </si>
  <si>
    <t>07350289669</t>
  </si>
  <si>
    <t>75110750</t>
  </si>
  <si>
    <t>AVENIDA JOSÉ NETO PARANHOS, 663. APTO 302 BL A</t>
  </si>
  <si>
    <t>JUNDIAÍ</t>
  </si>
  <si>
    <t>CAROLMAGAFISIO@YAHOO.COM.BR</t>
  </si>
  <si>
    <t>(62) 995099162</t>
  </si>
  <si>
    <t>FACULDADE RAIZES</t>
  </si>
  <si>
    <t>AMANDA DA SILVA SANTOS RAMOS</t>
  </si>
  <si>
    <t>06403323156</t>
  </si>
  <si>
    <t>75136115</t>
  </si>
  <si>
    <t>RUA 20, SN. QD36 LT31</t>
  </si>
  <si>
    <t>CONJUNTO HABITACIONAL VILA UNIÃO</t>
  </si>
  <si>
    <t>AMANDASS832@GMAIL.COM</t>
  </si>
  <si>
    <t>(62) 994736612</t>
  </si>
  <si>
    <t>UNIVERSIDADE EVANGÉLICA DE GOIÁS- UNIEVANGÉLICA</t>
  </si>
  <si>
    <t>CONTRATADO</t>
  </si>
  <si>
    <t>MARIA EDUARDA ANTUNES ALVES OLIVEIRA</t>
  </si>
  <si>
    <t>07133026155</t>
  </si>
  <si>
    <t>75083460</t>
  </si>
  <si>
    <t>RUA DOUTOR EVANDRO PINTO SILVA, 00. EDIFÍCIO UNIVERSITÁRIO; APTO 206</t>
  </si>
  <si>
    <t>MARIAEDUARDAANTUNES_14@OUTLOOK.COM</t>
  </si>
  <si>
    <t>(62) 996736658</t>
  </si>
  <si>
    <t>ANNA CLARA RIGO QUEIROZ</t>
  </si>
  <si>
    <t>71109236140</t>
  </si>
  <si>
    <t>75063385</t>
  </si>
  <si>
    <t>AVENIDA JOÃO VIEIRA, 0. BLOCO A03 APTO 406</t>
  </si>
  <si>
    <t>JARDIM PROGRESSO</t>
  </si>
  <si>
    <t>ANNACLARARIGO@GMAIL.COM</t>
  </si>
  <si>
    <t>(62) 994716004</t>
  </si>
  <si>
    <t>GABRIELLE VENÂNCIO DE MOURA</t>
  </si>
  <si>
    <t>7306351</t>
  </si>
  <si>
    <t>03763252169</t>
  </si>
  <si>
    <t>72980000</t>
  </si>
  <si>
    <t>PIRENÓPOLIS</t>
  </si>
  <si>
    <t>RUA DO SUL QD. E, 10. VILA JOÃO FIGUEIREDO</t>
  </si>
  <si>
    <t>ALTO DO BONFIM</t>
  </si>
  <si>
    <t>GABRIELLEMOURA898@GMAIL.COM</t>
  </si>
  <si>
    <t>(62) 991683397</t>
  </si>
  <si>
    <t>FACULDADE EVANGÉLICA RAÍZES</t>
  </si>
  <si>
    <t>MARIA EDUARDA DA COSTA DOMINGOS</t>
  </si>
  <si>
    <t>7162059</t>
  </si>
  <si>
    <t>08387619175</t>
  </si>
  <si>
    <t>75113360</t>
  </si>
  <si>
    <t>AVENIDA DONA ELVIRA, 0. QD.2R.LT.12</t>
  </si>
  <si>
    <t>VILA SANTA MARIA DE NAZARETH</t>
  </si>
  <si>
    <t>MARIIAEDUARDA02166@GMAIL.COM</t>
  </si>
  <si>
    <t>(62) 994258558</t>
  </si>
  <si>
    <t>MARIA FERNANDA DA SILVA MARTINS</t>
  </si>
  <si>
    <t>6494611</t>
  </si>
  <si>
    <t>70559521154</t>
  </si>
  <si>
    <t>75064020</t>
  </si>
  <si>
    <t>R PIRATININGA, 490. QD. 30 LT.16</t>
  </si>
  <si>
    <t>VILA JAIARA</t>
  </si>
  <si>
    <t>FERNANDASMARTINS@OUTLOOK.COM</t>
  </si>
  <si>
    <t>(62) 998668796</t>
  </si>
  <si>
    <t>MAYARA MAIA PEREIRA</t>
  </si>
  <si>
    <t>07659041100</t>
  </si>
  <si>
    <t>75165000</t>
  </si>
  <si>
    <t>OURO VERDE DE GOIÁS</t>
  </si>
  <si>
    <t>RUA MARCIANO FRANÇA , 48.</t>
  </si>
  <si>
    <t>MAYARAMAIA890@GMAIL.COM</t>
  </si>
  <si>
    <t>(62) 991606752</t>
  </si>
  <si>
    <t>ARTHUR FILIPE DE OLIVEIRA SILVA</t>
  </si>
  <si>
    <t>70990606198</t>
  </si>
  <si>
    <t>75073616</t>
  </si>
  <si>
    <t>RUA RA 26, 03. ÚLTIMA RUA DEPOIS DAS DUAS PISTAS</t>
  </si>
  <si>
    <t>LOTEAMENTO RESIDENCIAL AMÉRICA</t>
  </si>
  <si>
    <t>ARTHUR_FELIPE09@OUTLOOK.COM</t>
  </si>
  <si>
    <t>(62) 92622825</t>
  </si>
  <si>
    <t>(62) 991716412</t>
  </si>
  <si>
    <t>FACULDADE METROPOLITANA DE ANAPOLIS</t>
  </si>
  <si>
    <t>VINÍCIUS NEVES FONTES</t>
  </si>
  <si>
    <t>71070978140</t>
  </si>
  <si>
    <t>75064060</t>
  </si>
  <si>
    <t>RUA JOÃO PINHEIRO, 0. QD.06 LT.78 JAIARA</t>
  </si>
  <si>
    <t>VILA JAYARA</t>
  </si>
  <si>
    <t>VINEVES26@GMAIL.COM</t>
  </si>
  <si>
    <t>(62) 991596347</t>
  </si>
  <si>
    <t>FACULDADE METROPOLITANA DE ANÁPOLIS - FAMA</t>
  </si>
  <si>
    <t>ANA CLARA ALVES DE SOUZA</t>
  </si>
  <si>
    <t>71339838184</t>
  </si>
  <si>
    <t>75083450</t>
  </si>
  <si>
    <t>RUA DAYSE FANSTONE, S/N. QD 01 LT 30</t>
  </si>
  <si>
    <t>ANACLALVES.03@GMAIL.COM</t>
  </si>
  <si>
    <t>(62) 33262150</t>
  </si>
  <si>
    <t>(62) 986281145</t>
  </si>
  <si>
    <t>ISADORA ANDRADE SOARES</t>
  </si>
  <si>
    <t>6578420</t>
  </si>
  <si>
    <t>70572456107</t>
  </si>
  <si>
    <t>75124730</t>
  </si>
  <si>
    <t>AVENIDA PRESIDENTE JOSÉ SARNEY, SN. RESIDENCIAL TOULOUSE LIFE MARGINAL AYRTON SENNA</t>
  </si>
  <si>
    <t>SETOR SUL JAMIL MIGUEL</t>
  </si>
  <si>
    <t>ISADORAASOARES@HOTMAIL.COM</t>
  </si>
  <si>
    <t>(62) 94091497</t>
  </si>
  <si>
    <t>(62) 994091497</t>
  </si>
  <si>
    <t>BRUNNA FERNANDES DE ARAÚJO</t>
  </si>
  <si>
    <t>70810438100</t>
  </si>
  <si>
    <t>76330000</t>
  </si>
  <si>
    <t>JARAGUÁ</t>
  </si>
  <si>
    <t>RUA TEODORO TAVARES DOS SANTOS , 92. 00</t>
  </si>
  <si>
    <t>AEROPORTO</t>
  </si>
  <si>
    <t>BRUNNAFERNANDES1212@GMAIL.COM</t>
  </si>
  <si>
    <t>(00) 00000000</t>
  </si>
  <si>
    <t>(62) 984630328</t>
  </si>
  <si>
    <t>MARIA EDUARDA APARECIDA REZENDE</t>
  </si>
  <si>
    <t>70340369183</t>
  </si>
  <si>
    <t>75084350</t>
  </si>
  <si>
    <t>RUA RC 18 Q5 L15, 00.</t>
  </si>
  <si>
    <t>CEREJEIRAS II</t>
  </si>
  <si>
    <t>MARIAEDUARDAREZENDE349@GMAIL.COM</t>
  </si>
  <si>
    <t>(62) 92052601</t>
  </si>
  <si>
    <t>(62) 992052601</t>
  </si>
  <si>
    <t>FACULDADE EVANGELICA RAIZES</t>
  </si>
  <si>
    <t>LUDMILA TAVARES OLIVEIRA</t>
  </si>
  <si>
    <t>71517877156</t>
  </si>
  <si>
    <t>75090150</t>
  </si>
  <si>
    <t>RUA DAS ROSAS, 11.</t>
  </si>
  <si>
    <t>GRAN VILLE</t>
  </si>
  <si>
    <t>LUDMYLLAOLIVEIRA.8676@GMAIL.COM</t>
  </si>
  <si>
    <t>(62) 994489633</t>
  </si>
  <si>
    <t>FACULDADE CATÓLICA DE ANÁPOLIS</t>
  </si>
  <si>
    <t>NEGRO</t>
  </si>
  <si>
    <t>JULIA SILVA DE OLIVEIRA</t>
  </si>
  <si>
    <t>6917936</t>
  </si>
  <si>
    <t>70946342180</t>
  </si>
  <si>
    <t>75094770</t>
  </si>
  <si>
    <t>RUA L-022, 0. QUADRA 47 LOTE 10</t>
  </si>
  <si>
    <t>JARDIM EUROPA</t>
  </si>
  <si>
    <t>JULIA.SIOLI@HOTMAIL.COM</t>
  </si>
  <si>
    <t>(62) 92519345</t>
  </si>
  <si>
    <t>(62) 991781751</t>
  </si>
  <si>
    <t>UNIVERSIDADE EVANGÉLICA DE ANÁPOLIS</t>
  </si>
  <si>
    <t>ANA BEATRIZ MARTINS</t>
  </si>
  <si>
    <t>6494612</t>
  </si>
  <si>
    <t>70559523106</t>
  </si>
  <si>
    <t>R PIRATININGA, 490. QD30 LT16</t>
  </si>
  <si>
    <t>BIAHSMARTINS@OUTLOOK.COM</t>
  </si>
  <si>
    <t>(62) 991956811</t>
  </si>
  <si>
    <t>UNIVERSIDADE ESTADUAL EVANGÉLICA DE GOIÁS</t>
  </si>
  <si>
    <t>SARHA EIAHIA MUSA MAHMUD</t>
  </si>
  <si>
    <t>08170988101</t>
  </si>
  <si>
    <t>75070415</t>
  </si>
  <si>
    <t>AVENIDA UNIVERSITÁRIA, SN. RESIDENCIAL OÁSIS</t>
  </si>
  <si>
    <t>JARDIM DAS AMÉRICAS 2ª ETAPA</t>
  </si>
  <si>
    <t>SARHAEIAHIAMUSA@GMAIL.COM</t>
  </si>
  <si>
    <t>(62) 996604987</t>
  </si>
  <si>
    <t>UNIVERSIDADE EVANGÉLICA</t>
  </si>
  <si>
    <t>YANNA FABYAN OLIVEIRA</t>
  </si>
  <si>
    <t>6762086</t>
  </si>
  <si>
    <t>70796618119</t>
  </si>
  <si>
    <t>RUA DOUTOR EVANDRO PINTO SILVA, 2202. QUADRA 01, LOTE 9/10</t>
  </si>
  <si>
    <t>OLIVEIRAYANNA255@GMAIL.COM</t>
  </si>
  <si>
    <t>(62) 993117288</t>
  </si>
  <si>
    <t>CLARA GODINHO CARVALHO</t>
  </si>
  <si>
    <t>6003688</t>
  </si>
  <si>
    <t>70112804136</t>
  </si>
  <si>
    <t>RUA DOUTOR EVANDRO PINTO SILVA, LT. 40. QUADRA 02</t>
  </si>
  <si>
    <t>CLARAGCARVALHO14@GMAIL.COM</t>
  </si>
  <si>
    <t>(62) 996602763</t>
  </si>
  <si>
    <t>CHARLLYSON CIRIO BARBOSA RAMOS</t>
  </si>
  <si>
    <t>6205650</t>
  </si>
  <si>
    <t>70279393121</t>
  </si>
  <si>
    <t>75136000</t>
  </si>
  <si>
    <t>AVENIDA LÍDIA DE SOUZA FERNANDES, SN. QD 12 LT 14</t>
  </si>
  <si>
    <t>CIRIOBARBOSARAMOSCHARLLYSON@GMAIL.COM</t>
  </si>
  <si>
    <t>(62) 995546158</t>
  </si>
  <si>
    <t>FACULDADE FIBRA</t>
  </si>
  <si>
    <t>LORENA LEITE SILVA</t>
  </si>
  <si>
    <t>6704307</t>
  </si>
  <si>
    <t>70755947100</t>
  </si>
  <si>
    <t>75053350</t>
  </si>
  <si>
    <t>RUA MARIA LÚCIA, 0. QD 05 LT 09</t>
  </si>
  <si>
    <t>ADRIANA PARQUE</t>
  </si>
  <si>
    <t>LORENNA-LEITE01@HOTMAIL.COM</t>
  </si>
  <si>
    <t>(62) 993541526</t>
  </si>
  <si>
    <t>LAÍS DE ALMEIDA LOURES</t>
  </si>
  <si>
    <t>7477894</t>
  </si>
  <si>
    <t>70255662173</t>
  </si>
  <si>
    <t>75091125</t>
  </si>
  <si>
    <t>AVENIDA AYRTON SENNA, S/N. QD.12A LT.02</t>
  </si>
  <si>
    <t>CONJUNTO HABITACIONAL FILOSTRO MACHADO CARNEIRO</t>
  </si>
  <si>
    <t>LAISLOURES2003@GMAIL.COM</t>
  </si>
  <si>
    <t>(62) 992787301</t>
  </si>
  <si>
    <t>JULIANA MARIA SANTOS MELO</t>
  </si>
  <si>
    <t>06248464316</t>
  </si>
  <si>
    <t>75086008</t>
  </si>
  <si>
    <t>RUA FC 17, APART 101. AP 101</t>
  </si>
  <si>
    <t>RESIDENCIAL FLOR DO CERRADO</t>
  </si>
  <si>
    <t>JULIANAMELO1104@GMAIL.COM</t>
  </si>
  <si>
    <t>(62) 92708767</t>
  </si>
  <si>
    <t>(62) 996088166</t>
  </si>
  <si>
    <t>ANDRESSA GABRIELLA FERREIRA SOARES</t>
  </si>
  <si>
    <t>7181902</t>
  </si>
  <si>
    <t>71123491178</t>
  </si>
  <si>
    <t>75097035</t>
  </si>
  <si>
    <t>RUA PSJ 5, 0. QUADRA 7 LOTE 14</t>
  </si>
  <si>
    <t>PARQUE SÃO JERÔNIMO</t>
  </si>
  <si>
    <t>ANDRESSAGABRIELLA876@GMAIL.COM</t>
  </si>
  <si>
    <t>(62) 993378996</t>
  </si>
  <si>
    <t>JOYCE SILVA SIQUEIRA</t>
  </si>
  <si>
    <t>6140511</t>
  </si>
  <si>
    <t>70225245132</t>
  </si>
  <si>
    <t>75125030</t>
  </si>
  <si>
    <t>RUA CONSTRUTOR ANTÔNIO ALCIDES, 160A. EM FRENTE A MERCEARIA E SACOLÃO FOLHAS VERDE</t>
  </si>
  <si>
    <t>JARDIM BOM CLIMA</t>
  </si>
  <si>
    <t>JOYCESILVASIQUEIRA15@GMAIL.COM</t>
  </si>
  <si>
    <t>(62) 991238702</t>
  </si>
  <si>
    <t>HILLARY VITORIA DE OLIVEIRA</t>
  </si>
  <si>
    <t>70612969177</t>
  </si>
  <si>
    <t>75102202</t>
  </si>
  <si>
    <t>RUA L 37, SN. QD 12 LT 25</t>
  </si>
  <si>
    <t>RESIDENCIAL ILDEFONSO LIMÍRIO</t>
  </si>
  <si>
    <t>HILLARYVITTORIA1623@GMAIL.COM</t>
  </si>
  <si>
    <t>(62) 994896751</t>
  </si>
  <si>
    <t>FACULDADE EVANGÉLICA RAIZES</t>
  </si>
  <si>
    <t>GEOVANNA MARTINELLI DE CASTRO</t>
  </si>
  <si>
    <t>71464958173</t>
  </si>
  <si>
    <t>75070300</t>
  </si>
  <si>
    <t>AVENIDA URUGUAI, 0. QD22 LT6A</t>
  </si>
  <si>
    <t>JARDIM DAS AMÉRICAS 1ª ETAPA</t>
  </si>
  <si>
    <t>GEOVANNA.MARTINELLI@HOTMAIL.COM</t>
  </si>
  <si>
    <t>(62) 30985406</t>
  </si>
  <si>
    <t>(62) 984009680</t>
  </si>
  <si>
    <t>DANIEL PEREIRA LOPES</t>
  </si>
  <si>
    <t>70456861106</t>
  </si>
  <si>
    <t>75083500</t>
  </si>
  <si>
    <t>RUA PROFESSOR ALARICO, SN. QD 05 LT 20 AP 201</t>
  </si>
  <si>
    <t>DANIELPEREIRA747@ICLOUD.COM</t>
  </si>
  <si>
    <t>(62) 984994865</t>
  </si>
  <si>
    <t>UNIVERSIDADE UNIEVANGÉLICA DE GOIÁS</t>
  </si>
  <si>
    <t>JULIANE FLÁVIA CANÇADO VIANA</t>
  </si>
  <si>
    <t>97977330687</t>
  </si>
  <si>
    <t>75074480</t>
  </si>
  <si>
    <t>RUA 49, S/N. QUADRA 1 LOTE 9</t>
  </si>
  <si>
    <t>RECANTO DO SOL</t>
  </si>
  <si>
    <t>JULIANE.VIANA@GMAIL.COM</t>
  </si>
  <si>
    <t>(62) 983220176</t>
  </si>
  <si>
    <t>FACULDADE ANHANGUERA DE ANÁPOLIS</t>
  </si>
  <si>
    <t>PEDAGOGIA</t>
  </si>
  <si>
    <t>YARA ROCHA MARTINS</t>
  </si>
  <si>
    <t>42953442</t>
  </si>
  <si>
    <t>00332121127</t>
  </si>
  <si>
    <t>75100320</t>
  </si>
  <si>
    <t>RUA 8-A, 06. QD 47 LT 02 1 ETAPA</t>
  </si>
  <si>
    <t>VILA FORMOSA</t>
  </si>
  <si>
    <t>YROCHAMARTINS@HOTMAIL.COM</t>
  </si>
  <si>
    <t>(62) 992881131</t>
  </si>
  <si>
    <t>UEG</t>
  </si>
  <si>
    <t>ERICA DIAS ANDRADE</t>
  </si>
  <si>
    <t>6303455</t>
  </si>
  <si>
    <t>02269060199</t>
  </si>
  <si>
    <t>75064112</t>
  </si>
  <si>
    <t>RUA TIBIRIÇA, 1034. QD.80</t>
  </si>
  <si>
    <t>ERICADIASJEL@GMAIL.COM</t>
  </si>
  <si>
    <t>(62) 991702570</t>
  </si>
  <si>
    <t>CRUZEIRO DO SUL</t>
  </si>
  <si>
    <t>MICHELLE AGUIAR DOS SANTOS</t>
  </si>
  <si>
    <t>1050673</t>
  </si>
  <si>
    <t>03332299166</t>
  </si>
  <si>
    <t>75097000</t>
  </si>
  <si>
    <t>AVENIDA AYRTON SENNA, S\N. QD 7 LT 27B</t>
  </si>
  <si>
    <t>MICHELLEADDSC@GMAIL.COM</t>
  </si>
  <si>
    <t>(63) 992400484</t>
  </si>
  <si>
    <t>NATHÁLIA BORGES PACHECO</t>
  </si>
  <si>
    <t>6861555</t>
  </si>
  <si>
    <t>70891609121</t>
  </si>
  <si>
    <t>75106705</t>
  </si>
  <si>
    <t>RUA JOSÉ ALVES RIBEIRO, 05. LOTE 05</t>
  </si>
  <si>
    <t>SETOR SUL III ETAPA</t>
  </si>
  <si>
    <t>NATHALIAPACHECO1408@GMAIL.COM</t>
  </si>
  <si>
    <t>(62) 994894607</t>
  </si>
  <si>
    <t>ISABELLA CARDOSO FAUSTINO</t>
  </si>
  <si>
    <t>70260677108</t>
  </si>
  <si>
    <t>75093785</t>
  </si>
  <si>
    <t>RUA PB 12, 00. QD 41 LT 09</t>
  </si>
  <si>
    <t>PARQUE BRASÍLIA 2ª ETAPA</t>
  </si>
  <si>
    <t>ISABELLA.FAUSTINO@HOTMAIL.COM</t>
  </si>
  <si>
    <t>(62) 99362805</t>
  </si>
  <si>
    <t>(62) 993628052</t>
  </si>
  <si>
    <t>CENTRO UNIVERSITÁRIO UNIEVANGÉLICA</t>
  </si>
  <si>
    <t>KAROLAINY RODRIGUES DA SILVA</t>
  </si>
  <si>
    <t>6873541</t>
  </si>
  <si>
    <t>09029174129</t>
  </si>
  <si>
    <t>75073480</t>
  </si>
  <si>
    <t>RUA 6, 00. QD 6 LT 8 , APARTAMENTO K204</t>
  </si>
  <si>
    <t>CHÁCARAS COLORADO</t>
  </si>
  <si>
    <t>KAROLSILVA0530@ICLOUD.COM</t>
  </si>
  <si>
    <t>(62) 999667248</t>
  </si>
  <si>
    <t>MÁBILY VITÓRIA DA CUNHA PIRES</t>
  </si>
  <si>
    <t>5491586</t>
  </si>
  <si>
    <t>03562015119</t>
  </si>
  <si>
    <t>AMARELA</t>
  </si>
  <si>
    <t>75083470</t>
  </si>
  <si>
    <t>RUA DOUTOR JAMES FANSTONE, 104. RUA JAMES FANSTONE QD03 LT30 APART-104 RESD.J.ALVE</t>
  </si>
  <si>
    <t>PIRESMABILY@GMAIL.COM</t>
  </si>
  <si>
    <t>(62) 996382577</t>
  </si>
  <si>
    <t>WITHNEY KELLY MARQUES DA SILVA</t>
  </si>
  <si>
    <t>7380709</t>
  </si>
  <si>
    <t>03455760201</t>
  </si>
  <si>
    <t>AVENIDA JOSÉ NETO PARANHOS, 335. BLOCO C1 APT 401</t>
  </si>
  <si>
    <t>WITHNEYMARQUES@GMAIL.COM</t>
  </si>
  <si>
    <t>(62) 991755524</t>
  </si>
  <si>
    <t>UNIVERSIDADE EVANGELICA DE GOIAS</t>
  </si>
  <si>
    <t>SARAH STEFFANIE DE LIMA BORGES ASSUNÇÃO</t>
  </si>
  <si>
    <t>5594177</t>
  </si>
  <si>
    <t>03253212130</t>
  </si>
  <si>
    <t>DIVORCIADO</t>
  </si>
  <si>
    <t>75125690</t>
  </si>
  <si>
    <t>RUA MARIA MELO, S/N . QD6 LT15</t>
  </si>
  <si>
    <t>LOTEAMENTO RESIDENCIAL VICTOR BRAGA</t>
  </si>
  <si>
    <t>STEFFANIEASSUNCAO@GMAIL.COM</t>
  </si>
  <si>
    <t>(62) 991562303</t>
  </si>
  <si>
    <t>UNIVERSIDADE EVANGÉLICA DE ANAPOLIS</t>
  </si>
  <si>
    <t>PENÉLLOPE PERES DOS SANTOS</t>
  </si>
  <si>
    <t>01851712143</t>
  </si>
  <si>
    <t>76170000</t>
  </si>
  <si>
    <t>ANICUNS</t>
  </si>
  <si>
    <t>AVENIDA GOIÂNIA, QUADRA 10, 11. EM FRENTE ESTÁDIO ARY FILHO</t>
  </si>
  <si>
    <t>VILA OLINDA 2</t>
  </si>
  <si>
    <t>PENELLOPEPERESS@OUTLOOK.COM</t>
  </si>
  <si>
    <t>(64) 92460197</t>
  </si>
  <si>
    <t>(64) 92880431</t>
  </si>
  <si>
    <t>FACULDADE ANICUNS</t>
  </si>
  <si>
    <t>ANICUNS - GO</t>
  </si>
  <si>
    <t>SILMARA SANTOS OLIVEIRA</t>
  </si>
  <si>
    <t>60939612305</t>
  </si>
  <si>
    <t>AVENIDA TOCANTINS, SEM NÚMERO. EMPÓRIO DAS RAÍZES</t>
  </si>
  <si>
    <t>SILMARAOLIVEIRA452@GMAIL.COM</t>
  </si>
  <si>
    <t>(64) 992298935</t>
  </si>
  <si>
    <t>FACULDADE DE ANICUNS</t>
  </si>
  <si>
    <t>NAYSA FERREIRA DOS REIS</t>
  </si>
  <si>
    <t>70025176196</t>
  </si>
  <si>
    <t>RUA 05, 80. PORTÃO DE GRADE</t>
  </si>
  <si>
    <t>LESTE</t>
  </si>
  <si>
    <t>NAYSAFERRR100@HOTMAIL.COM</t>
  </si>
  <si>
    <t>(64) 993055454</t>
  </si>
  <si>
    <t>HODOALDO RIBEIRO NUNES</t>
  </si>
  <si>
    <t>2916551</t>
  </si>
  <si>
    <t>04371785107</t>
  </si>
  <si>
    <t>AVENIDA TOCANTINS, 412. VILA SÃO VICENTE</t>
  </si>
  <si>
    <t>SETOR OESTE</t>
  </si>
  <si>
    <t>HODOALDO_01@HOTMAIL.COM</t>
  </si>
  <si>
    <t>(64) 992408290</t>
  </si>
  <si>
    <t>RAFAELA MONIQUE DA SILVA MOTA AMARAL</t>
  </si>
  <si>
    <t>70077023170</t>
  </si>
  <si>
    <t>74973200</t>
  </si>
  <si>
    <t>APARECIDA DE GOIÂNIA</t>
  </si>
  <si>
    <t>AVENIDA COPACABANA, 0. QD 48 LT 21</t>
  </si>
  <si>
    <t>SETOR SERRA DOURADA - 3ª ETAPA</t>
  </si>
  <si>
    <t>RAFAELAAMONIQUE@HOTMAIL.COM</t>
  </si>
  <si>
    <t>(62) 994375195</t>
  </si>
  <si>
    <t>UNIFANAP</t>
  </si>
  <si>
    <t>APARECIDA DE GOIÂNIA - GO</t>
  </si>
  <si>
    <t>PEDRO ALLYSON CASTRO BARROSO</t>
  </si>
  <si>
    <t>7132286</t>
  </si>
  <si>
    <t>04728121143</t>
  </si>
  <si>
    <t>74905710</t>
  </si>
  <si>
    <t>RUA TIETÊ, 00. QUADRA 109 LOTE 07</t>
  </si>
  <si>
    <t>VILA BRASÍLIA</t>
  </si>
  <si>
    <t>PEDROALLYSON@LIVE.COM</t>
  </si>
  <si>
    <t>(62) 41055934</t>
  </si>
  <si>
    <t>(62) 982868662</t>
  </si>
  <si>
    <t>CENTRO UNIVERSITÁRIO ALFREDO NASSER</t>
  </si>
  <si>
    <t>THALITA EVELY LINO DE OLIVEIRA</t>
  </si>
  <si>
    <t>6428644</t>
  </si>
  <si>
    <t>04318302156</t>
  </si>
  <si>
    <t>74976020</t>
  </si>
  <si>
    <t>AVENIDA BRASIL, 0 . BLOCO 5 AP 507</t>
  </si>
  <si>
    <t>JARDIM BELO HORIZONTE</t>
  </si>
  <si>
    <t>THALITAEVELYNLO@GMAIL.COM</t>
  </si>
  <si>
    <t>(62) 981777797</t>
  </si>
  <si>
    <t>COLEGIO ESTADUAL EDMUNDO ROCHA</t>
  </si>
  <si>
    <t>VITOR ELIAS GUARBIM</t>
  </si>
  <si>
    <t>08535858148</t>
  </si>
  <si>
    <t>74934690</t>
  </si>
  <si>
    <t>ALAMEDA DAS FLORES, 0. QD-23 LT-09</t>
  </si>
  <si>
    <t>CIDADE VERA CRUZ - JARDINS MÔNACO</t>
  </si>
  <si>
    <t>VGUARBIM@GMAIL.COM</t>
  </si>
  <si>
    <t>(62) 981490072</t>
  </si>
  <si>
    <t>PONTIFICIA UNIVERSIDADE CATOLICA DE GOIAS</t>
  </si>
  <si>
    <t>ROBERTA AGUIAR DE MORAIS</t>
  </si>
  <si>
    <t>7072881</t>
  </si>
  <si>
    <t>01049379209</t>
  </si>
  <si>
    <t>74910090</t>
  </si>
  <si>
    <t>RUA CONDE MONTECRISTO, .. SPAZIO GRAN REAL, 202 F</t>
  </si>
  <si>
    <t>PARQUE REAL DE GOIÂNIA</t>
  </si>
  <si>
    <t>ROBBAMORAIS@GMAIL.COM</t>
  </si>
  <si>
    <t>(93) 992022260</t>
  </si>
  <si>
    <t>UNIVERSIDADE ESTADUAL DE GOIÁS - CAMPUS APARECIDA DE GOIÂNIA</t>
  </si>
  <si>
    <t>ALAN MASCIMIANO DOS SANTOS</t>
  </si>
  <si>
    <t>6243653</t>
  </si>
  <si>
    <t>06454819124</t>
  </si>
  <si>
    <t>74961160</t>
  </si>
  <si>
    <t>RUA 19, 00. QUADRA 08 LOTE 09</t>
  </si>
  <si>
    <t>JARDIM TIRADENTES</t>
  </si>
  <si>
    <t>ALANMASCIMIANO1997@GMAIL.COM</t>
  </si>
  <si>
    <t>(62) 35378860</t>
  </si>
  <si>
    <t>(62) 982768585</t>
  </si>
  <si>
    <t>UEG - UNIVERSIDADE ESTADUAL DE GOIÁS</t>
  </si>
  <si>
    <t>VICTOR PEIXOTO BARBOSA</t>
  </si>
  <si>
    <t>6815606</t>
  </si>
  <si>
    <t>04078618154</t>
  </si>
  <si>
    <t>74934692</t>
  </si>
  <si>
    <t>ALAMEDA D 10, LOTE 19. QUADRA 23</t>
  </si>
  <si>
    <t>VICTORBARBOSA2710@HOTMAIL.COM</t>
  </si>
  <si>
    <t>(62) 996743700</t>
  </si>
  <si>
    <t>ESUP-FGV</t>
  </si>
  <si>
    <t>ATHALINY PEREIRA RODRIGUES</t>
  </si>
  <si>
    <t>70379663120</t>
  </si>
  <si>
    <t>74965637</t>
  </si>
  <si>
    <t>RUA SÃO GABRIEL, 0. QD. 11 L.49</t>
  </si>
  <si>
    <t>CONJUNTO HABITACIONAL MADRE GERMANA - 2ª ETAPA</t>
  </si>
  <si>
    <t>ATHALINY42@GMAIL.COM</t>
  </si>
  <si>
    <t>(62) 999510906</t>
  </si>
  <si>
    <t>PABLINY VIEIRA NOGUEIRA</t>
  </si>
  <si>
    <t>6709632</t>
  </si>
  <si>
    <t>70404230148</t>
  </si>
  <si>
    <t>74940130</t>
  </si>
  <si>
    <t>AVENIDA 11, 00. QUADRA 101 LOTE 02</t>
  </si>
  <si>
    <t>ITAPOÃ</t>
  </si>
  <si>
    <t>PABLINYVIEIRAA@GMAIL.COM</t>
  </si>
  <si>
    <t>(62) 993012934</t>
  </si>
  <si>
    <t>PUC GO</t>
  </si>
  <si>
    <t>ESTHER BRINGEL DE SOUSA</t>
  </si>
  <si>
    <t>6801941</t>
  </si>
  <si>
    <t>70850614139</t>
  </si>
  <si>
    <t>74920650</t>
  </si>
  <si>
    <t>RUA ELMAR ARANTES, 00. Q17 LT05</t>
  </si>
  <si>
    <t>JARDIM BELA MORADA</t>
  </si>
  <si>
    <t>ESTHERB.S11@HOTMAIL.COM</t>
  </si>
  <si>
    <t>(62) 32771858</t>
  </si>
  <si>
    <t>(62) 985205104</t>
  </si>
  <si>
    <t>PUC - PONTIFÍCIA UNIVERSIDADE CATÓLICA</t>
  </si>
  <si>
    <t>NICOLE ESTER APARECIDA DE SÁ</t>
  </si>
  <si>
    <t>70787248100</t>
  </si>
  <si>
    <t>74942400</t>
  </si>
  <si>
    <t>RUA RIO DAS FLORES, 00.</t>
  </si>
  <si>
    <t>JARDIM BURITI SERENO</t>
  </si>
  <si>
    <t>NICOLEESTER987@GMAIL.COM</t>
  </si>
  <si>
    <t>(62) 991275231</t>
  </si>
  <si>
    <t>UNIFAN-CENTRO UNIVERSITARIO ALFREDO NASSER</t>
  </si>
  <si>
    <t>RENATA SILVA DE SOUSA</t>
  </si>
  <si>
    <t>71980601291</t>
  </si>
  <si>
    <t>74905420</t>
  </si>
  <si>
    <t>RUA JAGUARÃO, 103. QD 49 LT 03 CASA 02</t>
  </si>
  <si>
    <t>RENATABRIGIDA36@GMAIL.COM</t>
  </si>
  <si>
    <t>(62) 98163139</t>
  </si>
  <si>
    <t>(62) 994251977</t>
  </si>
  <si>
    <t>FACULDADE CGESP</t>
  </si>
  <si>
    <t>JOSÉ LUCAS DE SOUSA MARQUES ARAÚJO</t>
  </si>
  <si>
    <t>08572458301</t>
  </si>
  <si>
    <t>74961100</t>
  </si>
  <si>
    <t>RUA 11, SN.</t>
  </si>
  <si>
    <t>JOSELUCASARA@GMAIL.COM</t>
  </si>
  <si>
    <t>(89) 981436980</t>
  </si>
  <si>
    <t>PONTIFÍCIA UNIVERSIDADE CATÓLICA DE GOIÁS</t>
  </si>
  <si>
    <t>MACIONIL CESAR DE SANTANA FILHO</t>
  </si>
  <si>
    <t>5219107</t>
  </si>
  <si>
    <t>02688756184</t>
  </si>
  <si>
    <t>74964518</t>
  </si>
  <si>
    <t>RUA JI 59, 000. QD 192 LT 21</t>
  </si>
  <si>
    <t>JARDIM IPÊ</t>
  </si>
  <si>
    <t>MACIONILCESAR23@GMAIL.COM</t>
  </si>
  <si>
    <t>(62) 32330891</t>
  </si>
  <si>
    <t>(62) 993270246</t>
  </si>
  <si>
    <t>UNIFAN</t>
  </si>
  <si>
    <t>JAKELINY CAMILA VAZ</t>
  </si>
  <si>
    <t>04001361124</t>
  </si>
  <si>
    <t>74986160</t>
  </si>
  <si>
    <t>RUA CALÊNDULAS, 02. QD 28 LT 22</t>
  </si>
  <si>
    <t>EXPANSUL</t>
  </si>
  <si>
    <t>JAKEVAAZ7@GMAIL.COM</t>
  </si>
  <si>
    <t>(62) 981853416</t>
  </si>
  <si>
    <t>CENTRO UNIVERSITARIO UNIFAN</t>
  </si>
  <si>
    <t>ALICE FORTUNA DE SOUZA DUARTE</t>
  </si>
  <si>
    <t>06225943110</t>
  </si>
  <si>
    <t>74919427</t>
  </si>
  <si>
    <t>RUA DOUTOR ANTÔNIO JORGE AZZI, 2. QUADRA 35 LOTE 10</t>
  </si>
  <si>
    <t>VILA MARIA</t>
  </si>
  <si>
    <t>ALICEFORTUNADESOUZA@GMAIIL.COM</t>
  </si>
  <si>
    <t>(62) 32411905</t>
  </si>
  <si>
    <t>(62) 995463374</t>
  </si>
  <si>
    <t>YAGO ALEXANDRE ABREU SILVA</t>
  </si>
  <si>
    <t>06060747167</t>
  </si>
  <si>
    <t>78603362</t>
  </si>
  <si>
    <t>MT</t>
  </si>
  <si>
    <t>BARRA DO GARÇAS</t>
  </si>
  <si>
    <t>RUA EGÍDIO SIPRIANO DE CARVALHO, 1099.</t>
  </si>
  <si>
    <t>SANTO ANTÔNIO</t>
  </si>
  <si>
    <t>ALEXANDREYAGO3@GMAIL.COM</t>
  </si>
  <si>
    <t>(66) 996559145</t>
  </si>
  <si>
    <t>UNIVERSIDADE FEDERAL DE MATO GROSSO - CAMPUS UNIVERSITÁRIO ARAGUAIA</t>
  </si>
  <si>
    <t>INTEGRAL</t>
  </si>
  <si>
    <t>ARAGARÇAS - GO</t>
  </si>
  <si>
    <t>LAURA C B. KOTHE</t>
  </si>
  <si>
    <t>05616729116</t>
  </si>
  <si>
    <t>78603344</t>
  </si>
  <si>
    <t>RUA JOANA CRISTINO CORTÊS, 284. CASA</t>
  </si>
  <si>
    <t>LAURAKOTHE121@HOTMAIL.COM</t>
  </si>
  <si>
    <t>(66) 992826683</t>
  </si>
  <si>
    <t>UNICATHEDRAL</t>
  </si>
  <si>
    <t>LARA LUIZA NERES BARBOSA</t>
  </si>
  <si>
    <t>12985000602</t>
  </si>
  <si>
    <t>78600019</t>
  </si>
  <si>
    <t>RUA GOIÁS, 1164. APARTAMENTO</t>
  </si>
  <si>
    <t>LARANERES2016@GMAIL.COM</t>
  </si>
  <si>
    <t>(38) 999187860</t>
  </si>
  <si>
    <t>PEDRO OLYMPYO NASCIMENTO AMORIM</t>
  </si>
  <si>
    <t>08325132108</t>
  </si>
  <si>
    <t>76240000</t>
  </si>
  <si>
    <t>ARAGARÇAS</t>
  </si>
  <si>
    <t>RUA MARIA PEREIRA DE SOUZA , 152.</t>
  </si>
  <si>
    <t>JARDIM PRIMAVERA</t>
  </si>
  <si>
    <t>OLYMPYOPEDRO07@GMAIL.COM</t>
  </si>
  <si>
    <t>(66) 992468516</t>
  </si>
  <si>
    <t>CENTRO UNIVERSITÁRIO UNICATHEDRAL</t>
  </si>
  <si>
    <t>MAURÍCIO DA COSTA</t>
  </si>
  <si>
    <t>88718107168</t>
  </si>
  <si>
    <t>LUIZ DA COSTA , 78. LD ESCOLA LUÍZ DIAS PAES LEMES</t>
  </si>
  <si>
    <t>NOVA ESPERANÇA</t>
  </si>
  <si>
    <t>PRMAURICIODACOSTA@HOTMAIL.COM</t>
  </si>
  <si>
    <t>(62) 999988400</t>
  </si>
  <si>
    <t>ROBERTTA RAYARA DE ABREU SOUSA</t>
  </si>
  <si>
    <t>09091852127</t>
  </si>
  <si>
    <t>78600000</t>
  </si>
  <si>
    <t>LOTEAMENTO PARK AGUAS QUENTES, 1317.</t>
  </si>
  <si>
    <t>MORADA DO SOL</t>
  </si>
  <si>
    <t>ROBERTTRAYARA2019@OUTLOOK.COM</t>
  </si>
  <si>
    <t>(66) 999247330</t>
  </si>
  <si>
    <t>CENTRO UNIVERSITÁRIO DO VALE DO ARAGUAIA</t>
  </si>
  <si>
    <t>FÉLIX PEREIRA CAIRES JÚNIOR</t>
  </si>
  <si>
    <t>08215427537</t>
  </si>
  <si>
    <t>78606224</t>
  </si>
  <si>
    <t>RUA CRISTÓVÃO DE JESUS, S/N. QUADRA 125 LOTE 16 APARTAMENTO 09</t>
  </si>
  <si>
    <t>JARDIM NOVA BARRA DO GARÇAS</t>
  </si>
  <si>
    <t>FELIXJUNIORPEREIRA@GMAIL.COM</t>
  </si>
  <si>
    <t>(77) 998192694</t>
  </si>
  <si>
    <t>UNIVERSIDADE FEDERAL DE MATO GROSSO</t>
  </si>
  <si>
    <t>MARCOS MONTEIRO COSTA</t>
  </si>
  <si>
    <t>06657511175</t>
  </si>
  <si>
    <t>RUA MARCONDES DE SOUZA, 3812.</t>
  </si>
  <si>
    <t>BELA VISTA</t>
  </si>
  <si>
    <t>MARCOSMONTEIROCOSTA774@GMAIL.COM</t>
  </si>
  <si>
    <t>(66) 992352358</t>
  </si>
  <si>
    <t>ANA BEATRIZ CORREIA DORTA</t>
  </si>
  <si>
    <t>26489775</t>
  </si>
  <si>
    <t>05735450140</t>
  </si>
  <si>
    <t>78603188</t>
  </si>
  <si>
    <t>RUA DO LAZER, 440.</t>
  </si>
  <si>
    <t>JARDIM DOMINGOS MARIANO</t>
  </si>
  <si>
    <t>ANABEATRIZCORREIADORTA@GMAIL.COM</t>
  </si>
  <si>
    <t>(66) 999099336</t>
  </si>
  <si>
    <t>KARINA SILVA GOMES</t>
  </si>
  <si>
    <t>06316917155</t>
  </si>
  <si>
    <t>78603192</t>
  </si>
  <si>
    <t>RUA CARLOS CHAGAS, 151.</t>
  </si>
  <si>
    <t>KARINADHESSE@GMAIL.COM</t>
  </si>
  <si>
    <t>(62) 998092853</t>
  </si>
  <si>
    <t>SAMUEL BRAGA DA CRUZ</t>
  </si>
  <si>
    <t>28214161</t>
  </si>
  <si>
    <t>06160092162</t>
  </si>
  <si>
    <t>78600290</t>
  </si>
  <si>
    <t>RUA DOS GARIMPEIROS, 1721A. PRÓXIMO AO FÓRUM</t>
  </si>
  <si>
    <t>JARDIM SÃO JOÃO</t>
  </si>
  <si>
    <t>SAMUELBRAGA10077@GMAIL.COM</t>
  </si>
  <si>
    <t>(66) 84354058</t>
  </si>
  <si>
    <t>(66) 996146370</t>
  </si>
  <si>
    <t>GABRIEL PIRES DE OLIVEIRA</t>
  </si>
  <si>
    <t>07166930110</t>
  </si>
  <si>
    <t>75240000</t>
  </si>
  <si>
    <t>BELA VISTA DE GOIÁS</t>
  </si>
  <si>
    <t>RUA 4 QUADRA 7 LOTE 9, 2.</t>
  </si>
  <si>
    <t>LÃS VEGAS</t>
  </si>
  <si>
    <t>GABRIELPIRES.77@GMAIL.COM</t>
  </si>
  <si>
    <t>(62) 998653547</t>
  </si>
  <si>
    <t>PONTIFÍCIA UNIVERSIDADE CATOÓLICA DE GOIÁS</t>
  </si>
  <si>
    <t>BELA VISTA - GO</t>
  </si>
  <si>
    <t>MYLENA KAROLINA MORAES DE AZEVEDO</t>
  </si>
  <si>
    <t>7225826</t>
  </si>
  <si>
    <t>02122495170</t>
  </si>
  <si>
    <t>75570000</t>
  </si>
  <si>
    <t>BOM JESUS</t>
  </si>
  <si>
    <t>AV GOIÂNIA , 283. QD 15</t>
  </si>
  <si>
    <t>ANIBAL LIMA</t>
  </si>
  <si>
    <t>MYKMDA250@GMAIL.COM</t>
  </si>
  <si>
    <t>(64) 992318324</t>
  </si>
  <si>
    <t>UNICERRADO</t>
  </si>
  <si>
    <t>BOM JESUS - GO</t>
  </si>
  <si>
    <t>MARIA EDUARDA BORGES</t>
  </si>
  <si>
    <t>07742935198</t>
  </si>
  <si>
    <t>75870000</t>
  </si>
  <si>
    <t>CACHOEIRA ALTA</t>
  </si>
  <si>
    <t>AVENIDA PRESIDENTE VARGAS , 633. CASA</t>
  </si>
  <si>
    <t>DUDAHHBORGEES@GMAIL.COM</t>
  </si>
  <si>
    <t>(64) 984079435</t>
  </si>
  <si>
    <t>UNIRV RIO VERDE GO</t>
  </si>
  <si>
    <t>CACHOEIRA ALTA - GO</t>
  </si>
  <si>
    <t>JOANA GRAZIELE MESQUITA</t>
  </si>
  <si>
    <t>6200034</t>
  </si>
  <si>
    <t>03366126132</t>
  </si>
  <si>
    <t>75689609</t>
  </si>
  <si>
    <t>CALDAS NOVAS</t>
  </si>
  <si>
    <t>RUA JT 6, S/N. QUADRA 15 LOTE 32</t>
  </si>
  <si>
    <t>JARDIM TANGARÁ</t>
  </si>
  <si>
    <t>JOANA_GRAZIELE@HOTMAIL.COM</t>
  </si>
  <si>
    <t>(64) 992754984</t>
  </si>
  <si>
    <t>UNIVERSIDADE PITÁGORAS UNOPAR ANHANGUERA</t>
  </si>
  <si>
    <t>CALDAS NOVAS - GO</t>
  </si>
  <si>
    <t>YASMIN WILLIANE PEREIRA DE SOUZA</t>
  </si>
  <si>
    <t>71071274112</t>
  </si>
  <si>
    <t>75692023</t>
  </si>
  <si>
    <t>RUA RP 8, 10. CASA</t>
  </si>
  <si>
    <t>RESIDENCIAL PRIMAVERA</t>
  </si>
  <si>
    <t>YASMINWILLIANEE@GMAIL.COM</t>
  </si>
  <si>
    <t>(64) 992034576</t>
  </si>
  <si>
    <t>INTEGRA - FACULDADES INTEGRADAS DA AMÉRICA DO SUL</t>
  </si>
  <si>
    <t>ANDERSON MURILO MARIANO MARTINS</t>
  </si>
  <si>
    <t>05456961199</t>
  </si>
  <si>
    <t>75690000</t>
  </si>
  <si>
    <t>AV CALDAS NOVAS, 1. QUADRA A</t>
  </si>
  <si>
    <t>CALDAS DO OESTE</t>
  </si>
  <si>
    <t>ANDERONMURILOJR0496@GMAIL.COM</t>
  </si>
  <si>
    <t>(64) 92524248</t>
  </si>
  <si>
    <t>(62) 999985718</t>
  </si>
  <si>
    <t>FACULDADES INTEGRADAS DA AMERICA DO SUL</t>
  </si>
  <si>
    <t>EMANUEL BARROS XAVIER</t>
  </si>
  <si>
    <t>6215910</t>
  </si>
  <si>
    <t>04281739181</t>
  </si>
  <si>
    <t>75681620</t>
  </si>
  <si>
    <t>RUA VALDIVINO PAULO FERREIRA, 0. QD 4 LT 7R</t>
  </si>
  <si>
    <t>POPULAR</t>
  </si>
  <si>
    <t>EMANUELBARROSXAVIER@GMAIL.COM</t>
  </si>
  <si>
    <t>(64) 981391737</t>
  </si>
  <si>
    <t>FACULDADES INTEGRADAS DA AMÉRICA DO SUL - FACULDADE INTEGRA</t>
  </si>
  <si>
    <t>BERENICE MARTINS FERREIRA DA SILVA</t>
  </si>
  <si>
    <t>3631170</t>
  </si>
  <si>
    <t>00133578160</t>
  </si>
  <si>
    <t>75686309</t>
  </si>
  <si>
    <t>RUA 9, 01. QD 8 LT 10</t>
  </si>
  <si>
    <t>PARQUE DAS BRISAS III</t>
  </si>
  <si>
    <t>NICE.CAMARA@GMAIL.COM</t>
  </si>
  <si>
    <t>(64) 992524248</t>
  </si>
  <si>
    <t>FACULDADE INTEGRA</t>
  </si>
  <si>
    <t>JOÃO VICTOR MARTINS ANDRADE</t>
  </si>
  <si>
    <t>6915149</t>
  </si>
  <si>
    <t>70943667100</t>
  </si>
  <si>
    <t>75688119</t>
  </si>
  <si>
    <t>RUA NADIMA MARIA GOMES, 134. QD 02, LT 09</t>
  </si>
  <si>
    <t>SETOR LAGO SUL</t>
  </si>
  <si>
    <t>JOAOVICTORMARTINSANDRADEJOAO@GMAIL.COM</t>
  </si>
  <si>
    <t>(64) 981312094</t>
  </si>
  <si>
    <t>FACULDADES INTEGRADAS DA AMÉRICA DO SUL</t>
  </si>
  <si>
    <t>ANA CLARA VENÂNCIO RODRIGUES</t>
  </si>
  <si>
    <t>6862987</t>
  </si>
  <si>
    <t>06335093103</t>
  </si>
  <si>
    <t>75682106</t>
  </si>
  <si>
    <t>RUA 63, 0. CASA</t>
  </si>
  <si>
    <t>ESTÂNCIA ITAGUAÍ</t>
  </si>
  <si>
    <t>CACALA2009@HOTMAIL.COM</t>
  </si>
  <si>
    <t>(64) 999276999</t>
  </si>
  <si>
    <t>FACULDADE INTEGRADAS DA AMERICA DO SUL</t>
  </si>
  <si>
    <t>MONIQUE CARDOSO DE FRANÇA</t>
  </si>
  <si>
    <t>7371102</t>
  </si>
  <si>
    <t>70871950189</t>
  </si>
  <si>
    <t>75689580</t>
  </si>
  <si>
    <t>RUA JPC 11E, 0. 0</t>
  </si>
  <si>
    <t>JARDIM PRIVÊ DAS CALDAS</t>
  </si>
  <si>
    <t>MONIQUEPARAMENINAS2016@GMAIL.COM</t>
  </si>
  <si>
    <t>(55) 64992441</t>
  </si>
  <si>
    <t>(64) 992441542</t>
  </si>
  <si>
    <t>UNICALDAS</t>
  </si>
  <si>
    <t>HISASHI HIRAMATSU</t>
  </si>
  <si>
    <t>02081410141</t>
  </si>
  <si>
    <t>RUA JOSÉ BORGES Q.24 LT.02, 92. RESIDENCIAL ATALAIA AP1004</t>
  </si>
  <si>
    <t>HISASHIMB@GMAIL.COM</t>
  </si>
  <si>
    <t>(64) 92654450</t>
  </si>
  <si>
    <t>(64) 992654450</t>
  </si>
  <si>
    <t>INTEGRA - FACULDADES INTEGRADAS DA AMERICA DO SUL</t>
  </si>
  <si>
    <t>MARIANA TAVARES BELTRÃO</t>
  </si>
  <si>
    <t>6447176</t>
  </si>
  <si>
    <t>07747982119</t>
  </si>
  <si>
    <t>75686126</t>
  </si>
  <si>
    <t>AVENIDA C, S/N. QD 55 LT 21</t>
  </si>
  <si>
    <t>ESTÂNCIA ITAICI</t>
  </si>
  <si>
    <t>MARIIANNA5.GUEDES@GMAIL.COM</t>
  </si>
  <si>
    <t>(64) 993297557</t>
  </si>
  <si>
    <t>INTEGRA- FACULDADES INTEGRADAS DA AMÉRICA DO SUL</t>
  </si>
  <si>
    <t>GIOVANNA DE ALMEIDA MATEUS</t>
  </si>
  <si>
    <t>70650172140</t>
  </si>
  <si>
    <t>75689030</t>
  </si>
  <si>
    <t>AVENIDA ÁGUAS DA PRATA, 0. QUADRA 43, LOTE 9D</t>
  </si>
  <si>
    <t>MATEUSGI4@HOTMAIL.COM</t>
  </si>
  <si>
    <t>(64) 92460074</t>
  </si>
  <si>
    <t>(64) 992583266</t>
  </si>
  <si>
    <t>UNA CATALÃO</t>
  </si>
  <si>
    <t>FISIOTERAPIA</t>
  </si>
  <si>
    <t>JARDEL CAMPOS BARRETO</t>
  </si>
  <si>
    <t>08068896163</t>
  </si>
  <si>
    <t>76495000</t>
  </si>
  <si>
    <t>NOVA IGUAÇU DE GOIÁS</t>
  </si>
  <si>
    <t>RUA DUQUE DE CAXIAS COM DOM PEDRO II Q.9, L.1, S/N., S/N 00. PRÓXIMO AO COLÉGIO ESTADUAL</t>
  </si>
  <si>
    <t>JARDELBARRETTOS07@GMAIL.COM</t>
  </si>
  <si>
    <t>(62) 982641487</t>
  </si>
  <si>
    <t>UNIVERSIDADE ESTADUAL DE GOIÁS - UEG</t>
  </si>
  <si>
    <t>CAMPINORTE - GO</t>
  </si>
  <si>
    <t>KENNEDY DE FREITAS MARQUES</t>
  </si>
  <si>
    <t>434194979</t>
  </si>
  <si>
    <t>05607088154</t>
  </si>
  <si>
    <t>76410000</t>
  </si>
  <si>
    <t>CAMPINORTE</t>
  </si>
  <si>
    <t>RUA CAMPINAS , 670.</t>
  </si>
  <si>
    <t>VILA JORDÂNIA</t>
  </si>
  <si>
    <t>KENNEDYFREIITAS@GMAIL.COM</t>
  </si>
  <si>
    <t>(61) 982772721</t>
  </si>
  <si>
    <t>LARA SANTOS DA SILVA</t>
  </si>
  <si>
    <t>08307941156</t>
  </si>
  <si>
    <t>RUA MARIA DIAS , S/N. AO LADO DO CEMITÉRIO</t>
  </si>
  <si>
    <t>BENEDITO DA ROCHA</t>
  </si>
  <si>
    <t>LARA2468SANTOS@GMAIL.COM</t>
  </si>
  <si>
    <t>(62) 982038246</t>
  </si>
  <si>
    <t>JOYCE MIRELLY CARVALHO SILVA</t>
  </si>
  <si>
    <t>10905361199</t>
  </si>
  <si>
    <t>RUA CINGAPURA, QD11 L04, 00.</t>
  </si>
  <si>
    <t>PARQUE DAS NAÇÕES</t>
  </si>
  <si>
    <t>JOYCEMIRELLY50@GMAIL.COM</t>
  </si>
  <si>
    <t>(62) 981208478</t>
  </si>
  <si>
    <t>DANIELA PEREIRA ALVES</t>
  </si>
  <si>
    <t>06841446119</t>
  </si>
  <si>
    <t>73840000</t>
  </si>
  <si>
    <t>CAMPOS BELOS</t>
  </si>
  <si>
    <t>RUA - ALAMEDA DA VITORIA, Q-16, LT- 07, 0. RUA</t>
  </si>
  <si>
    <t>DANIELAALVES5017@GMAIL.COM</t>
  </si>
  <si>
    <t>(62) 999865269</t>
  </si>
  <si>
    <t>UNIVERSIDADE CESUMAR- UNICESUMAR</t>
  </si>
  <si>
    <t>CAMPOS BELOS - GO</t>
  </si>
  <si>
    <t>SILVANA BATISTA DOS SANTOS</t>
  </si>
  <si>
    <t>08859806119</t>
  </si>
  <si>
    <t>RODOVIA GO 118, 7A. APARTAMENTO 3</t>
  </si>
  <si>
    <t>VILA BAIANA</t>
  </si>
  <si>
    <t>SILVANABATISTA1001@GMAIL.COM</t>
  </si>
  <si>
    <t>(63) 991330331</t>
  </si>
  <si>
    <t>UNIVERSIDADE FEDERAL DO TOCANTINS</t>
  </si>
  <si>
    <t>LÍVIA LOPES MARTINS</t>
  </si>
  <si>
    <t>07076107104</t>
  </si>
  <si>
    <t>RUA SANTOS DUMONT, 00. RODOVIA GO 118 QD 18 LT 20/21</t>
  </si>
  <si>
    <t>SETOR AEROPORTO</t>
  </si>
  <si>
    <t>LMARTTINS148@GMAIL.COM</t>
  </si>
  <si>
    <t>(63) 991184532</t>
  </si>
  <si>
    <t>UNIVERSIDADE FEDERA DO TOCANTINS</t>
  </si>
  <si>
    <t>EDUARDO DURÃES DE SOUZA</t>
  </si>
  <si>
    <t>05012552148</t>
  </si>
  <si>
    <t>73830000</t>
  </si>
  <si>
    <t>MONTE ALEGRE DE GOIÁS</t>
  </si>
  <si>
    <t>RUA G, QUADRA 11, LOTE 13, SETOR VERDES MONTES, 00.</t>
  </si>
  <si>
    <t>VERDES MONTES</t>
  </si>
  <si>
    <t>EDUDURAES97@GMAIL.COM</t>
  </si>
  <si>
    <t>(62) 96587793</t>
  </si>
  <si>
    <t>(62) 996587793</t>
  </si>
  <si>
    <t>ALINE RIBEIRO SILVA</t>
  </si>
  <si>
    <t>1448364</t>
  </si>
  <si>
    <t>08048570165</t>
  </si>
  <si>
    <t>RUA TIRADENTES QD4 LT4, 0.</t>
  </si>
  <si>
    <t>SETOR AEROPORTO II</t>
  </si>
  <si>
    <t>RIBEIRO.ALINE@MAIL.UFT.EDU.BR</t>
  </si>
  <si>
    <t>(62) 999297364</t>
  </si>
  <si>
    <t>ALICIA RODRIGUES BUENO</t>
  </si>
  <si>
    <t>05333085188</t>
  </si>
  <si>
    <t>77330000</t>
  </si>
  <si>
    <t>TO</t>
  </si>
  <si>
    <t>ARRAIAS</t>
  </si>
  <si>
    <t>RUA DOM JOSÉ MATIAS , SN.</t>
  </si>
  <si>
    <t>ALICIA.BUENO@MAIL.UFT.EDU.BR</t>
  </si>
  <si>
    <t>(63) 92432754</t>
  </si>
  <si>
    <t>(61) 995747286</t>
  </si>
  <si>
    <t>KAMILA NARCISO FERREIRA</t>
  </si>
  <si>
    <t>07951815152</t>
  </si>
  <si>
    <t>RUA MATIAS JOSE DA SILVA QD 02 LT 4-B , 00.</t>
  </si>
  <si>
    <t>SETOR BURITIS</t>
  </si>
  <si>
    <t>KAMILA.NARCISO@UFT.EDU.BR</t>
  </si>
  <si>
    <t>(62) 91552644</t>
  </si>
  <si>
    <t>(62) 993812740</t>
  </si>
  <si>
    <t>UNIVERSIDADE FEDERAL DO TOCANTIS</t>
  </si>
  <si>
    <t>ANA MARIA DOS SANTOS</t>
  </si>
  <si>
    <t>07398278632</t>
  </si>
  <si>
    <t>75706600</t>
  </si>
  <si>
    <t>CATALÃO</t>
  </si>
  <si>
    <t>AVENIDA GÉRSON BARBOSA DE MELO, 150.</t>
  </si>
  <si>
    <t>LOTEAMENTO SANTA CRUZ</t>
  </si>
  <si>
    <t>C.A.PINTURAS@HOTMAIL.COM</t>
  </si>
  <si>
    <t>(64) 999916271</t>
  </si>
  <si>
    <t>FATENC</t>
  </si>
  <si>
    <t>CATALÃO - GO</t>
  </si>
  <si>
    <t>JÉSSICA GONÇALVES</t>
  </si>
  <si>
    <t>04027576101</t>
  </si>
  <si>
    <t>75709610</t>
  </si>
  <si>
    <t>RUA VB 7, 90. CASA 2</t>
  </si>
  <si>
    <t>RESIDENCIAL VEREDA DOS BURITIS</t>
  </si>
  <si>
    <t>JGANDRAD12@GNMAIL.COM</t>
  </si>
  <si>
    <t>(64) 992525402</t>
  </si>
  <si>
    <t>MATEUS LIMA CERQUEIRA</t>
  </si>
  <si>
    <t>08188850500</t>
  </si>
  <si>
    <t>48790000</t>
  </si>
  <si>
    <t>BA</t>
  </si>
  <si>
    <t>TUCANO</t>
  </si>
  <si>
    <t>RUA JOÃO F MACEDO, 122. CASA</t>
  </si>
  <si>
    <t>CERQUEIRALIMAMATEUS@GMAIL.COM</t>
  </si>
  <si>
    <t>(75) 91509115</t>
  </si>
  <si>
    <t>(75) 991509115</t>
  </si>
  <si>
    <t>FACULDADE AGES DE TUCANO</t>
  </si>
  <si>
    <t>GEOVANA DE SOUSA AMORIM</t>
  </si>
  <si>
    <t>71053897103</t>
  </si>
  <si>
    <t>NÃO QUERO INFORMAR</t>
  </si>
  <si>
    <t>75711310</t>
  </si>
  <si>
    <t>RUA 7, 192.</t>
  </si>
  <si>
    <t>VILA LIBERDADE</t>
  </si>
  <si>
    <t>G.EOVANASOUSA@HOTMAIL.COM</t>
  </si>
  <si>
    <t>(64) 981475121</t>
  </si>
  <si>
    <t>UNA CATALÃO.</t>
  </si>
  <si>
    <t>ANA PAULA DE CARVALHO CANDIDO</t>
  </si>
  <si>
    <t>71163785105</t>
  </si>
  <si>
    <t>75740000</t>
  </si>
  <si>
    <t>GOIANDIRA</t>
  </si>
  <si>
    <t>RUA SINFRÔNIO NETO TEIXEIRA , 430.</t>
  </si>
  <si>
    <t>ANAPAULAANA835@GMAIL.COM</t>
  </si>
  <si>
    <t>(64) 92381287</t>
  </si>
  <si>
    <t>UNA - CATALÃO</t>
  </si>
  <si>
    <t>FELIPE ESTRELA DE MORAIS TROMBETA</t>
  </si>
  <si>
    <t>05256431170</t>
  </si>
  <si>
    <t>75706755</t>
  </si>
  <si>
    <t>RUA FLORENÇA, 547. NÚMERO 08</t>
  </si>
  <si>
    <t>SETOR DONA MATILDE</t>
  </si>
  <si>
    <t>FELIPEESTRELA182020@GMAIL.COM</t>
  </si>
  <si>
    <t>(64) 99811248</t>
  </si>
  <si>
    <t>(64) 999811248</t>
  </si>
  <si>
    <t>FACULDADE UNA</t>
  </si>
  <si>
    <t>LUIZ FERNANDO FERREIRA</t>
  </si>
  <si>
    <t>12323183</t>
  </si>
  <si>
    <t>12129495605</t>
  </si>
  <si>
    <t>75710180</t>
  </si>
  <si>
    <t>RUA 96, 35.</t>
  </si>
  <si>
    <t>CASTELO BRANCO</t>
  </si>
  <si>
    <t>BILI3R@HOTMAIL.COM</t>
  </si>
  <si>
    <t>(64) 992663626</t>
  </si>
  <si>
    <t>UNA</t>
  </si>
  <si>
    <t>ONELICE SOCORRO DOS SANTOS SILVA SANTANA</t>
  </si>
  <si>
    <t>01325003107</t>
  </si>
  <si>
    <t>76300000</t>
  </si>
  <si>
    <t>CERES</t>
  </si>
  <si>
    <t>RUA I, 14. QD 08 LT.12</t>
  </si>
  <si>
    <t>ST. SÃO FRANCISCO</t>
  </si>
  <si>
    <t>SAMUELEANASANTANA@GMAIL.COM</t>
  </si>
  <si>
    <t>(64) 992197085</t>
  </si>
  <si>
    <t>UNIEVANGELICA CAMPUS CERES</t>
  </si>
  <si>
    <t>CERES - GO</t>
  </si>
  <si>
    <t>VANESSA CRISTINA DE SOUZA RESENDE</t>
  </si>
  <si>
    <t>56136022</t>
  </si>
  <si>
    <t>03910370136</t>
  </si>
  <si>
    <t>76340000</t>
  </si>
  <si>
    <t>CARMO DO RIO VERDE</t>
  </si>
  <si>
    <t>RUA DOS BEIJAS FLORES, SN. CASA</t>
  </si>
  <si>
    <t>JARDIM DO LAGO</t>
  </si>
  <si>
    <t>VANESSARSOUZA20@GMAIL.COM</t>
  </si>
  <si>
    <t>(62) 33376380</t>
  </si>
  <si>
    <t>(62) 999357203</t>
  </si>
  <si>
    <t>UNIEVANGÉLICA CERES</t>
  </si>
  <si>
    <t>ANNA VITÓRIA SOUZA OLIVEIRA</t>
  </si>
  <si>
    <t>6758216</t>
  </si>
  <si>
    <t>05201040136</t>
  </si>
  <si>
    <t>RUA 1, 0. QUADRA 5, LOTE 14 B</t>
  </si>
  <si>
    <t>JARDIM PETRÓPOLIS LL</t>
  </si>
  <si>
    <t>ANNAVITORIA1408@GMAIL.COM</t>
  </si>
  <si>
    <t>(62) 33073664</t>
  </si>
  <si>
    <t>(62) 985408488</t>
  </si>
  <si>
    <t>UNIVERSIDADE EVANGÉLICA DE GOIÁS - CAMPUS CERES</t>
  </si>
  <si>
    <t>LÍVIA SUMAIA G. A. E SOUZA</t>
  </si>
  <si>
    <t>08079445133</t>
  </si>
  <si>
    <t>RUA DAS FRAGATAS, S/N. QUADRA 05, LOTE 11</t>
  </si>
  <si>
    <t>JARDIM PETRÓPOLIS</t>
  </si>
  <si>
    <t>LIVIASUMAIA@GMAIL.COM</t>
  </si>
  <si>
    <t>(62) 984800651</t>
  </si>
  <si>
    <t>ELIAS COSTA E SILVA</t>
  </si>
  <si>
    <t>00995581142</t>
  </si>
  <si>
    <t>RUA 204, 03. QD 06 LT 03</t>
  </si>
  <si>
    <t>BOUGANVILLE</t>
  </si>
  <si>
    <t>ELIASCOSTAESILVA@ICLOUD.COM</t>
  </si>
  <si>
    <t>(62) 998008992</t>
  </si>
  <si>
    <t>WAGNER MOREIRA SALES</t>
  </si>
  <si>
    <t>04591625192</t>
  </si>
  <si>
    <t>72880530</t>
  </si>
  <si>
    <t>CIDADE OCIDENTAL</t>
  </si>
  <si>
    <t>QUADRA SQ 13 QUADRA 3, 46. CASA 46</t>
  </si>
  <si>
    <t>WAGNERMAHH@GMAIL.COM</t>
  </si>
  <si>
    <t>(61) 36255816</t>
  </si>
  <si>
    <t>(61) 992694220</t>
  </si>
  <si>
    <t>UNICEPLAC</t>
  </si>
  <si>
    <t>CIDADE OCIDENTAL - GO</t>
  </si>
  <si>
    <t>ANA LUCIA ALVES DA CUNHA</t>
  </si>
  <si>
    <t>3821953</t>
  </si>
  <si>
    <t>70596425104</t>
  </si>
  <si>
    <t>72880532</t>
  </si>
  <si>
    <t>QUADRA SQ 13 QUADRA 4, 72.</t>
  </si>
  <si>
    <t>ALAC_23@HOTMAIL.COM</t>
  </si>
  <si>
    <t>(61) 982738955</t>
  </si>
  <si>
    <t>CENTRO UNIVERSITÁRIO SANT'ANNA</t>
  </si>
  <si>
    <t>GABRIEL VINICIUS RIBEIRO SANTOS</t>
  </si>
  <si>
    <t>4079964</t>
  </si>
  <si>
    <t>08255705147</t>
  </si>
  <si>
    <t>72880568</t>
  </si>
  <si>
    <t>QUADRA SQ 15 QUADRA 8, 23. CASA 23</t>
  </si>
  <si>
    <t>GABRIELVPRINCIPE@GMAIL.COM</t>
  </si>
  <si>
    <t>(61) 999485206</t>
  </si>
  <si>
    <t>UNIDESC</t>
  </si>
  <si>
    <t>MARIA DA GLÓRIA CELESTINA DA SILVA</t>
  </si>
  <si>
    <t>70456992120</t>
  </si>
  <si>
    <t>72883819</t>
  </si>
  <si>
    <t>QUADRA QUADRA 8, 02.</t>
  </si>
  <si>
    <t>COLINA VERDE</t>
  </si>
  <si>
    <t>MARIA.CELESTINA@SOUNIDESC.COM.BR</t>
  </si>
  <si>
    <t>(61) 99161133</t>
  </si>
  <si>
    <t>(61) 991611336</t>
  </si>
  <si>
    <t>KLEBIA SILVA CRISPIM</t>
  </si>
  <si>
    <t>1587807</t>
  </si>
  <si>
    <t>91795150459</t>
  </si>
  <si>
    <t>70790060</t>
  </si>
  <si>
    <t>QUADRA SGAN 906, 00. CONJUNTO : G</t>
  </si>
  <si>
    <t>ASA NORTE</t>
  </si>
  <si>
    <t>KLEBIA_CRISPIM@HOTMAIL.COM</t>
  </si>
  <si>
    <t>(61) 32737730</t>
  </si>
  <si>
    <t>(61) 981901060</t>
  </si>
  <si>
    <t>UDF</t>
  </si>
  <si>
    <t>HIAGO SILVA LOPES</t>
  </si>
  <si>
    <t>3906079</t>
  </si>
  <si>
    <t>08005121113</t>
  </si>
  <si>
    <t>72880528</t>
  </si>
  <si>
    <t>QUADRA SQ 13 QUADRA 2, 18. RUA SANEAGO</t>
  </si>
  <si>
    <t>HIAGOLOPES.SILVA1212@GMAIL.COM</t>
  </si>
  <si>
    <t>(61) 981937566</t>
  </si>
  <si>
    <t>UNIDESC CENTRO UNIVERSITÁRIO</t>
  </si>
  <si>
    <t>GABRIEL AUGUSTO AFONSO SIQUEIRA</t>
  </si>
  <si>
    <t>6341724</t>
  </si>
  <si>
    <t>70407887130</t>
  </si>
  <si>
    <t>RUA: 02, QUADRA: 28, LOTE: 08., 00. PRÓXIMO AO POSTO DE SAÚDE</t>
  </si>
  <si>
    <t>ALTO DA BOA VISTA</t>
  </si>
  <si>
    <t>GABRIEL.AFS014@GMAIL.COM</t>
  </si>
  <si>
    <t>(62) 33381453</t>
  </si>
  <si>
    <t>(62) 999417717</t>
  </si>
  <si>
    <t>FACULDADE METROPOLITANA DE ANAPOLIS FAMA</t>
  </si>
  <si>
    <t>COCALZINHO - GO</t>
  </si>
  <si>
    <t>GEOVANA KELLY MOURA SOUZA</t>
  </si>
  <si>
    <t>06942034169</t>
  </si>
  <si>
    <t>PRAÇA DA MATRIZ , 08. CENTRO</t>
  </si>
  <si>
    <t>APARECIDA DE LOYOLA</t>
  </si>
  <si>
    <t>GEOVANAKELLYMOURA@GMAIL.COM</t>
  </si>
  <si>
    <t>(61) 99640398</t>
  </si>
  <si>
    <t>(61) 996403986</t>
  </si>
  <si>
    <t>CORUMBÁ DE GOIÁS - GO</t>
  </si>
  <si>
    <t>JENIFFER EDUARDA NUNES DE OLIVEIRA</t>
  </si>
  <si>
    <t>70305230166</t>
  </si>
  <si>
    <t>CHACARA FILHO DE DAVI, S/N. ZONA RURAL</t>
  </si>
  <si>
    <t>ALTO CORUMBÁ</t>
  </si>
  <si>
    <t>JENIFFEREDUARDANUNESDEOLIVEIRA@GMAIL.COM</t>
  </si>
  <si>
    <t>(62) 994000631</t>
  </si>
  <si>
    <t>NICOLY BANDEIRA BUENO</t>
  </si>
  <si>
    <t>05768702180</t>
  </si>
  <si>
    <t>AVENIDA ENGENHEIRO ROBERTO MULLER, 705. AO LADO DO SUPERMERCADO CORUMBÁ</t>
  </si>
  <si>
    <t>NICOLYBAND@GMAIL.COM</t>
  </si>
  <si>
    <t>(62) 996711954</t>
  </si>
  <si>
    <t>ANA BEATRIZ DE FREITAS FERNANDES</t>
  </si>
  <si>
    <t>6653673</t>
  </si>
  <si>
    <t>07146265110</t>
  </si>
  <si>
    <t>RUA BELGI HENRIQUE DOS SANTOS, 1.</t>
  </si>
  <si>
    <t>TORDESILHAS</t>
  </si>
  <si>
    <t>BIABDFF15@GMAIL.COM</t>
  </si>
  <si>
    <t>(62) 993673654</t>
  </si>
  <si>
    <t>BEATRIZ MOREIRA DINIZ</t>
  </si>
  <si>
    <t>03142854150</t>
  </si>
  <si>
    <t>75675000</t>
  </si>
  <si>
    <t>CORUMBAÍBA</t>
  </si>
  <si>
    <t>PEDRO LUDOVICO TEIXEIRA, 00.</t>
  </si>
  <si>
    <t>SIMON BOLIVAR 2</t>
  </si>
  <si>
    <t>BEA_DINIZ@HOTMAIL.COM</t>
  </si>
  <si>
    <t>(34) 84209167</t>
  </si>
  <si>
    <t>(34) 984209167</t>
  </si>
  <si>
    <t>CORUMBAÍBA - GO</t>
  </si>
  <si>
    <t>RHANIA BEATRICY SOARES MOURA</t>
  </si>
  <si>
    <t>09927589123</t>
  </si>
  <si>
    <t>AVENIDA BRASÍLIA, 410. RUA 04 NR.244 QD.0 LT.0 CENTRO</t>
  </si>
  <si>
    <t>RUA BRASÍLIA</t>
  </si>
  <si>
    <t>RBEATRICY@GMAIL.COM</t>
  </si>
  <si>
    <t>(64) 99876400</t>
  </si>
  <si>
    <t>(66) 492565534</t>
  </si>
  <si>
    <t>INSTITUTO MASTER DE ENSINO PRESIDENTE ANTÔNIO CARLOS – IMEPAC ARAGUARI</t>
  </si>
  <si>
    <t>JAYNE ARRUDA DA SILVA</t>
  </si>
  <si>
    <t>04135978142</t>
  </si>
  <si>
    <t>73850000</t>
  </si>
  <si>
    <t>CRISTALINA</t>
  </si>
  <si>
    <t>RUA PAU BRASIL, QUADRA 02, LOTE 02, 02.</t>
  </si>
  <si>
    <t>BELVEDERE</t>
  </si>
  <si>
    <t>JAYNEARRUDA98@GMAIL.COM</t>
  </si>
  <si>
    <t>(61) 981207926</t>
  </si>
  <si>
    <t>FACEC</t>
  </si>
  <si>
    <t>CRISTALINA - GO</t>
  </si>
  <si>
    <t>JOÃO PEDRO ALVES GIULIANI</t>
  </si>
  <si>
    <t>04704496163</t>
  </si>
  <si>
    <t>RUA OBSIDIANA , 00. QUADRA 25 LOTE 3</t>
  </si>
  <si>
    <t>SETOR SUL 2</t>
  </si>
  <si>
    <t>JPGIULIANI1@GMAIL.COM</t>
  </si>
  <si>
    <t>(61) 36121247</t>
  </si>
  <si>
    <t>(61) 995737227</t>
  </si>
  <si>
    <t>FACULDADE CENTRAL CRISTALINENSE</t>
  </si>
  <si>
    <t>ADRIELLY SILVA MEIRELES</t>
  </si>
  <si>
    <t>07210291164</t>
  </si>
  <si>
    <t>76510000</t>
  </si>
  <si>
    <t>CRIXÁS</t>
  </si>
  <si>
    <t>RUA DO CONTORNO, 71. Q10 L04</t>
  </si>
  <si>
    <t>VILA SAO JOAO</t>
  </si>
  <si>
    <t>ADRIELLYMEIRELES811@GMAIL.COM</t>
  </si>
  <si>
    <t>(62) 96444418</t>
  </si>
  <si>
    <t>(62) 983276469</t>
  </si>
  <si>
    <t>FACULDADE EVANGÉLICA DE RUBIATABA</t>
  </si>
  <si>
    <t>CRIXÁS - GO</t>
  </si>
  <si>
    <t>MARCOS EDUARDO DA SILVA MACHADO</t>
  </si>
  <si>
    <t>15665782645</t>
  </si>
  <si>
    <t>75760000</t>
  </si>
  <si>
    <t>CUMARI</t>
  </si>
  <si>
    <t>RUA RANULFO EVANGELISTA ROCHA, S/N. CASA</t>
  </si>
  <si>
    <t>MARCOS.E.0902@GMAIL.COM</t>
  </si>
  <si>
    <t>(64) 984700229</t>
  </si>
  <si>
    <t>CUMARI - GO</t>
  </si>
  <si>
    <t>SAMARA LEANDRO MARTINS MORAIS</t>
  </si>
  <si>
    <t>03835660101</t>
  </si>
  <si>
    <t>75940000</t>
  </si>
  <si>
    <t>EDÉIA</t>
  </si>
  <si>
    <t>AV. TEIXEIRA DE FREITAS, 155. EM FRENTE AO COLÉGIO ESTADUAL</t>
  </si>
  <si>
    <t>SAMARAMORAIS18@HOTMAIL.COM</t>
  </si>
  <si>
    <t>(64) 99977692</t>
  </si>
  <si>
    <t>(64) 999977692</t>
  </si>
  <si>
    <t>UNIBRASILIA</t>
  </si>
  <si>
    <t>EDÉIA - GO</t>
  </si>
  <si>
    <t>DANIEL PIRES DE SOUZA FILHO</t>
  </si>
  <si>
    <t>09385102150</t>
  </si>
  <si>
    <t>AV. WASHINGTON LUÍS , 0. QD.: 13 LT.: 21</t>
  </si>
  <si>
    <t>ST. ALEGRETE</t>
  </si>
  <si>
    <t>DANIELPSF21@GMAIL.COM</t>
  </si>
  <si>
    <t>(64) 999435935</t>
  </si>
  <si>
    <t>ALISSY NAYHARA BARBOSA PIRES</t>
  </si>
  <si>
    <t>70265544173</t>
  </si>
  <si>
    <t>76220000</t>
  </si>
  <si>
    <t>FAZENDA NOVA</t>
  </si>
  <si>
    <t>RUA SETOR CENTRAL, 61. RUA 07</t>
  </si>
  <si>
    <t>ALISSYNAYHARA@HOTMAIL.COM</t>
  </si>
  <si>
    <t>(62) 995558492</t>
  </si>
  <si>
    <t>CENTRO UNIVERSITÁRIO UNIBRASÍLIA DE GOIÁS</t>
  </si>
  <si>
    <t>FAZENDA NOVA - GO</t>
  </si>
  <si>
    <t>IVANA RODRIGUES DA SILVA</t>
  </si>
  <si>
    <t>70499014154</t>
  </si>
  <si>
    <t>76105000</t>
  </si>
  <si>
    <t>FIRMINÓPOLIS</t>
  </si>
  <si>
    <t>AVENIDA VITORIANO BORGES NAVES , 1288.</t>
  </si>
  <si>
    <t>IVANARODRIGUESDASILVA24@GMAIL.COM</t>
  </si>
  <si>
    <t>(64) 999262857</t>
  </si>
  <si>
    <t>FIRMINÓPOLIS - GO</t>
  </si>
  <si>
    <t>INGRID CAROLINE SOARES CAVALCANTE</t>
  </si>
  <si>
    <t>3888180</t>
  </si>
  <si>
    <t>07139739196</t>
  </si>
  <si>
    <t>73809650</t>
  </si>
  <si>
    <t>FORMOSA</t>
  </si>
  <si>
    <t>RUA 26, 9. QUADRA 63</t>
  </si>
  <si>
    <t>ROSA MARIA</t>
  </si>
  <si>
    <t>INGRIDCAROLINE1507@GMAIL.COM</t>
  </si>
  <si>
    <t>(61) 36312000</t>
  </si>
  <si>
    <t>(61) 993468107</t>
  </si>
  <si>
    <t>IESGO</t>
  </si>
  <si>
    <t>FORMOSA - GO</t>
  </si>
  <si>
    <t>DAVID LOPES DOS SANTOS</t>
  </si>
  <si>
    <t>10237116138</t>
  </si>
  <si>
    <t>73805120</t>
  </si>
  <si>
    <t>RUA 12, 390. APART 203</t>
  </si>
  <si>
    <t>SETOR PRIMAVERA</t>
  </si>
  <si>
    <t>DAVIDSANTO207@GMAIL.COM</t>
  </si>
  <si>
    <t>(61) 996831475</t>
  </si>
  <si>
    <t>FACULDADES INTEGRADAS IESGO</t>
  </si>
  <si>
    <t>LARISSA GOMES RIBEIRO ROSA</t>
  </si>
  <si>
    <t>08550293156</t>
  </si>
  <si>
    <t>73808190</t>
  </si>
  <si>
    <t>AVENIDA A , 1D. QUADRA 59</t>
  </si>
  <si>
    <t>PARQUE DA COLINA II</t>
  </si>
  <si>
    <t>LARISSAGGOMESR@GMAIL.COM</t>
  </si>
  <si>
    <t>(61) 96922884</t>
  </si>
  <si>
    <t>(61) 996922884</t>
  </si>
  <si>
    <t>PAMELA CRISTINA RODRIGUES PEREIRA</t>
  </si>
  <si>
    <t>13729332635</t>
  </si>
  <si>
    <t>73801330</t>
  </si>
  <si>
    <t>RUA MAESTRO ANTÔNIO BRANCO, 35. APT 202</t>
  </si>
  <si>
    <t>PAMELLACRISR@GMAIL.COM</t>
  </si>
  <si>
    <t>(38) 99938453</t>
  </si>
  <si>
    <t>(38) 999384531</t>
  </si>
  <si>
    <t>ALINE RIBEIRO DE SOUSA</t>
  </si>
  <si>
    <t>4964445</t>
  </si>
  <si>
    <t>01487158181</t>
  </si>
  <si>
    <t>73808455</t>
  </si>
  <si>
    <t>RUA 6, 15. QUADRA 66</t>
  </si>
  <si>
    <t>PARQUE VILA VERDE</t>
  </si>
  <si>
    <t>LINEGUICESARFSA12@GMAIL.COM</t>
  </si>
  <si>
    <t>(61) 98732647</t>
  </si>
  <si>
    <t>(61) 996472278</t>
  </si>
  <si>
    <t>FACULDADES IESGO</t>
  </si>
  <si>
    <t>BRENDOW SIQUEIRA ALMEIDA</t>
  </si>
  <si>
    <t>6094684</t>
  </si>
  <si>
    <t>70192756133</t>
  </si>
  <si>
    <t>73807615</t>
  </si>
  <si>
    <t>RUA OLÍMPIO DE MELO ÁLVARES, 707.</t>
  </si>
  <si>
    <t>JARDIM CALIFÓRNIA</t>
  </si>
  <si>
    <t>THEBRENDOW18@GMAIL.COM</t>
  </si>
  <si>
    <t>(61) 98195008</t>
  </si>
  <si>
    <t>(61) 998195008</t>
  </si>
  <si>
    <t>WEDER JOSE RODRIGUES ROSA</t>
  </si>
  <si>
    <t>2701909</t>
  </si>
  <si>
    <t>02716343160</t>
  </si>
  <si>
    <t>73752022</t>
  </si>
  <si>
    <t>PLANALTINA</t>
  </si>
  <si>
    <t>QUADRA 1 MR 9, 4 . AP 001</t>
  </si>
  <si>
    <t>SETOR LESTE</t>
  </si>
  <si>
    <t>WEDERROSA@GMAIL.COM</t>
  </si>
  <si>
    <t>(61) 981399432</t>
  </si>
  <si>
    <t>KAIO DE JESUS RIBEIRO MENDONCA</t>
  </si>
  <si>
    <t>6844161</t>
  </si>
  <si>
    <t>05816714147</t>
  </si>
  <si>
    <t>73809335</t>
  </si>
  <si>
    <t>RUA RUA 206, 217. QUADRA 06</t>
  </si>
  <si>
    <t>NOVA FORMOSA</t>
  </si>
  <si>
    <t>KAIORMENDONCA01@GMAIL.COM</t>
  </si>
  <si>
    <t>(61) 99960615</t>
  </si>
  <si>
    <t>(61) 998394818</t>
  </si>
  <si>
    <t>GABRIELA VALENTE ARAUJO</t>
  </si>
  <si>
    <t>08423409120</t>
  </si>
  <si>
    <t>73802200</t>
  </si>
  <si>
    <t>AVENIDA CIRCULAR, 29.</t>
  </si>
  <si>
    <t>SETOR BOSQUE II</t>
  </si>
  <si>
    <t>GABIVALENTEA@GMAIL.COM</t>
  </si>
  <si>
    <t>(61) 99698596</t>
  </si>
  <si>
    <t>(61) 999323410</t>
  </si>
  <si>
    <t>MARIA PAULA MENDES OLIVEIRA</t>
  </si>
  <si>
    <t>09518433119</t>
  </si>
  <si>
    <t>73805274</t>
  </si>
  <si>
    <t>RUA 5, 13. QUADRA 15</t>
  </si>
  <si>
    <t>JARDIM OLIVEIRA</t>
  </si>
  <si>
    <t>MPPAULAOLIVEIRA25945@GMAIL.COM</t>
  </si>
  <si>
    <t>(61) 998361356</t>
  </si>
  <si>
    <t>ALEXANDRE SCHLUKAT PIMENTEL</t>
  </si>
  <si>
    <t>6588252</t>
  </si>
  <si>
    <t>03913061118</t>
  </si>
  <si>
    <t>73801410</t>
  </si>
  <si>
    <t>R SANTOS DUMONT, 99. CASA</t>
  </si>
  <si>
    <t>XANDE.PIMENTEL@GMAIL.COM</t>
  </si>
  <si>
    <t>(61) 999988461</t>
  </si>
  <si>
    <t>FERNANDA ALVES DE ALCANTARA</t>
  </si>
  <si>
    <t>05226194102</t>
  </si>
  <si>
    <t>73802489</t>
  </si>
  <si>
    <t>AVENIDA TANCREDO NEVES, 103. CONDOMÍNIO RESIDENCIAL SANTA FELICIDADE</t>
  </si>
  <si>
    <t>SETOR SUL</t>
  </si>
  <si>
    <t>FERNANDAALVES03@ICLOUD.COM</t>
  </si>
  <si>
    <t>(61) 36314055</t>
  </si>
  <si>
    <t>(61) 996138095</t>
  </si>
  <si>
    <t>FACULDADE INTEGRADAS IESGO</t>
  </si>
  <si>
    <t>ANA GABRIELLA SANTANA CLARO</t>
  </si>
  <si>
    <t>3753971</t>
  </si>
  <si>
    <t>05274371159</t>
  </si>
  <si>
    <t>73805180</t>
  </si>
  <si>
    <t>AVENIDA DERGO, 55 . AVENIDA DERGO</t>
  </si>
  <si>
    <t>AGABRIELLA.SATANA@GMAIL.COM</t>
  </si>
  <si>
    <t>(61) 36315659</t>
  </si>
  <si>
    <t>(61) 993927424</t>
  </si>
  <si>
    <t>JEFFERSON CARIRI DA SILVA</t>
  </si>
  <si>
    <t>05831693171</t>
  </si>
  <si>
    <t>76470000</t>
  </si>
  <si>
    <t>FORMOSO</t>
  </si>
  <si>
    <t>RUA32.Q83.L06, 06.</t>
  </si>
  <si>
    <t>JEFFERSONCARIRI2015@GMAIL.COM</t>
  </si>
  <si>
    <t>(62) 99482545</t>
  </si>
  <si>
    <t>(62) 994825450</t>
  </si>
  <si>
    <t>UNIBRAS NORTE GOIANO</t>
  </si>
  <si>
    <t>FORMOSO - GO</t>
  </si>
  <si>
    <t>LUÍS EDUARDO MENDONÇA MENDES</t>
  </si>
  <si>
    <t>6826963</t>
  </si>
  <si>
    <t>00979169194</t>
  </si>
  <si>
    <t>76385885</t>
  </si>
  <si>
    <t>GOIANÉSIA</t>
  </si>
  <si>
    <t>RUA BEIJA-FLOR, 15. CASA</t>
  </si>
  <si>
    <t>AMIGO</t>
  </si>
  <si>
    <t>LUISEDUARDOMMENDES@GMAIL.COM</t>
  </si>
  <si>
    <t>(62) 81592734</t>
  </si>
  <si>
    <t>(62) 981592734</t>
  </si>
  <si>
    <t>FACULDADE EVANGÉLICA DE GOIANÉSIA - FACEG</t>
  </si>
  <si>
    <t>GOIANÉSIA - GO</t>
  </si>
  <si>
    <t>DÉBORA OLIVEIRA SILVA</t>
  </si>
  <si>
    <t>05578448194</t>
  </si>
  <si>
    <t>76386080</t>
  </si>
  <si>
    <t>RUA SANTOS DUMONT, 0. QD. 08 LT. 10, ENTRE A 16A E A MERITI</t>
  </si>
  <si>
    <t>RESIDENCIAL PARQUE DAS PALMEIRAS</t>
  </si>
  <si>
    <t>DEBORAOLIS1205@GMAIL.COM</t>
  </si>
  <si>
    <t>(62) 999111219</t>
  </si>
  <si>
    <t>FACULDADE EVANGÉLICA DE GOIANÉSIA</t>
  </si>
  <si>
    <t>EDER PIDDE PATRÍCIO</t>
  </si>
  <si>
    <t>6617067</t>
  </si>
  <si>
    <t>70671297104</t>
  </si>
  <si>
    <t>76380110</t>
  </si>
  <si>
    <t>RUA JOSÉ CARRILHO, 385A. ENTRE A RUA 23 E A RUA 21</t>
  </si>
  <si>
    <t>EDERPID24@GMAIL.COM</t>
  </si>
  <si>
    <t>(62) 85076321</t>
  </si>
  <si>
    <t>(62) 985076321</t>
  </si>
  <si>
    <t>GUSTAVO JESUS BRAGA</t>
  </si>
  <si>
    <t>04419521198</t>
  </si>
  <si>
    <t>76387000</t>
  </si>
  <si>
    <t>RUA 19, 114. CASA VERDE ESQUINA COM A RUA DA PERA</t>
  </si>
  <si>
    <t>DONA FIICA</t>
  </si>
  <si>
    <t>GUSTAVOBRAGA7102@GMAIL.COM</t>
  </si>
  <si>
    <t>(62) 984922933</t>
  </si>
  <si>
    <t>FACEG</t>
  </si>
  <si>
    <t>AMANDA ANDRELINO COSTA</t>
  </si>
  <si>
    <t>7286045</t>
  </si>
  <si>
    <t>08418725117</t>
  </si>
  <si>
    <t>76381344</t>
  </si>
  <si>
    <t>RUA M 16, 06. QUADRA 10 LOTE 04</t>
  </si>
  <si>
    <t>CONJUNTO MERIDIAN</t>
  </si>
  <si>
    <t>AMANDAANDREELINOCOOSTA@GMAIL.COM</t>
  </si>
  <si>
    <t>(62) 984143289</t>
  </si>
  <si>
    <t>BRUNA CIPRIANO GONÇALVES</t>
  </si>
  <si>
    <t>04546611188</t>
  </si>
  <si>
    <t>76383005</t>
  </si>
  <si>
    <t>RUA 10, 103. 47/49</t>
  </si>
  <si>
    <t>ITAPUÃ</t>
  </si>
  <si>
    <t>BRUNACIPRIANO934@GMAIL.COM</t>
  </si>
  <si>
    <t>(62) 981296725</t>
  </si>
  <si>
    <t>ESTEFANE LORRANE SOUSA RIBEIRO</t>
  </si>
  <si>
    <t>70801027152</t>
  </si>
  <si>
    <t>76380233</t>
  </si>
  <si>
    <t>RUA 39, 513. ENTRE AS RUAS 6/8</t>
  </si>
  <si>
    <t>VILA SÃO CAETANO</t>
  </si>
  <si>
    <t>ESTEFANESRIBEIRO@HOTMAIL.COM</t>
  </si>
  <si>
    <t>(62) 986406761</t>
  </si>
  <si>
    <t>FACEG - FACULDADE EVANGÉLICA DE GOIANÉSIA</t>
  </si>
  <si>
    <t>GLENDA SANTOS OLIVEIRA</t>
  </si>
  <si>
    <t>70722893132</t>
  </si>
  <si>
    <t>76385361</t>
  </si>
  <si>
    <t>RUA SANTCLER, 249. ENTRE A 30 E A 32</t>
  </si>
  <si>
    <t>VILA NOVA AURORA III</t>
  </si>
  <si>
    <t>GLENDASANTOS155@GMAIL.COM</t>
  </si>
  <si>
    <t>(62) 985054990</t>
  </si>
  <si>
    <t>UNIEVANGÉLICA - FACEG</t>
  </si>
  <si>
    <t>GIOVANA JORGE ANDRADE</t>
  </si>
  <si>
    <t>6559164</t>
  </si>
  <si>
    <t>05573057138</t>
  </si>
  <si>
    <t>76381128</t>
  </si>
  <si>
    <t>RUA 29, 192. ENTRE 34 E36</t>
  </si>
  <si>
    <t>SÃO CRISTÓVÃO</t>
  </si>
  <si>
    <t>ANDRADE3.GIOVANA@GMAIL.COM</t>
  </si>
  <si>
    <t>(62) 91131550</t>
  </si>
  <si>
    <t>(62) 991131550</t>
  </si>
  <si>
    <t>FACULDADE EVANGÉLICA DE GOIANÉSIA (FACEG)</t>
  </si>
  <si>
    <t>JANAINA ALVES DOS SANTOS</t>
  </si>
  <si>
    <t>04366821176</t>
  </si>
  <si>
    <t>74230022</t>
  </si>
  <si>
    <t>GOIÂNIA</t>
  </si>
  <si>
    <t>RUA T 37, 2962. APARTAMENTO 1302</t>
  </si>
  <si>
    <t>SETOR BUENO</t>
  </si>
  <si>
    <t>MISSJANA2@HOTMAIL.COM</t>
  </si>
  <si>
    <t>(62) 991146801</t>
  </si>
  <si>
    <t>ESTACI</t>
  </si>
  <si>
    <t>GOIÂNIA - GO</t>
  </si>
  <si>
    <t>GABRIEL SALES MENDES DA SILVA</t>
  </si>
  <si>
    <t>6422517</t>
  </si>
  <si>
    <t>70485862140</t>
  </si>
  <si>
    <t>74605090</t>
  </si>
  <si>
    <t>RUA 229, S/N. QD. 56; LT. 11; CEU PUC</t>
  </si>
  <si>
    <t>SETOR LESTE UNIVERSITÁRIO</t>
  </si>
  <si>
    <t>GSMDS100@GMAIL.COM</t>
  </si>
  <si>
    <t>(62) 93842882</t>
  </si>
  <si>
    <t>(62) 993842882</t>
  </si>
  <si>
    <t>CID-10: F32+F41</t>
  </si>
  <si>
    <t>UNIVERSIDADE CATÓLICA DE BRASÍLIA (UCB)</t>
  </si>
  <si>
    <t>MURILO PEREIRA ALMEIDA</t>
  </si>
  <si>
    <t>12270878450</t>
  </si>
  <si>
    <t>74681450</t>
  </si>
  <si>
    <t>RUA DONA FIRMINA, -. COND. MONTE VERDE, CASA 90</t>
  </si>
  <si>
    <t>SÍTIO DE RECREIO IPÊ</t>
  </si>
  <si>
    <t>MURILOALMEIDA.REC@GMAIL.COM</t>
  </si>
  <si>
    <t>(62) 984242691</t>
  </si>
  <si>
    <t>UNIP</t>
  </si>
  <si>
    <t>VALDEIR SOARES DA CRUZ</t>
  </si>
  <si>
    <t>5231640</t>
  </si>
  <si>
    <t>02886761141</t>
  </si>
  <si>
    <t>74955530</t>
  </si>
  <si>
    <t>RUA VITERITA, 07. QUADRA 86 LOTE 07</t>
  </si>
  <si>
    <t>VILA OLIVEIRA</t>
  </si>
  <si>
    <t>VALDEIRSOARESS@HOTMAIL.COM</t>
  </si>
  <si>
    <t>(62) 82912146</t>
  </si>
  <si>
    <t>(62) 982912146</t>
  </si>
  <si>
    <t>KALINNE TASSIA FERREIRA PINTO</t>
  </si>
  <si>
    <t>70298403137</t>
  </si>
  <si>
    <t>74583400</t>
  </si>
  <si>
    <t>RUA MARLENE OLIVEIRA MACHADO, S/N. QD.06 LT.10</t>
  </si>
  <si>
    <t>RECREIO PANORAMA</t>
  </si>
  <si>
    <t>KALINNE.TASSIA23@GMAIL.COM</t>
  </si>
  <si>
    <t>(62) 995117007</t>
  </si>
  <si>
    <t>UNIALFA</t>
  </si>
  <si>
    <t>SAMELLA RODRIGUES MONTEIRO</t>
  </si>
  <si>
    <t>7242119</t>
  </si>
  <si>
    <t>71277039143</t>
  </si>
  <si>
    <t>75381044</t>
  </si>
  <si>
    <t>TRINDADE</t>
  </si>
  <si>
    <t>RUA ANGÉLICA, 0000. QUADRA 57 LOTE 18</t>
  </si>
  <si>
    <t>SETOR PALMARES</t>
  </si>
  <si>
    <t>SAMELLARODRIGUES57@GMAIL.COM</t>
  </si>
  <si>
    <t>(62) 993940061</t>
  </si>
  <si>
    <t>FACUNICAMPS</t>
  </si>
  <si>
    <t>KARINE MENEZES DOS SANTOS</t>
  </si>
  <si>
    <t>5783984</t>
  </si>
  <si>
    <t>04646006189</t>
  </si>
  <si>
    <t>74055090</t>
  </si>
  <si>
    <t>RUA 77, 196. QUADRA 144, CASA DO FUNDO.</t>
  </si>
  <si>
    <t>KARINEMDS@OUTLOOK.COM</t>
  </si>
  <si>
    <t>(62) 992758067</t>
  </si>
  <si>
    <t>ESTÁCIO</t>
  </si>
  <si>
    <t>LORRAYNE RODRIGUES MOURA</t>
  </si>
  <si>
    <t>06482173101</t>
  </si>
  <si>
    <t>74323110</t>
  </si>
  <si>
    <t>AVENIDA BARTOLOMEU BUENO, 301.</t>
  </si>
  <si>
    <t>VILA MAUÁ</t>
  </si>
  <si>
    <t>LORRAYNERODRIGUESGPO@GMAIL.COM</t>
  </si>
  <si>
    <t>(62) 991497174</t>
  </si>
  <si>
    <t>FACULDADE UNIARAGUAIA</t>
  </si>
  <si>
    <t>VICTÓRIA KAROLYNE DE SOUZA BANDEIRA</t>
  </si>
  <si>
    <t>70469256150</t>
  </si>
  <si>
    <t>74684320</t>
  </si>
  <si>
    <t>RUA GERCI LUIZ DA SILVA, 0.</t>
  </si>
  <si>
    <t>RESIDENCIAL VALE DOS SONHOS I</t>
  </si>
  <si>
    <t>VICTORIASB70@GMAIL.COM</t>
  </si>
  <si>
    <t>(62) 985585217</t>
  </si>
  <si>
    <t>JOCIMAR DOS SANTOS FILHO</t>
  </si>
  <si>
    <t>70302896171</t>
  </si>
  <si>
    <t>74680210</t>
  </si>
  <si>
    <t>AVENIDA FLORESTA, SN. QUADRA 18B, LOTE 02</t>
  </si>
  <si>
    <t>RESIDENCIAL ALDEIA DO VALE</t>
  </si>
  <si>
    <t>JOCIMARFILHO@JDS.ADV.BR</t>
  </si>
  <si>
    <t>(62) 30926457</t>
  </si>
  <si>
    <t>(62) 996931393</t>
  </si>
  <si>
    <t>UNIVERSIDADE FEDERAL DE GOIÁS</t>
  </si>
  <si>
    <t>MANUELA MACHADO PINHEIRO</t>
  </si>
  <si>
    <t>70283806109</t>
  </si>
  <si>
    <t>74912261</t>
  </si>
  <si>
    <t>AVENIDA BELA VISTA, S/N. APTO 203 PAINEIRAS</t>
  </si>
  <si>
    <t>JARDIM BELA VISTA - CONTINUAÇÃO</t>
  </si>
  <si>
    <t>MANUELAMACHADOPINHEIRO@GMAIL.COM</t>
  </si>
  <si>
    <t>(62) 982242681</t>
  </si>
  <si>
    <t>PONTIFICA UNIVERSIDADE CATÓLICA DE GOIÁS</t>
  </si>
  <si>
    <t>ANA LUIZA MERENCIO SOARES</t>
  </si>
  <si>
    <t>70125909128</t>
  </si>
  <si>
    <t>74356070</t>
  </si>
  <si>
    <t>RUA RI 2, 0. CONDOMINIO LAKESIDE AP 304 BLOCO 7</t>
  </si>
  <si>
    <t>RESIDENCIAL ITAIPU</t>
  </si>
  <si>
    <t>ANALUIZAMERENCIO0@GMAIL.COM</t>
  </si>
  <si>
    <t>(62) 99839620</t>
  </si>
  <si>
    <t>(62) 995123940</t>
  </si>
  <si>
    <t>IPOG INSTITUTO DE PÓS GRADUAÇÃO E GRADUAÇÃO</t>
  </si>
  <si>
    <t>IGOR GONÇALVES FAVARO</t>
  </si>
  <si>
    <t>03898422143</t>
  </si>
  <si>
    <t>74180040</t>
  </si>
  <si>
    <t>AVENIDA 136, 515. EDIFICIO DJ OLIVEIRA, APTO 102</t>
  </si>
  <si>
    <t>SETOR MARISTA</t>
  </si>
  <si>
    <t>IGORGONFAVARO@GMAIL.COM</t>
  </si>
  <si>
    <t>(62) 34342899</t>
  </si>
  <si>
    <t>(62) 992737000</t>
  </si>
  <si>
    <t>PONTIFÍCIA UNIVERSIDADE CATÓLICA</t>
  </si>
  <si>
    <t>ISABELLA LEÃO SILVA MELO</t>
  </si>
  <si>
    <t>03302122144</t>
  </si>
  <si>
    <t>74713165</t>
  </si>
  <si>
    <t>RUA NOVA ESCÓCIA, 65. QD. 38-B LT. 125</t>
  </si>
  <si>
    <t>JARDIM NOVO MUNDO</t>
  </si>
  <si>
    <t>ISALEAOMELO@HOTMAIL.COM</t>
  </si>
  <si>
    <t>(64) 81339199</t>
  </si>
  <si>
    <t>(64) 981339199</t>
  </si>
  <si>
    <t>PUC</t>
  </si>
  <si>
    <t>SANTIAGO OLIVEIRA DE ATAÍDES</t>
  </si>
  <si>
    <t>07336132170</t>
  </si>
  <si>
    <t>74080200</t>
  </si>
  <si>
    <t>RUA 103, 338. ESQUINA COM A 104</t>
  </si>
  <si>
    <t>SANTIAAGOOLIVEIRA@GMAIL.COM</t>
  </si>
  <si>
    <t>(62) 999660079</t>
  </si>
  <si>
    <t>LUANA VITORIA DIAS FARIAS</t>
  </si>
  <si>
    <t>6990655</t>
  </si>
  <si>
    <t>70321608160</t>
  </si>
  <si>
    <t>74371365</t>
  </si>
  <si>
    <t>RUA MDV 3, 0. COND. IDEAL BRISAS, BL 1 AP 205</t>
  </si>
  <si>
    <t>MOINHO DOS VENTOS</t>
  </si>
  <si>
    <t>LUANALVDF@GMAIL.COM</t>
  </si>
  <si>
    <t>(62) 98629363</t>
  </si>
  <si>
    <t>(62) 986293638</t>
  </si>
  <si>
    <t>LUDMYLLA MENDES OLIVEIRA</t>
  </si>
  <si>
    <t>75208091100</t>
  </si>
  <si>
    <t>74305280</t>
  </si>
  <si>
    <t>RUA C48, 249. QD97 LT2/5 APTO1003 RESIDENCIAL VISAGE SUDOESTE</t>
  </si>
  <si>
    <t>SETOR SUDOESTE</t>
  </si>
  <si>
    <t>LUDMYLLAMENDES@OUTLOOK.COM</t>
  </si>
  <si>
    <t>(62) 32586459</t>
  </si>
  <si>
    <t>(62) 995497083</t>
  </si>
  <si>
    <t>UNIGOIÁS</t>
  </si>
  <si>
    <t>JOSILENE LUIZ CORDEIRO</t>
  </si>
  <si>
    <t>7355867</t>
  </si>
  <si>
    <t>71389597105</t>
  </si>
  <si>
    <t>74055210</t>
  </si>
  <si>
    <t>RUA 73, 149.</t>
  </si>
  <si>
    <t>JOSILENELUIZCORDEIRO3@GMAIL.COM</t>
  </si>
  <si>
    <t>(62) 999313601</t>
  </si>
  <si>
    <t>NATALIA ROCHA BRUST PEIXOTO</t>
  </si>
  <si>
    <t>4682387</t>
  </si>
  <si>
    <t>00407669183</t>
  </si>
  <si>
    <t>74215060</t>
  </si>
  <si>
    <t>RUA T 30, 2230. COND. JARDINS DE VERSALHES, APTO 1002</t>
  </si>
  <si>
    <t>NATALIARBP10@GMAIL.COM</t>
  </si>
  <si>
    <t>(62) 99790926</t>
  </si>
  <si>
    <t>(62) 999212999</t>
  </si>
  <si>
    <t>UFG</t>
  </si>
  <si>
    <t>JÚLIA MENDONÇA CÉZAR</t>
  </si>
  <si>
    <t>04204165109</t>
  </si>
  <si>
    <t>74333110</t>
  </si>
  <si>
    <t>RUA FLEMINGTON, 00. QUADRA 3 LOTE 3</t>
  </si>
  <si>
    <t>JARDIM PLANALTO</t>
  </si>
  <si>
    <t>JULIAMENDONCAJD@GMAIL.COM</t>
  </si>
  <si>
    <t>(62) 999355750</t>
  </si>
  <si>
    <t>FACULDADE UNIDA DE CAMPINAS (FACUNICAMPS)</t>
  </si>
  <si>
    <t>EDUARDO ELIAS REZENDE DA SILVA</t>
  </si>
  <si>
    <t>06418021100</t>
  </si>
  <si>
    <t>74020170</t>
  </si>
  <si>
    <t>RUA 20, 100. APTO 901</t>
  </si>
  <si>
    <t>EDUARDOSILVAPDR@GMAIL.COM</t>
  </si>
  <si>
    <t>(64) 99610128</t>
  </si>
  <si>
    <t>(64) 996101287</t>
  </si>
  <si>
    <t>GENI LOPES DE OLIVEIRA SOUZA</t>
  </si>
  <si>
    <t>91934338168</t>
  </si>
  <si>
    <t>VIUVO</t>
  </si>
  <si>
    <t>74230050</t>
  </si>
  <si>
    <t>AVENIDA T 13, S/N. Q167 L 01/14 APART 502 ED STRAUSS</t>
  </si>
  <si>
    <t>GENILOPESDEOLIVEIRASOUZA@GMAIL.COM</t>
  </si>
  <si>
    <t>(62) 81642642</t>
  </si>
  <si>
    <t>(62) 981642642</t>
  </si>
  <si>
    <t>UNIVERSIDADE SALGADO DE OLIVEIRA</t>
  </si>
  <si>
    <t>JOÃO VÍTOR GONÇALVES SOARES</t>
  </si>
  <si>
    <t>02316043194</t>
  </si>
  <si>
    <t>74330290</t>
  </si>
  <si>
    <t>RUA IRLANDA, S/N. QUADRA 132, LOTE 10</t>
  </si>
  <si>
    <t>JOAOVITOR2004@HOTMAIL.COM</t>
  </si>
  <si>
    <t>(62) 32598576</t>
  </si>
  <si>
    <t>(62) 985782908</t>
  </si>
  <si>
    <t>ALLAYNE REBEKA DE PAULA SOUZA</t>
  </si>
  <si>
    <t>71372327100</t>
  </si>
  <si>
    <t>74255160</t>
  </si>
  <si>
    <t>RUA C157, 00. QD257 LT24, RESIDENCIAL SATILLOS</t>
  </si>
  <si>
    <t>JARDIM AMÉRICA</t>
  </si>
  <si>
    <t>ALLAYNEREBEKA67@GMAIL.COM</t>
  </si>
  <si>
    <t>(62) 984737479</t>
  </si>
  <si>
    <t>FACULDADE ARAGUAIA</t>
  </si>
  <si>
    <t>LAVINIA VIEIRA DOS SANTOS</t>
  </si>
  <si>
    <t>71286933196</t>
  </si>
  <si>
    <t>74810350</t>
  </si>
  <si>
    <t>RUA 70, 110. APARTAMENTO 102</t>
  </si>
  <si>
    <t>JARDIM GOIÁS</t>
  </si>
  <si>
    <t>LAVINIASANTOSV14@GMAIL.COM</t>
  </si>
  <si>
    <t>(62) 995665520</t>
  </si>
  <si>
    <t>JUAN RICARDO RIBEIRO PORTILHO DÂMASO</t>
  </si>
  <si>
    <t>08421027107</t>
  </si>
  <si>
    <t>74905142</t>
  </si>
  <si>
    <t>RUA APORÉ, 2. RESIDENCIAL BRASÍLIA SUL</t>
  </si>
  <si>
    <t>VILA BRASÍLIA SUL</t>
  </si>
  <si>
    <t>JUANRICARDODAMASO@GMAIL.COM</t>
  </si>
  <si>
    <t>(62) 985882603</t>
  </si>
  <si>
    <t>CAMILA ANGÉLICA DOS SANTOS ARAÚJO</t>
  </si>
  <si>
    <t>08032146504</t>
  </si>
  <si>
    <t>74982470</t>
  </si>
  <si>
    <t>RUA CAPIVARI, S/N. QUADRA 13 LOTE 05</t>
  </si>
  <si>
    <t>JARDIM RIO GRANDE</t>
  </si>
  <si>
    <t>CAMILAARAUJOANGELICA76@GMAIL.COM</t>
  </si>
  <si>
    <t>(62) 995081248</t>
  </si>
  <si>
    <t>DANIELLA GOMES ALVES OLIVEIRA</t>
  </si>
  <si>
    <t>71167173155</t>
  </si>
  <si>
    <t>RUA T 30, 1378. NSA SUPERMERCADOS</t>
  </si>
  <si>
    <t>DANIELLAGOMS2002@GMAIL.COM</t>
  </si>
  <si>
    <t>(64) 981149510</t>
  </si>
  <si>
    <t>UNIARAGUAIA</t>
  </si>
  <si>
    <t>MARIA CECÍLIA CURADO MORAIS</t>
  </si>
  <si>
    <t>6566437</t>
  </si>
  <si>
    <t>70703872109</t>
  </si>
  <si>
    <t>74175130</t>
  </si>
  <si>
    <t>RUA 1128, 644. APTO.301</t>
  </si>
  <si>
    <t>MORAIS.MARIACECILIA@GMAIL.COM</t>
  </si>
  <si>
    <t>(62) 992444510</t>
  </si>
  <si>
    <t>GABRIEL CARNEIRO DE FREITAS</t>
  </si>
  <si>
    <t>03823648136</t>
  </si>
  <si>
    <t>74391040</t>
  </si>
  <si>
    <t>RUA ABADIO EGÍDIO DA SILVA, 00. QD8 LT20 CASA2</t>
  </si>
  <si>
    <t>JARDIM MARQUES DE ABREU</t>
  </si>
  <si>
    <t>GABRIELCARNEIROFREITAS43@GMAIL.COM</t>
  </si>
  <si>
    <t>(62) 32962068</t>
  </si>
  <si>
    <t>(62) 984328650</t>
  </si>
  <si>
    <t>ROSANE BORGES DE OLIVEIRA</t>
  </si>
  <si>
    <t>5448526</t>
  </si>
  <si>
    <t>02678161110</t>
  </si>
  <si>
    <t>74605110</t>
  </si>
  <si>
    <t>RUA 230, 107. QD. 54 LT.3-5, ED ASTÚRIAS, AP. 1004</t>
  </si>
  <si>
    <t>ROSANE_BORGES@DISCENTE.UFG.BR</t>
  </si>
  <si>
    <t>(62) 985564569</t>
  </si>
  <si>
    <t>LAURA ROIZ POVOA</t>
  </si>
  <si>
    <t>6831152</t>
  </si>
  <si>
    <t>70878445129</t>
  </si>
  <si>
    <t>74150070</t>
  </si>
  <si>
    <t>RUA 24, 110. ED BOTANIC</t>
  </si>
  <si>
    <t>LAURA22ROIZ@OUTLOOK.COM</t>
  </si>
  <si>
    <t>(62) 32595968</t>
  </si>
  <si>
    <t>(62) 996164050</t>
  </si>
  <si>
    <t>CECILIA GOMES AIRES</t>
  </si>
  <si>
    <t>1992021</t>
  </si>
  <si>
    <t>08425499194</t>
  </si>
  <si>
    <t>74855110</t>
  </si>
  <si>
    <t>RUA B6A, 359. CONDOMINIO PRIVE DAS LARANJEIRAS, CASA 04</t>
  </si>
  <si>
    <t>PARQUE DAS LARANJEIRAS</t>
  </si>
  <si>
    <t>CECILIAGOMESAIRES.PMW@GMAIL.COM</t>
  </si>
  <si>
    <t>(63) 981081511</t>
  </si>
  <si>
    <t>GABRYELLA QUINTINO RODRIGUES</t>
  </si>
  <si>
    <t>6859943</t>
  </si>
  <si>
    <t>70903025124</t>
  </si>
  <si>
    <t>74343010</t>
  </si>
  <si>
    <t>AVENIDA IPANEMA, 1889. QD 92 LT 10</t>
  </si>
  <si>
    <t>JARDIM ATLÂNTICO</t>
  </si>
  <si>
    <t>GABYRODRIGUES100@GMAIL.COM</t>
  </si>
  <si>
    <t>(62) 35872027</t>
  </si>
  <si>
    <t>(62) 985946278</t>
  </si>
  <si>
    <t>CAMILA CRISTIE MAGGI</t>
  </si>
  <si>
    <t>6690069</t>
  </si>
  <si>
    <t>03579951122</t>
  </si>
  <si>
    <t>74810210</t>
  </si>
  <si>
    <t>RUA 53, 285. SPAZIO D ITÁLIA</t>
  </si>
  <si>
    <t>CAMILAMAGGI@DISCENTE.UFG.BR</t>
  </si>
  <si>
    <t>(62) 32882845</t>
  </si>
  <si>
    <t>(62) 994036456</t>
  </si>
  <si>
    <t>SARAH DIAS FREIRE</t>
  </si>
  <si>
    <t>07855734032</t>
  </si>
  <si>
    <t>07710064116</t>
  </si>
  <si>
    <t>74303030</t>
  </si>
  <si>
    <t>AVENIDA C18, CASA 1. QUADRA 177, LOTE 12 , CASA 1</t>
  </si>
  <si>
    <t>SARAHDIAASF@GMAIL.COM</t>
  </si>
  <si>
    <t>(62) 99239233</t>
  </si>
  <si>
    <t>(62) 992392337</t>
  </si>
  <si>
    <t>UNI GOIÁS</t>
  </si>
  <si>
    <t>FELIPE DE OLIVEIRA SENE</t>
  </si>
  <si>
    <t>6420864</t>
  </si>
  <si>
    <t>06561788176</t>
  </si>
  <si>
    <t>74650030</t>
  </si>
  <si>
    <t>RUA COMENDADOR NEGRÃO DE LIMA, 290. APT 301 BL 06 RESI PARQUE DOS LIRIOS</t>
  </si>
  <si>
    <t>SETOR NEGRÃO DE LIMA</t>
  </si>
  <si>
    <t>SENE.OLIVEIRA2@GMAIL.COM</t>
  </si>
  <si>
    <t>(62) 98602136</t>
  </si>
  <si>
    <t>(62) 986021365</t>
  </si>
  <si>
    <t>UNIVERSIDADE CAMBURY</t>
  </si>
  <si>
    <t>RAYANE AIRES REIS</t>
  </si>
  <si>
    <t>5873249</t>
  </si>
  <si>
    <t>70024118109</t>
  </si>
  <si>
    <t>74485550</t>
  </si>
  <si>
    <t>RUA GRAJAÚ, S/N. QD45 LT28</t>
  </si>
  <si>
    <t>JARDIM MIRABEL</t>
  </si>
  <si>
    <t>RAYANEAIRES55@GMAIL.COM</t>
  </si>
  <si>
    <t>(62) 96239863</t>
  </si>
  <si>
    <t>(62) 996239863</t>
  </si>
  <si>
    <t>FERNANDA MARTINS JAIME</t>
  </si>
  <si>
    <t>02631502167</t>
  </si>
  <si>
    <t>74936010</t>
  </si>
  <si>
    <t>RUA H 33, SN. QD 172 LT 17 A</t>
  </si>
  <si>
    <t>CIDADE VERA CRUZ</t>
  </si>
  <si>
    <t>NANDAWORLD.38@GMAIL.COM</t>
  </si>
  <si>
    <t>(62) 984974541</t>
  </si>
  <si>
    <t>ESUP</t>
  </si>
  <si>
    <t>MARIA EUGÊNIA MOREIRA</t>
  </si>
  <si>
    <t>99190575504</t>
  </si>
  <si>
    <t>74460830</t>
  </si>
  <si>
    <t>RUA RIO BRANCO, 21. QUADRA 14</t>
  </si>
  <si>
    <t>RESIDENCIAL PETRÓPOLIS</t>
  </si>
  <si>
    <t>MARIAEUGENIAMOREIRA719@GMAIL.COM</t>
  </si>
  <si>
    <t>(62) 98106637</t>
  </si>
  <si>
    <t>(62) 981066373</t>
  </si>
  <si>
    <t>PUC GOIÁS</t>
  </si>
  <si>
    <t>ANA CLARA PENHA</t>
  </si>
  <si>
    <t>6429521</t>
  </si>
  <si>
    <t>70499439163</t>
  </si>
  <si>
    <t>74475755</t>
  </si>
  <si>
    <t>RUA DAS VIOLETAS, 00.</t>
  </si>
  <si>
    <t>SETOR ESTRELA DALVA</t>
  </si>
  <si>
    <t>ANACLARAPR045@ALUNO.UEG.BR</t>
  </si>
  <si>
    <t>(62) 981348063</t>
  </si>
  <si>
    <t>PEDRO LIMA DE SOUSA RODRIGUES</t>
  </si>
  <si>
    <t>04893582178</t>
  </si>
  <si>
    <t>74210190</t>
  </si>
  <si>
    <t>RUA T 48, 683. APT 201</t>
  </si>
  <si>
    <t>PEDROLSR17@GMAIL.COM</t>
  </si>
  <si>
    <t>(62) 999895303</t>
  </si>
  <si>
    <t>ISABELA FRANCO BROTAS</t>
  </si>
  <si>
    <t>70600560171</t>
  </si>
  <si>
    <t>74823450</t>
  </si>
  <si>
    <t>RUA S 4, 32. CONDOMINIO DO EDIFÍCIO RESIDENCIAL DOS GIRASSÓIS</t>
  </si>
  <si>
    <t>SETOR BELA VISTA</t>
  </si>
  <si>
    <t>FRANCOISABELAB@GMAIL.COM</t>
  </si>
  <si>
    <t>(62) 99626451</t>
  </si>
  <si>
    <t>(62) 999491468</t>
  </si>
  <si>
    <t>CENTRO DE ENSINO SUPERIOR UNIARAGUAIA</t>
  </si>
  <si>
    <t>GABRIELA LOPES OLIVEIRA</t>
  </si>
  <si>
    <t>10063582937</t>
  </si>
  <si>
    <t>74255110</t>
  </si>
  <si>
    <t>RUA C162, 2000. CASA 03</t>
  </si>
  <si>
    <t>GABI.LOPES10@HOTMAIL.COM</t>
  </si>
  <si>
    <t>(62) 98199001</t>
  </si>
  <si>
    <t>(62) 981990014</t>
  </si>
  <si>
    <t>UNIVERSIDADE FEDERAL DE GOIAS</t>
  </si>
  <si>
    <t>AMANDA SILVA DE OLIVEIRA</t>
  </si>
  <si>
    <t>7334228</t>
  </si>
  <si>
    <t>71225130174</t>
  </si>
  <si>
    <t>74370703</t>
  </si>
  <si>
    <t>AVENIDA SERINGUEIRAS, 1491. QD 21 LOTE 01</t>
  </si>
  <si>
    <t>RESIDENCIAL FORTEVILLE</t>
  </si>
  <si>
    <t>AMANDA.SILVA11133@GMAIL.COM</t>
  </si>
  <si>
    <t>(62) 995037286</t>
  </si>
  <si>
    <t>BARBARA CAROLINE BEZERRA DA SILVA</t>
  </si>
  <si>
    <t>71168521157</t>
  </si>
  <si>
    <t>74785600</t>
  </si>
  <si>
    <t>RUA SR 16, 00. QUADRA 18 LOTE 24</t>
  </si>
  <si>
    <t>SETOR RECANTO DAS MINAS GERAIS</t>
  </si>
  <si>
    <t>CAROLINEBARBARACAROLINE@GMAIL.COM</t>
  </si>
  <si>
    <t>(62) 32087592</t>
  </si>
  <si>
    <t>(62) 981345735</t>
  </si>
  <si>
    <t>DINÂMICA E ASSESSORIA E CONSULTORIA EMPRESARIAL - CENTRO UNIVERSITÁRIO FACUNICAMPS</t>
  </si>
  <si>
    <t>GEOVANNA CANDIDO CARLOS</t>
  </si>
  <si>
    <t>06374713184</t>
  </si>
  <si>
    <t>74393470</t>
  </si>
  <si>
    <t>RUA SR 6, 02. QD 08 LT06</t>
  </si>
  <si>
    <t>PARQUE SANTA RITA</t>
  </si>
  <si>
    <t>GEOVANNACANDIDO127@GMAIL.COM</t>
  </si>
  <si>
    <t>(62) 32940592</t>
  </si>
  <si>
    <t>(62) 985511323</t>
  </si>
  <si>
    <t>CENTRO UNIVERSITÁRIO DE GOIÁS UNI GOIÁS</t>
  </si>
  <si>
    <t>MAIKON DOUGLAS CARVALHO OLIVEIRA</t>
  </si>
  <si>
    <t>5324997</t>
  </si>
  <si>
    <t>03053537133</t>
  </si>
  <si>
    <t>75460000</t>
  </si>
  <si>
    <t>NERÓPOLIS</t>
  </si>
  <si>
    <t>AVENIDA MARIA CANDIDA TEIXEIRA ESQUINA COM RUA S 6, 0. QD 16 LT 20</t>
  </si>
  <si>
    <t>RESIDENCIAL NOVA CIDADE</t>
  </si>
  <si>
    <t>MAIKON12OLIVEIRA@GMAIL.COM</t>
  </si>
  <si>
    <t>(62) 994873400</t>
  </si>
  <si>
    <t>UNIP GOIÂNIA</t>
  </si>
  <si>
    <t>ARTHUR SIQUEIRA SOUSA LEÃO</t>
  </si>
  <si>
    <t>6899401</t>
  </si>
  <si>
    <t>70943932106</t>
  </si>
  <si>
    <t>74520113</t>
  </si>
  <si>
    <t>VIELA QUADRA 131-B, 12. CASA DE MURRO MARROM DE ESQUINA</t>
  </si>
  <si>
    <t>SETOR CAMPINAS</t>
  </si>
  <si>
    <t>ARTHURSIQUEIRA1414@HOTMAIL.COM</t>
  </si>
  <si>
    <t>(62) 82502957</t>
  </si>
  <si>
    <t>(62) 984016502</t>
  </si>
  <si>
    <t>CLECIA AMÉLIA DE REZENDE</t>
  </si>
  <si>
    <t>79815820168</t>
  </si>
  <si>
    <t>74210050</t>
  </si>
  <si>
    <t>RUA T 29, 290. APARTAMENTO 302</t>
  </si>
  <si>
    <t>CLECIA.REZENDE06@GMAIL.COM</t>
  </si>
  <si>
    <t>(62) 999698300</t>
  </si>
  <si>
    <t>EDUARDO BENTO FERNANDES</t>
  </si>
  <si>
    <t>70797840184</t>
  </si>
  <si>
    <t>74954590</t>
  </si>
  <si>
    <t>RUA R 10, 0. QD 4 LT 12</t>
  </si>
  <si>
    <t>PORTO DAS PEDRAS</t>
  </si>
  <si>
    <t>BENTOEDUARDO54@GMAIL.COM</t>
  </si>
  <si>
    <t>(62) 34401503</t>
  </si>
  <si>
    <t>(62) 994401503</t>
  </si>
  <si>
    <t>KAIO GIOVANI RIBEIRO GONÇALVES</t>
  </si>
  <si>
    <t>70154484164</t>
  </si>
  <si>
    <t>74605050</t>
  </si>
  <si>
    <t>RUA 235, 622. RES. CULT UNIVERSO APT 101</t>
  </si>
  <si>
    <t>KAIOGIOVANI19@GMAIL.COM</t>
  </si>
  <si>
    <t>(62) 92344101</t>
  </si>
  <si>
    <t>(62) 992344101</t>
  </si>
  <si>
    <t>BRUNA MESQUITA MAIA</t>
  </si>
  <si>
    <t>70355880270</t>
  </si>
  <si>
    <t>74150200</t>
  </si>
  <si>
    <t>RUA 27, 230. APTO 1503</t>
  </si>
  <si>
    <t>BRUNAMAIAQT@GMAIL.COM</t>
  </si>
  <si>
    <t>(62) 981924029</t>
  </si>
  <si>
    <t>BRUNO TIBO FROTA</t>
  </si>
  <si>
    <t>5710100</t>
  </si>
  <si>
    <t>03646995157</t>
  </si>
  <si>
    <t>74120100</t>
  </si>
  <si>
    <t>RUA 19, 81. ED. DENVER</t>
  </si>
  <si>
    <t>TIBOFROTA@GMAIL.COM</t>
  </si>
  <si>
    <t>(62) 99145824</t>
  </si>
  <si>
    <t>(62) 991458241</t>
  </si>
  <si>
    <t>PUC-GO</t>
  </si>
  <si>
    <t>JEANNE FAGUNDES GOMES DE MAGALHAES</t>
  </si>
  <si>
    <t>6807083</t>
  </si>
  <si>
    <t>03547359180</t>
  </si>
  <si>
    <t>74730330</t>
  </si>
  <si>
    <t>RUA X 1, 215. QD X 1 LT 17</t>
  </si>
  <si>
    <t>JARDIM BRASIL</t>
  </si>
  <si>
    <t>JEANNEFAGUNDES50@GMAIL.COM</t>
  </si>
  <si>
    <t>(62) 99991120</t>
  </si>
  <si>
    <t>(62) 999911205</t>
  </si>
  <si>
    <t>MARIA CLARA TORRES PEREIRA</t>
  </si>
  <si>
    <t>6732310</t>
  </si>
  <si>
    <t>03992360156</t>
  </si>
  <si>
    <t>74170080</t>
  </si>
  <si>
    <t>RUA 145, 60. APTO 1401</t>
  </si>
  <si>
    <t>MCLARA2806@GMAIL.COM</t>
  </si>
  <si>
    <t>(62) 985601452</t>
  </si>
  <si>
    <t>RAFAELA BATISTA MOTA</t>
  </si>
  <si>
    <t>03189359105</t>
  </si>
  <si>
    <t>RUA COMENDADOR NEGRÃO DE LIMA, 290. COND PARQUE DOS LIRIOS BL 8 AP 201</t>
  </si>
  <si>
    <t>RAFABMOTA@HOTMAIL.COM</t>
  </si>
  <si>
    <t>(62) 32717375</t>
  </si>
  <si>
    <t>(62) 998072039</t>
  </si>
  <si>
    <t>ISABELLA MARTINS TEIXEIRA</t>
  </si>
  <si>
    <t>6930784</t>
  </si>
  <si>
    <t>70334077184</t>
  </si>
  <si>
    <t>74433090</t>
  </si>
  <si>
    <t>RUA DOS FERROVIÁRIOS, SN. QUADRA 25 LOTE 6</t>
  </si>
  <si>
    <t>ESPLANADA DO ANICUNS</t>
  </si>
  <si>
    <t>ISABELLAMARTINSTEIXEIRA@GMAIL.COM</t>
  </si>
  <si>
    <t>(62) 32956352</t>
  </si>
  <si>
    <t>(62) 996143806</t>
  </si>
  <si>
    <t>DEBORAH ARAUJO DE ANDRADE</t>
  </si>
  <si>
    <t>5943821</t>
  </si>
  <si>
    <t>70072208198</t>
  </si>
  <si>
    <t>74815455</t>
  </si>
  <si>
    <t>RUA DONA GERCINA BORGES TEIXEIRA, SN. APTO 402</t>
  </si>
  <si>
    <t>VILA MARIA JOSÉ</t>
  </si>
  <si>
    <t>DEBORAHDEHDE@HOTMAIL.COM</t>
  </si>
  <si>
    <t>(62) 94027010</t>
  </si>
  <si>
    <t>(62) 993944248</t>
  </si>
  <si>
    <t>FACULDADE UNIDA DE CAMPINAS</t>
  </si>
  <si>
    <t>LÍVIA XAVIER CARMO</t>
  </si>
  <si>
    <t>6912726</t>
  </si>
  <si>
    <t>02783897164</t>
  </si>
  <si>
    <t>74680570</t>
  </si>
  <si>
    <t>RUA GB1A, 0. QUADRA 11 LOTE 5</t>
  </si>
  <si>
    <t>JARDIM GUANABARA II</t>
  </si>
  <si>
    <t>LIVIAXAVIERCARMO99@HOTMAIL.COM</t>
  </si>
  <si>
    <t>(62) 994414573</t>
  </si>
  <si>
    <t>PUC GOIÁS - CAMPUS V</t>
  </si>
  <si>
    <t>GIOVANNA MARIA DOS REIS RAMOS</t>
  </si>
  <si>
    <t>33148087801</t>
  </si>
  <si>
    <t>74605170</t>
  </si>
  <si>
    <t>RUA 240, 43. QD. 94, LT. 5, APTO.202</t>
  </si>
  <si>
    <t>GIOVANNAMARIA.RAMOS@YAHOO.COM.BR</t>
  </si>
  <si>
    <t>(12) 982389156</t>
  </si>
  <si>
    <t>MATHEWS ESMAEL SILVA</t>
  </si>
  <si>
    <t>70324612125</t>
  </si>
  <si>
    <t>74835590</t>
  </si>
  <si>
    <t>RUA UMIRI, 03. RUA UMIRI QD 203</t>
  </si>
  <si>
    <t>PARQUE AMAZÔNIA</t>
  </si>
  <si>
    <t>MATHEWSMATHEWSESMAEL@GMAIL.COM</t>
  </si>
  <si>
    <t>(62) 996016396</t>
  </si>
  <si>
    <t>COLÉGIO DA POLÍCIA MILITAR- CPMG PMVR</t>
  </si>
  <si>
    <t>ANA CAROLINA CARVALHO SILVA</t>
  </si>
  <si>
    <t>6321630</t>
  </si>
  <si>
    <t>70393837130</t>
  </si>
  <si>
    <t>74947420</t>
  </si>
  <si>
    <t>RUA ESPANHA, S/N. Q.25, L.21</t>
  </si>
  <si>
    <t>SETOR AEROPORTO SUL</t>
  </si>
  <si>
    <t>CAROLBIM2@GMAIL.COM</t>
  </si>
  <si>
    <t>(62) 995599221</t>
  </si>
  <si>
    <t>DOUGLAS MACEDO CAMPOS</t>
  </si>
  <si>
    <t>05839883506</t>
  </si>
  <si>
    <t>74495110</t>
  </si>
  <si>
    <t>RUA MARIA HENRIQUETA PECLAT, 0. APTO 204 BLOCO M</t>
  </si>
  <si>
    <t>CONJUNTO VERA CRUZ</t>
  </si>
  <si>
    <t>CAMPOSMACEDO19@GMAIL.COM</t>
  </si>
  <si>
    <t>(62) 985312443</t>
  </si>
  <si>
    <t>THAYNNA PEREIRA CAVECCHIA</t>
  </si>
  <si>
    <t>01867003694</t>
  </si>
  <si>
    <t>74355468</t>
  </si>
  <si>
    <t>RUA 32, 000. Q. 6 LT. 3 A SALA 1</t>
  </si>
  <si>
    <t>CONDOMÍNIO DAS ESMERALDAS</t>
  </si>
  <si>
    <t>THAYNNAPC@GMAIL.COM</t>
  </si>
  <si>
    <t>(34) 999057901</t>
  </si>
  <si>
    <t>UNIVERSIDADE SALGADO DE OLIVEIRA - CENTRO UNIVERSO GOIÂNIA</t>
  </si>
  <si>
    <t>NÁCZA CAMPOS TERRA</t>
  </si>
  <si>
    <t>6517403</t>
  </si>
  <si>
    <t>06749169139</t>
  </si>
  <si>
    <t>74805350</t>
  </si>
  <si>
    <t>RUA 32, 915. AP.504 BLOCO D</t>
  </si>
  <si>
    <t>NACZACAMPOST@GMAIL.COM</t>
  </si>
  <si>
    <t>(62) 982691516</t>
  </si>
  <si>
    <t>LUCAS NOGUEIRA DE SOUSA</t>
  </si>
  <si>
    <t>60903666332</t>
  </si>
  <si>
    <t>74492200</t>
  </si>
  <si>
    <t>RUA LRM 11, RUA LRM 11. QUADRA 6 LOTE 37</t>
  </si>
  <si>
    <t>RESIDENCIAL PORTINARI</t>
  </si>
  <si>
    <t>LUCAQWE22@GMAIL.COM</t>
  </si>
  <si>
    <t>(62) 985282366</t>
  </si>
  <si>
    <t>BRENNO TAVARES RODRIGUES COSTA</t>
  </si>
  <si>
    <t>70847129179</t>
  </si>
  <si>
    <t>74110100</t>
  </si>
  <si>
    <t>RUA 9, 748. APT. 502 ED. GRÉCIA</t>
  </si>
  <si>
    <t>BR3NN0C475@GMAIL.COM</t>
  </si>
  <si>
    <t>(62) 994079767</t>
  </si>
  <si>
    <t>PEDRO HENRIQUE DE MOURA PAULA</t>
  </si>
  <si>
    <t>06108120618</t>
  </si>
  <si>
    <t>01493997157</t>
  </si>
  <si>
    <t>74966685</t>
  </si>
  <si>
    <t>RUA CARLOS ALBERTO WANDERLEY, SN. QD08 LT24 CS 02</t>
  </si>
  <si>
    <t>JARDIM RIVIERA</t>
  </si>
  <si>
    <t>PEDRODEPAULA094@GMAIL.COM</t>
  </si>
  <si>
    <t>(62) 991445122</t>
  </si>
  <si>
    <t>FANAP</t>
  </si>
  <si>
    <t>LUIZ FERNANDO RIBEIRO MARTINS</t>
  </si>
  <si>
    <t>6489216</t>
  </si>
  <si>
    <t>70556655150</t>
  </si>
  <si>
    <t>74375350</t>
  </si>
  <si>
    <t>RUA DAS PAPOULAS, SN. COND BELLO PARQUE AP 704 T3</t>
  </si>
  <si>
    <t>PARQUE OESTE INDUSTRIAL</t>
  </si>
  <si>
    <t>LUIZ200E2@GMAIL.COM</t>
  </si>
  <si>
    <t>(62) 00000000</t>
  </si>
  <si>
    <t>(62) 984659394</t>
  </si>
  <si>
    <t>CENTRO UNIVERSITÁRIO FACULDADE UNIDA DE CAMPINAS</t>
  </si>
  <si>
    <t>GELVANA VIEIRA DE ARAÚJO</t>
  </si>
  <si>
    <t>07387893136</t>
  </si>
  <si>
    <t>74494435</t>
  </si>
  <si>
    <t>RUA IRMÃ CIBELE DE AQUINO SALES, 0. GELVANAVIEIRA96@GMAIL.COM</t>
  </si>
  <si>
    <t>RESIDENCIAL MONTE PASCOAL</t>
  </si>
  <si>
    <t>GELVANAVIEIRA96@GMAIL.COM</t>
  </si>
  <si>
    <t>(62) 999205277</t>
  </si>
  <si>
    <t>FACULDADE UNIDA DE CAMPINAS - FACUNICAMPS</t>
  </si>
  <si>
    <t>ARTHUR HENRIQUE ALVES E SILVA</t>
  </si>
  <si>
    <t>7651462</t>
  </si>
  <si>
    <t>06980551108</t>
  </si>
  <si>
    <t>74915380</t>
  </si>
  <si>
    <t>RUA SACRAMENTO, 0000. COND. MARROM. BLOC. 1A APTO. 104</t>
  </si>
  <si>
    <t>SETOR DOS AFONSOS</t>
  </si>
  <si>
    <t>HENRIQUEE.AS.LIVE@GMAIL.COM</t>
  </si>
  <si>
    <t>(62) 992050386</t>
  </si>
  <si>
    <t>HELENA PRADO MOREIRA</t>
  </si>
  <si>
    <t>04630651152</t>
  </si>
  <si>
    <t>74215040</t>
  </si>
  <si>
    <t>RUA T 28, 1622. APT. 2504</t>
  </si>
  <si>
    <t>PRADOMOREIRA.HELENA@GMAIL.COM</t>
  </si>
  <si>
    <t>(62) 30890224</t>
  </si>
  <si>
    <t>(62) 983308367</t>
  </si>
  <si>
    <t>LUCAS GUSTAVO VARGAS ALMEIDA</t>
  </si>
  <si>
    <t>05061752198</t>
  </si>
  <si>
    <t>74560460</t>
  </si>
  <si>
    <t>RUA 19, 20. PORTÕES MARRONS</t>
  </si>
  <si>
    <t>SETOR MARECHAL RONDON</t>
  </si>
  <si>
    <t>01LUCASGUSTAVO@GMAIL.COM</t>
  </si>
  <si>
    <t>(62) 981708568</t>
  </si>
  <si>
    <t>JÚLIA BORGES DA SILVA</t>
  </si>
  <si>
    <t>07548011105</t>
  </si>
  <si>
    <t>74923560</t>
  </si>
  <si>
    <t>RUA DAS OLIVEIRAS, SN. QD 26 LT 12</t>
  </si>
  <si>
    <t>JARDIM DOS BURITIS</t>
  </si>
  <si>
    <t>BORGESJULIA490@GMAIL.COM</t>
  </si>
  <si>
    <t>(64) 993455651</t>
  </si>
  <si>
    <t>UNIFASAM</t>
  </si>
  <si>
    <t>ALESSANDRO COELHO ABREU LIMA</t>
  </si>
  <si>
    <t>05437643110</t>
  </si>
  <si>
    <t>74715490</t>
  </si>
  <si>
    <t>RUA SOROCABA, 00. QD 21 LT 12 CASA 02</t>
  </si>
  <si>
    <t>ALESSANDROCOELHOAL@GMAIL.COM</t>
  </si>
  <si>
    <t>(62) 992617458</t>
  </si>
  <si>
    <t>JULIA MORAES PEREIRA</t>
  </si>
  <si>
    <t>70087506173</t>
  </si>
  <si>
    <t>74630280</t>
  </si>
  <si>
    <t>RUA L11, 100. APT.103B</t>
  </si>
  <si>
    <t>FELIZ</t>
  </si>
  <si>
    <t>JULIAMPP5@GMAIL.COM</t>
  </si>
  <si>
    <t>(62) 999187353</t>
  </si>
  <si>
    <t>NATÁLIA BALDUINO DE FARIA</t>
  </si>
  <si>
    <t>6935003</t>
  </si>
  <si>
    <t>04530643107</t>
  </si>
  <si>
    <t>RUA T 37, S/N. DOT BUENO RESIDENCE</t>
  </si>
  <si>
    <t>NATALIABF05@HOTMAIL.COM</t>
  </si>
  <si>
    <t>(64) 984065542</t>
  </si>
  <si>
    <t>ELISA PARREIRA DE CASTRO ALVES</t>
  </si>
  <si>
    <t>6808464</t>
  </si>
  <si>
    <t>05401576196</t>
  </si>
  <si>
    <t>74675530</t>
  </si>
  <si>
    <t>RUA MARANHÃO, 01. QUADRA 7A LOTE 7</t>
  </si>
  <si>
    <t>JARDIM GUANABARA</t>
  </si>
  <si>
    <t>ELI2ACA2TRO2016@GMAIL.COM</t>
  </si>
  <si>
    <t>(62) 32075174</t>
  </si>
  <si>
    <t>(62) 993208783</t>
  </si>
  <si>
    <t>KHAYO ALEXANDRE RIBEIRO GONÇALVES</t>
  </si>
  <si>
    <t>04278302142</t>
  </si>
  <si>
    <t>74477001</t>
  </si>
  <si>
    <t>RUA A 2, 167. CONDOMÍNIO RESERVA CAMPO BELO</t>
  </si>
  <si>
    <t>DA VITÓRIA</t>
  </si>
  <si>
    <t>KHAYOMUSK11@GMAIL.COM</t>
  </si>
  <si>
    <t>(62) 985977799</t>
  </si>
  <si>
    <t>FACULDADE SENSU FAS</t>
  </si>
  <si>
    <t>MARCELO AUGUSTO MARINHO SIQUIERO</t>
  </si>
  <si>
    <t>6105500</t>
  </si>
  <si>
    <t>01425777155</t>
  </si>
  <si>
    <t>74343500</t>
  </si>
  <si>
    <t>RUA DO SALMÃO, 138. QD 16 L 11</t>
  </si>
  <si>
    <t>MARINHOMARCELO23@GMAIL.COM</t>
  </si>
  <si>
    <t>(62) 981657747</t>
  </si>
  <si>
    <t>ALEX RODRIGUES DE JESUS</t>
  </si>
  <si>
    <t>70223426105</t>
  </si>
  <si>
    <t>74363050</t>
  </si>
  <si>
    <t>RUA CD1, 0. QUADRA: 13 LOTE 6</t>
  </si>
  <si>
    <t>CONJUNTO CACHOEIRA DOURADA</t>
  </si>
  <si>
    <t>LEQRODRIGUES12@GMAIL.COM</t>
  </si>
  <si>
    <t>(64) 999694729</t>
  </si>
  <si>
    <t>GUILHERME LOURENÇO PIMENTA</t>
  </si>
  <si>
    <t>6655486</t>
  </si>
  <si>
    <t>70709581106</t>
  </si>
  <si>
    <t>75025045</t>
  </si>
  <si>
    <t>AVENIDA GOIÁS, 272.</t>
  </si>
  <si>
    <t>GUILHERMELP13@OUTLOOK.COM</t>
  </si>
  <si>
    <t>(62) 98535669</t>
  </si>
  <si>
    <t>(62) 985356691</t>
  </si>
  <si>
    <t>P14.3</t>
  </si>
  <si>
    <t>TAYANARA DAMACENA OLIVEIRA</t>
  </si>
  <si>
    <t>6766971</t>
  </si>
  <si>
    <t>70819310140</t>
  </si>
  <si>
    <t>74943040</t>
  </si>
  <si>
    <t>R GAGO COUTINHO, 000. QD 78 LT 25</t>
  </si>
  <si>
    <t>TAYNARADAMACENO@HOTMAIL.COM</t>
  </si>
  <si>
    <t>(62) 94401503</t>
  </si>
  <si>
    <t>(62) 998386230</t>
  </si>
  <si>
    <t>JESSICA MOREIRA REGIS</t>
  </si>
  <si>
    <t>6440766</t>
  </si>
  <si>
    <t>70523904185</t>
  </si>
  <si>
    <t>74494660</t>
  </si>
  <si>
    <t>RUA PADRE NELSON ANTONINO, QD 21 LT 3. QD 21 LT 30</t>
  </si>
  <si>
    <t>JARDIM SÃO JOSÉ</t>
  </si>
  <si>
    <t>JESSICAMOREIRAREGIS@GMAIL.COM</t>
  </si>
  <si>
    <t>(62) 992152962</t>
  </si>
  <si>
    <t>DINAMICA E ASSESSORIA E CONSULTORIA EMPRESARIAL EIRELI</t>
  </si>
  <si>
    <t>TIAGO FERNANDES PINHEIRO CARDOSO</t>
  </si>
  <si>
    <t>70824994183</t>
  </si>
  <si>
    <t>74255120</t>
  </si>
  <si>
    <t>RUA C161, SN. CASA 01</t>
  </si>
  <si>
    <t>PINHEIRO_CARDOSO@DISCENTE.UFG.BR</t>
  </si>
  <si>
    <t>(62) 32861236</t>
  </si>
  <si>
    <t>(62) 998247914</t>
  </si>
  <si>
    <t>FERNANDA CRUZ DURAN YULE</t>
  </si>
  <si>
    <t>6186123</t>
  </si>
  <si>
    <t>05249806163</t>
  </si>
  <si>
    <t>74565310</t>
  </si>
  <si>
    <t>RUA MACAPÁ, SN. Q73,L37</t>
  </si>
  <si>
    <t>SETOR URIAS MAGALHÃES</t>
  </si>
  <si>
    <t>DURANNYULE@GMAIL.COM</t>
  </si>
  <si>
    <t>(62) 92652217</t>
  </si>
  <si>
    <t>(62) 981683494</t>
  </si>
  <si>
    <t>UNIVERSO</t>
  </si>
  <si>
    <t>LEANDRO LAGARES LIMA</t>
  </si>
  <si>
    <t>70623959194</t>
  </si>
  <si>
    <t>74356690</t>
  </si>
  <si>
    <t>RUA RC 11, 1. QD 19 LT 18</t>
  </si>
  <si>
    <t>RESIDENCIAL REAL CONQUISTA</t>
  </si>
  <si>
    <t>LEANDROLAGARES12@GMAIL.COM</t>
  </si>
  <si>
    <t>(62) 995655158</t>
  </si>
  <si>
    <t>GEOVANNA FONTINELLE GUIMARÃES</t>
  </si>
  <si>
    <t>7303080</t>
  </si>
  <si>
    <t>70856072117</t>
  </si>
  <si>
    <t>74786610</t>
  </si>
  <si>
    <t>RUA 01, 11.</t>
  </si>
  <si>
    <t>CONJUNTO RESIDENCIAL IRISVILLE</t>
  </si>
  <si>
    <t>GEOVANNAFONTINELLEE@GMAIL.COM</t>
  </si>
  <si>
    <t>(62) 982556379</t>
  </si>
  <si>
    <t>MARIA FERNANDA VIANA FERREIRA</t>
  </si>
  <si>
    <t>70883370107</t>
  </si>
  <si>
    <t>74483460</t>
  </si>
  <si>
    <t>RUA PEDRO II, S/N. QUADRA 19, LOTE 3A</t>
  </si>
  <si>
    <t>PARQUE JOÃO BRAZ - CIDADE INDUSTRIAL</t>
  </si>
  <si>
    <t>MARIA.VIANA@DISCENTE.UFG.BR</t>
  </si>
  <si>
    <t>(62) 982190416</t>
  </si>
  <si>
    <t>PEDRO HENRIQUE BATISTA DE PAULA</t>
  </si>
  <si>
    <t>6577569</t>
  </si>
  <si>
    <t>70636437116</t>
  </si>
  <si>
    <t>74968480</t>
  </si>
  <si>
    <t>RUA RENNES, S/N. AO LADO DA PREFEITURA</t>
  </si>
  <si>
    <t>RESIDENCIAL VILLAGE GARAVELO - 2ª ETAPA</t>
  </si>
  <si>
    <t>PEDRO-HENRIQUE.B@OUTLOOK.COM</t>
  </si>
  <si>
    <t>(62) 98167305</t>
  </si>
  <si>
    <t>(62) 998167305</t>
  </si>
  <si>
    <t>FACULDADE ALFREDO NASSER</t>
  </si>
  <si>
    <t>AMANDA DE CAMPOS SOARES</t>
  </si>
  <si>
    <t>7018346</t>
  </si>
  <si>
    <t>71067237119</t>
  </si>
  <si>
    <t>74356325</t>
  </si>
  <si>
    <t>RUA JÚLIA RODRIGUES, 11. QD 11 LT 11 RESIDENCIAL SANTA FE</t>
  </si>
  <si>
    <t>RESIDENCIAL SANTA FÉ</t>
  </si>
  <si>
    <t>DECAMPOSAMANDA4@GMAIL.COM</t>
  </si>
  <si>
    <t>(62) 98624789</t>
  </si>
  <si>
    <t>(62) 986247891</t>
  </si>
  <si>
    <t>UNIFAN CENTRO UNIVERSIDARIO ALFREDO NASSER</t>
  </si>
  <si>
    <t>FABRICIA MARTINS FREIRE</t>
  </si>
  <si>
    <t>70171745698</t>
  </si>
  <si>
    <t>74230010</t>
  </si>
  <si>
    <t>AVENIDA T 15, 800. APT 1102</t>
  </si>
  <si>
    <t>FABMFREIRE@GMAIL.COM</t>
  </si>
  <si>
    <t>(62) 991157958</t>
  </si>
  <si>
    <t>DAIANY KELLEN DA SILVA ARAUJO</t>
  </si>
  <si>
    <t>75760649191</t>
  </si>
  <si>
    <t>74835530</t>
  </si>
  <si>
    <t>RUA TAMBUQUI, 331. QUADRA 186 LOTE 22</t>
  </si>
  <si>
    <t>DAIANYKELLEN30@GMAIL.COM</t>
  </si>
  <si>
    <t>(62) 985530762</t>
  </si>
  <si>
    <t>ESCOLA SUPERIOR ASSOCIADA DE GOIÂNIA</t>
  </si>
  <si>
    <t>TERESA CRISTINA VIEIRA AMORIM</t>
  </si>
  <si>
    <t>70652949193</t>
  </si>
  <si>
    <t>74775011</t>
  </si>
  <si>
    <t>RUA DOUTOR FRANCISCO LUDOVICO DE ALMEIDA, 03.</t>
  </si>
  <si>
    <t>VILA SANTA MARIA - CONJUNTO CAIÇARA</t>
  </si>
  <si>
    <t>TC0999839@GMAIL.COM</t>
  </si>
  <si>
    <t>(62) 94144119</t>
  </si>
  <si>
    <t>(62) 986004485</t>
  </si>
  <si>
    <t>FACULDADE SENSU</t>
  </si>
  <si>
    <t>FELIPE SILVA GONCALVES DE JESUS</t>
  </si>
  <si>
    <t>568907632</t>
  </si>
  <si>
    <t>01371567581</t>
  </si>
  <si>
    <t>74223052</t>
  </si>
  <si>
    <t>RUA T 36, 3386. 202</t>
  </si>
  <si>
    <t>FELIPEPORTOSEGURO@HOTMAIL.COM</t>
  </si>
  <si>
    <t>(13) 981003480</t>
  </si>
  <si>
    <t>UNIVERSIDADE ARAGUAIA</t>
  </si>
  <si>
    <t>CARLA DE SOUSA SILVA</t>
  </si>
  <si>
    <t>0435616320113</t>
  </si>
  <si>
    <t>06473494340</t>
  </si>
  <si>
    <t>RUA SR 16, 16. QUADRA 19 LOTE 7</t>
  </si>
  <si>
    <t>CARLALIRA777@GMAIL.COM</t>
  </si>
  <si>
    <t>(62) 99623444</t>
  </si>
  <si>
    <t>(62) 981285113</t>
  </si>
  <si>
    <t>ANA CLARA ESTEVÃO QUEIROZ TEIXEIRA</t>
  </si>
  <si>
    <t>03050593199</t>
  </si>
  <si>
    <t>74914370</t>
  </si>
  <si>
    <t>RUA IPIRANGA, S/N. QD. 87 LOTE 2 CASA 4</t>
  </si>
  <si>
    <t>JARDIM MARIA INÊS</t>
  </si>
  <si>
    <t>ANACLARAQUEIROZ@ICLOUD.COM</t>
  </si>
  <si>
    <t>(63) 92257427</t>
  </si>
  <si>
    <t>(62) 993983137</t>
  </si>
  <si>
    <t>ELÍRIS DE OLIVEIRA CAMARGO</t>
  </si>
  <si>
    <t>06477084180</t>
  </si>
  <si>
    <t>74610230</t>
  </si>
  <si>
    <t>RUA 259, 21. APT 208</t>
  </si>
  <si>
    <t>ELIRIS_OLIVEIRACAMARGO@OUTLOOK.COM</t>
  </si>
  <si>
    <t>(66) 984363403</t>
  </si>
  <si>
    <t>CAMILA DOS ANJOS DE FARIA</t>
  </si>
  <si>
    <t>01989053190</t>
  </si>
  <si>
    <t>74495750</t>
  </si>
  <si>
    <t>RUA ASSUNÇÃO, Q 9, L 25. Q 9, L 25, CASA - 2</t>
  </si>
  <si>
    <t>SETOR DAS NAÇÕES</t>
  </si>
  <si>
    <t>CAMILADOSANJOSDEFARIA@GMAIL.COM</t>
  </si>
  <si>
    <t>(62) 91522836</t>
  </si>
  <si>
    <t>(62) 991522836</t>
  </si>
  <si>
    <t>DINÂMICA E ASSESSORIA E CONSULTORIA EMPRESARIAL EIRELI</t>
  </si>
  <si>
    <t>ANA BEATRIZ MARTINS GARCEZ</t>
  </si>
  <si>
    <t>01476032181</t>
  </si>
  <si>
    <t>74823130</t>
  </si>
  <si>
    <t>RUA 1028, 131. APT.1603</t>
  </si>
  <si>
    <t>SETOR PEDRO LUDOVICO</t>
  </si>
  <si>
    <t>ANABEATRIZGARCEZ5@GMAIL.COM</t>
  </si>
  <si>
    <t>(62) 998649090</t>
  </si>
  <si>
    <t>CHRISTIELY FERNANDES COUTINHO</t>
  </si>
  <si>
    <t>5936401</t>
  </si>
  <si>
    <t>03299369130</t>
  </si>
  <si>
    <t>74583715</t>
  </si>
  <si>
    <t>RUA 5 DE JULHO, 02. QUADRA 02 LOTE 03</t>
  </si>
  <si>
    <t>JARDIM GRAMADO</t>
  </si>
  <si>
    <t>CHRISTIELYCOUTINHO@GMAIL.COM</t>
  </si>
  <si>
    <t>(62) 985295984</t>
  </si>
  <si>
    <t>MÔNICA LUANA LEANDRO DA SILVA</t>
  </si>
  <si>
    <t>5680504</t>
  </si>
  <si>
    <t>06008641116</t>
  </si>
  <si>
    <t>74280130</t>
  </si>
  <si>
    <t>RUA C235, 1125. AP 1401</t>
  </si>
  <si>
    <t>NOVA SUIÇA</t>
  </si>
  <si>
    <t>MONICALUANA56@GMAIL.COM</t>
  </si>
  <si>
    <t>(62) 992369998</t>
  </si>
  <si>
    <t>SABRINA DAMACENA PIRES SOARES</t>
  </si>
  <si>
    <t>6063043</t>
  </si>
  <si>
    <t>70162860102</t>
  </si>
  <si>
    <t>74740310</t>
  </si>
  <si>
    <t>RUA AR4, 215. QUADRA 10 LOTE 08</t>
  </si>
  <si>
    <t>CONJUNTO RESIDENCIAL ARUANÃ II</t>
  </si>
  <si>
    <t>SABRINADAMACENA_@HOTMAIL.COM</t>
  </si>
  <si>
    <t>(62) 81898085</t>
  </si>
  <si>
    <t>(62) 995503702</t>
  </si>
  <si>
    <t>JULIA SOUSA CAMPOS DA SILVEIRA SANTOS</t>
  </si>
  <si>
    <t>6956637</t>
  </si>
  <si>
    <t>06801449192</t>
  </si>
  <si>
    <t>74968458</t>
  </si>
  <si>
    <t>RUA NORMANDIA, S/N. QD. 84 LT. 26</t>
  </si>
  <si>
    <t>JULIASOUSACAMPOS39@GMAIL.COM</t>
  </si>
  <si>
    <t>(62) 35427114</t>
  </si>
  <si>
    <t>(62) 994948032</t>
  </si>
  <si>
    <t>IPOG - INSTITUTO DE PÓS-GRADUAÇÃO E GRADUAÇÃO</t>
  </si>
  <si>
    <t>CHRISTIANE CINTRA BITTENCOURT</t>
  </si>
  <si>
    <t>2146062</t>
  </si>
  <si>
    <t>78108551153</t>
  </si>
  <si>
    <t>74015090</t>
  </si>
  <si>
    <t>RUA DONA GERCINA BORGES TEIXEIRA, 175. CASA</t>
  </si>
  <si>
    <t>LORENZZABITTENCOURT@GMAIL.COM</t>
  </si>
  <si>
    <t>(62) 32252347</t>
  </si>
  <si>
    <t>(62) 981470080</t>
  </si>
  <si>
    <t>CENTRO UNIVERSO GOIÂNIA</t>
  </si>
  <si>
    <t>YAN ALCÂNTARA RIBEIRO</t>
  </si>
  <si>
    <t>7165807</t>
  </si>
  <si>
    <t>71199237140</t>
  </si>
  <si>
    <t>74780290</t>
  </si>
  <si>
    <t>AVENIDA PADRE JARDIM, 0000. QD44 LT09</t>
  </si>
  <si>
    <t>SANTO HILÁRIO</t>
  </si>
  <si>
    <t>YANALCANTARARIBEIRO03@GMAIL.COM</t>
  </si>
  <si>
    <t>(62) 986438895</t>
  </si>
  <si>
    <t>UNIVERSIDADE EVANGÉLICA DE SENADOR CANEDO</t>
  </si>
  <si>
    <t>LUANNA ALVES DE OLIVEIRA</t>
  </si>
  <si>
    <t>1288220</t>
  </si>
  <si>
    <t>70486878198</t>
  </si>
  <si>
    <t>74950140</t>
  </si>
  <si>
    <t>RUA L 12, 2. QD 22 LT07</t>
  </si>
  <si>
    <t>PAPILLON PARK</t>
  </si>
  <si>
    <t>LUANNADEOLIVEIRA72@OUTLOOK.COM</t>
  </si>
  <si>
    <t>(62) 994660836</t>
  </si>
  <si>
    <t>UNIFAN - CENTRO UNIVERSITÁRIO ALFREDO NASSER</t>
  </si>
  <si>
    <t>ISABELLA BÁRBARA ALVES GOME</t>
  </si>
  <si>
    <t>02266298135</t>
  </si>
  <si>
    <t>74691710</t>
  </si>
  <si>
    <t>NEGRINHO BARBOSA , 00. CASA</t>
  </si>
  <si>
    <t>ANTÔNIO BARBOSA</t>
  </si>
  <si>
    <t>ISABELLAGOMES162003@GMAIL.COM</t>
  </si>
  <si>
    <t>(62) 995760948</t>
  </si>
  <si>
    <t>FACULDADE UNIALFA</t>
  </si>
  <si>
    <t>LEANDRO EMANOEL MONTEIRO DA SILVA</t>
  </si>
  <si>
    <t>70691156107</t>
  </si>
  <si>
    <t>75262364</t>
  </si>
  <si>
    <t>SENADOR CANEDO</t>
  </si>
  <si>
    <t>RUA 103, 351. Q.52, L.4</t>
  </si>
  <si>
    <t>VILA SÃO SEBASTIÃO</t>
  </si>
  <si>
    <t>EMANOELMONTEIROSILVA38901@GMAIL.COM</t>
  </si>
  <si>
    <t>(62) 99593027</t>
  </si>
  <si>
    <t>(62) 999181086</t>
  </si>
  <si>
    <t>DINAMICA E ASSESSORIA E CONSULTORIA EMPRESARIAL EIRELI(FACUNICAMPS).</t>
  </si>
  <si>
    <t>AMANDA CALIXTO ALVES</t>
  </si>
  <si>
    <t>5603586</t>
  </si>
  <si>
    <t>04060834106</t>
  </si>
  <si>
    <t>74785430</t>
  </si>
  <si>
    <t>RUA SR 38, 0. QUADRA 50 LOTE 14 CASA 01</t>
  </si>
  <si>
    <t>AMANDACALIXTO4695@GMAIL.COM</t>
  </si>
  <si>
    <t>(62) 98121443</t>
  </si>
  <si>
    <t>(62) 981214439</t>
  </si>
  <si>
    <t>UNIEVANGÉLICA - CAMPUS SENADOR CANEDO</t>
  </si>
  <si>
    <t>RAFAELA PIRES DE SOUZA</t>
  </si>
  <si>
    <t>03983612156</t>
  </si>
  <si>
    <t>RUA 20, 238. EDIFÍCIO FRIBURGO</t>
  </si>
  <si>
    <t>RAFAELAPIRES812@GMAIL.COM</t>
  </si>
  <si>
    <t>(62) 996356854</t>
  </si>
  <si>
    <t>UNIVERSIDADE ESTÁCIO DE SÁ</t>
  </si>
  <si>
    <t>DANIELLY ALVES FERREIRA</t>
  </si>
  <si>
    <t>6123055</t>
  </si>
  <si>
    <t>10405598599</t>
  </si>
  <si>
    <t>74610090</t>
  </si>
  <si>
    <t>RUA 225, 71. Q 117 LTD 25</t>
  </si>
  <si>
    <t>FERREIRAALVES160@GMAIL.COM</t>
  </si>
  <si>
    <t>(74) 988624806</t>
  </si>
  <si>
    <t>YURI MARTINS BRANDÃO</t>
  </si>
  <si>
    <t>6182538</t>
  </si>
  <si>
    <t>70262647109</t>
  </si>
  <si>
    <t>74565630</t>
  </si>
  <si>
    <t>AVENIDA SOLAR, 384.</t>
  </si>
  <si>
    <t>YURIMARTINSBRANDAO12@ICLOUD.COM</t>
  </si>
  <si>
    <t>(62) 30914065</t>
  </si>
  <si>
    <t>(62) 992743952</t>
  </si>
  <si>
    <t>JANETE FRANÇA DE OLIVEIRA ROCHA</t>
  </si>
  <si>
    <t>4517116</t>
  </si>
  <si>
    <t>01483903150</t>
  </si>
  <si>
    <t>74460730</t>
  </si>
  <si>
    <t>RUA BORORÓS, 00. QD.09 LT.01 C01</t>
  </si>
  <si>
    <t>FRANCAJANETEROCHA@GMAIL.COM</t>
  </si>
  <si>
    <t>(62) 84054801</t>
  </si>
  <si>
    <t>(62) 984054801</t>
  </si>
  <si>
    <t>FACULDADE UNIDA DE CAMPINAS(FACUNICAMPS)</t>
  </si>
  <si>
    <t>JOSÉ CARLOS PIRES REZENDE FILHO</t>
  </si>
  <si>
    <t>07649230139</t>
  </si>
  <si>
    <t>RUA 32, 915. BLOCO D AP 804</t>
  </si>
  <si>
    <t>PIRESJ734@GMAIL.COM</t>
  </si>
  <si>
    <t>(64) 981776500</t>
  </si>
  <si>
    <t>FELIPE DE FREITAS CARNEIRO RODRIGUES</t>
  </si>
  <si>
    <t>5462026</t>
  </si>
  <si>
    <t>04828986154</t>
  </si>
  <si>
    <t>74810260</t>
  </si>
  <si>
    <t>RUA 59, 474. APT 101</t>
  </si>
  <si>
    <t>FELIPEFC400@GMAIL.COM</t>
  </si>
  <si>
    <t>(62) 982083035</t>
  </si>
  <si>
    <t>LUÍZA VIDIGAL SILVA</t>
  </si>
  <si>
    <t>05069754106</t>
  </si>
  <si>
    <t>74230025</t>
  </si>
  <si>
    <t>RUA T 37, 3659. EDIFÍCIO JOÃO PAULO I</t>
  </si>
  <si>
    <t>LUIZAVIDIGAL01@HOTMAIL.COM</t>
  </si>
  <si>
    <t>(62) 995553928</t>
  </si>
  <si>
    <t>PUC PONTIFÍCIA UNIVERSIDADE CATÓLICA DE GOIÁS</t>
  </si>
  <si>
    <t>BRUNO ALVES GALDINO</t>
  </si>
  <si>
    <t>26541408</t>
  </si>
  <si>
    <t>05730054190</t>
  </si>
  <si>
    <t>78645000</t>
  </si>
  <si>
    <t>VILA RICA</t>
  </si>
  <si>
    <t>AV. BAHIA, 182. CASA</t>
  </si>
  <si>
    <t>INCONFIDENTES</t>
  </si>
  <si>
    <t>BRUNO976XCVBCX@GMAIL.COM</t>
  </si>
  <si>
    <t>(66) 984617120</t>
  </si>
  <si>
    <t>ESTÁCIO DE GOIÁS</t>
  </si>
  <si>
    <t>ANNA BEATRIZ ALVES RIBAS</t>
  </si>
  <si>
    <t>5975778</t>
  </si>
  <si>
    <t>70093663145</t>
  </si>
  <si>
    <t>74170050</t>
  </si>
  <si>
    <t>RUA 141, 0. BLOCO 1, APART. 301, QD. 61</t>
  </si>
  <si>
    <t>ANNABEATRIZARIBAS@GMAIL.COM</t>
  </si>
  <si>
    <t>(62) 991204702</t>
  </si>
  <si>
    <t>IPOG</t>
  </si>
  <si>
    <t>DANIELLE CRISTINA SILVA SOUSA</t>
  </si>
  <si>
    <t>4828186</t>
  </si>
  <si>
    <t>04891703237</t>
  </si>
  <si>
    <t>74594079</t>
  </si>
  <si>
    <t>RUA RB 3, 3. QUADRA 5 LOTE 1</t>
  </si>
  <si>
    <t>SETOR ALTO DO VALE</t>
  </si>
  <si>
    <t>DANIELLE.DARLLI@GMAIL.COM</t>
  </si>
  <si>
    <t>(62) 998126296</t>
  </si>
  <si>
    <t>FACULDADE ESTACIO DE SÁ DE GOIANIA</t>
  </si>
  <si>
    <t>HERMINIO DA SILVA LUSTOSA NETO</t>
  </si>
  <si>
    <t>4247465</t>
  </si>
  <si>
    <t>00284154180</t>
  </si>
  <si>
    <t>74921335</t>
  </si>
  <si>
    <t>RUA X 26, S/N. Q 14 L 07</t>
  </si>
  <si>
    <t>SETOR TOCANTINS</t>
  </si>
  <si>
    <t>HSLNETO@HOTMAIL.COM</t>
  </si>
  <si>
    <t>(62) 991430117</t>
  </si>
  <si>
    <t>10 M54.4 E 10 M51.1</t>
  </si>
  <si>
    <t>LÍVIA OLIVEIRA MAIA</t>
  </si>
  <si>
    <t>05075138195</t>
  </si>
  <si>
    <t>74363400</t>
  </si>
  <si>
    <t>AVENIDA CÉSAR LATTES, S/N. QD.71 LT.36</t>
  </si>
  <si>
    <t>SETOR NOVO HORIZONTE</t>
  </si>
  <si>
    <t>LIVIA172102@HOTMAIL.COM</t>
  </si>
  <si>
    <t>(62) 32113287</t>
  </si>
  <si>
    <t>(62) 982562417</t>
  </si>
  <si>
    <t>DARIO RODRIGUES DA SILVA</t>
  </si>
  <si>
    <t>05327496260</t>
  </si>
  <si>
    <t>74055080</t>
  </si>
  <si>
    <t>RUA 79, 455.</t>
  </si>
  <si>
    <t>DARIO947.YL@GMAIL.COM</t>
  </si>
  <si>
    <t>(62) 981147594</t>
  </si>
  <si>
    <t>FACULDADE UNIDA DE CAMPINAS-FACUNICAMPS</t>
  </si>
  <si>
    <t>EVELYN GABRIELLA LINHARES DE SOUZA</t>
  </si>
  <si>
    <t>27936708</t>
  </si>
  <si>
    <t>70352589140</t>
  </si>
  <si>
    <t>74463660</t>
  </si>
  <si>
    <t>RUA 20, QD. 46 N08. CASA 2</t>
  </si>
  <si>
    <t>SETOR SANTOS DUMONT</t>
  </si>
  <si>
    <t>EVELYNGABRIELLA25@HOTMAIL.COM</t>
  </si>
  <si>
    <t>(66) 984020717</t>
  </si>
  <si>
    <t>NICOLLI MORAES DE SOUSA MACHADO</t>
  </si>
  <si>
    <t>7002155</t>
  </si>
  <si>
    <t>04318254160</t>
  </si>
  <si>
    <t>74020120</t>
  </si>
  <si>
    <t>RUA DOS COMERCIÁRIOS, 199. APTO 2102 - PARK LIVING MUTIRAMA</t>
  </si>
  <si>
    <t>NICOLLIMORAESMACHADO@GMAIL.COM</t>
  </si>
  <si>
    <t>(62) 83039313</t>
  </si>
  <si>
    <t>(62) 983039313</t>
  </si>
  <si>
    <t>ANA LUIZA MEDEIROS GONCALVES</t>
  </si>
  <si>
    <t>0512515520147</t>
  </si>
  <si>
    <t>70545038138</t>
  </si>
  <si>
    <t>74075150</t>
  </si>
  <si>
    <t>RUA 16 A, 536. AP 204. ED. SATURNO</t>
  </si>
  <si>
    <t>ANALUIZAMEDEIROSGONCALVES0@GMAIL.COM</t>
  </si>
  <si>
    <t>(63) 992171892</t>
  </si>
  <si>
    <t>LAURA TELES DE OLIVEIRA MONTALVAO</t>
  </si>
  <si>
    <t>7061167</t>
  </si>
  <si>
    <t>71142432190</t>
  </si>
  <si>
    <t>74030030</t>
  </si>
  <si>
    <t>RUA 15, 364. APT 302</t>
  </si>
  <si>
    <t>LAURATLES1305@GMAIL.COM</t>
  </si>
  <si>
    <t>(62) 32237039</t>
  </si>
  <si>
    <t>(62) 981049551</t>
  </si>
  <si>
    <t>CARMELITA RODRIGUES ROCHA DE SOUZA</t>
  </si>
  <si>
    <t>3176801</t>
  </si>
  <si>
    <t>78108047153</t>
  </si>
  <si>
    <t>74986310</t>
  </si>
  <si>
    <t>AVENIDA DOUTOR IGNÁCIO XAVIER DA SILVA, SN. QD.38 LT.01</t>
  </si>
  <si>
    <t>GAPPARTICIPA1@GMAIL.COM</t>
  </si>
  <si>
    <t>(62) 999583092</t>
  </si>
  <si>
    <t>UNIP - UNIVERSIDADE PAULISTA</t>
  </si>
  <si>
    <t>STELLA DE PADUA CAMPOS COELHO</t>
  </si>
  <si>
    <t>6022998</t>
  </si>
  <si>
    <t>05561626175</t>
  </si>
  <si>
    <t>74835085</t>
  </si>
  <si>
    <t>AVENIDA T 14, 300.</t>
  </si>
  <si>
    <t>SERRINHA</t>
  </si>
  <si>
    <t>STELLADEPADUA@GMAIL.COM</t>
  </si>
  <si>
    <t>(62) 999293664</t>
  </si>
  <si>
    <t>ANDRESSA MARIA DE SOUSA SILVA</t>
  </si>
  <si>
    <t>3486862</t>
  </si>
  <si>
    <t>05977400381</t>
  </si>
  <si>
    <t>74083160</t>
  </si>
  <si>
    <t>RUA 91A, 103. Q 13 LT14 CASA 1</t>
  </si>
  <si>
    <t>ANDRESSASOUSA31@GMAIL.COM</t>
  </si>
  <si>
    <t>(62) 93983306</t>
  </si>
  <si>
    <t>(62) 993983306</t>
  </si>
  <si>
    <t>CARITIS CRISTINA CARDOSO</t>
  </si>
  <si>
    <t>4296859</t>
  </si>
  <si>
    <t>00242197116</t>
  </si>
  <si>
    <t>74843070</t>
  </si>
  <si>
    <t>RUA CUIABÁ, 180. RESIDENCIAL CONQUIST, AP2404</t>
  </si>
  <si>
    <t>CRISTINA_CARITIS@HOTMAIL.COM</t>
  </si>
  <si>
    <t>(62) 92875044</t>
  </si>
  <si>
    <t>(62) 992875044</t>
  </si>
  <si>
    <t>MYRIAN EDUARDA DA SILVA MENDES</t>
  </si>
  <si>
    <t>6562776</t>
  </si>
  <si>
    <t>70624629180</t>
  </si>
  <si>
    <t>74943230</t>
  </si>
  <si>
    <t>RUA IMPERATRIZ, 13. QD 111, LT 13</t>
  </si>
  <si>
    <t>MYRIANMNDS@HOTMAIL.COM</t>
  </si>
  <si>
    <t>(62) 98560097</t>
  </si>
  <si>
    <t>(62) 985600975</t>
  </si>
  <si>
    <t>PONTIFÍCIA UNIVERSIDADE CATÓLICA DE GOIAS</t>
  </si>
  <si>
    <t>ROSILDA CARDOZO DURÃES</t>
  </si>
  <si>
    <t>10075013592</t>
  </si>
  <si>
    <t>74960560</t>
  </si>
  <si>
    <t>AVENIDA CENTRAL, SN. PRÓXIMO IGREJA ASSEMBLÉIA</t>
  </si>
  <si>
    <t>PARQUE IBIRAPUERA</t>
  </si>
  <si>
    <t>ROSILDA2703@GMAIL.COM</t>
  </si>
  <si>
    <t>(77) 98126024</t>
  </si>
  <si>
    <t>(77) 999506456</t>
  </si>
  <si>
    <t>JULIA BERNARDI BERNO</t>
  </si>
  <si>
    <t>20446012</t>
  </si>
  <si>
    <t>05248440971</t>
  </si>
  <si>
    <t>RUA T 28, 1755. APART 1301</t>
  </si>
  <si>
    <t>JULIABBERNOOO@GMAIL.COM</t>
  </si>
  <si>
    <t>(64) 92428391</t>
  </si>
  <si>
    <t>(64) 992428391</t>
  </si>
  <si>
    <t>ROSIMAYRE ALVARENGA PEREIRA</t>
  </si>
  <si>
    <t>9523129</t>
  </si>
  <si>
    <t>70722657161</t>
  </si>
  <si>
    <t>74850330</t>
  </si>
  <si>
    <t>RUA ALMIRANTE BARROSO, 03. QUADRA 17 LOTE 03</t>
  </si>
  <si>
    <t>JARDIM DA LUZ</t>
  </si>
  <si>
    <t>ALVARENGAMARY0@GMAIL.COM</t>
  </si>
  <si>
    <t>(62) 999401082</t>
  </si>
  <si>
    <t>AMANDA PAIVA MEDEIROS</t>
  </si>
  <si>
    <t>07339028129</t>
  </si>
  <si>
    <t>74413190</t>
  </si>
  <si>
    <t>RUA BENEDITO ZUPELE, 20. Q122. A</t>
  </si>
  <si>
    <t>MEDEIROSAMADAPAIVA@GMAIL.COM</t>
  </si>
  <si>
    <t>(64) 981474087</t>
  </si>
  <si>
    <t>CENTRO UNIVERSITÁRIO DE GOIÁS - UNIGOIÀS</t>
  </si>
  <si>
    <t>GISELE DA SILVA FREITAS</t>
  </si>
  <si>
    <t>8096504</t>
  </si>
  <si>
    <t>60304522317</t>
  </si>
  <si>
    <t>74515030</t>
  </si>
  <si>
    <t>RUA JOSÉ HERMANO, 623. QUADRA 10 LOTE 2A</t>
  </si>
  <si>
    <t>GISELESILFRAN@GMAIL.COM</t>
  </si>
  <si>
    <t>(62) 32336878</t>
  </si>
  <si>
    <t>(62) 996720159</t>
  </si>
  <si>
    <t>SARAH BEATRIZ MARTINS DE BARCELOS CRUZ</t>
  </si>
  <si>
    <t>71071204173</t>
  </si>
  <si>
    <t>74673340</t>
  </si>
  <si>
    <t>RUA J19, SEM NÚMER. Q. 80 LT 03</t>
  </si>
  <si>
    <t>SETOR JAÓ</t>
  </si>
  <si>
    <t>SARAHMBCRUZ02@GMAIL.COM</t>
  </si>
  <si>
    <t>(62) 984236354</t>
  </si>
  <si>
    <t>ARTHUR MORAES OLIVEIRA</t>
  </si>
  <si>
    <t>70213681196</t>
  </si>
  <si>
    <t>74215030</t>
  </si>
  <si>
    <t>RUA T 27, 1468.</t>
  </si>
  <si>
    <t>ARTHURMORAES.1605@GMAIL.COM</t>
  </si>
  <si>
    <t>(62) 996510080</t>
  </si>
  <si>
    <t>PABLINE LACERDA HONORATO</t>
  </si>
  <si>
    <t>5569473</t>
  </si>
  <si>
    <t>03554770175</t>
  </si>
  <si>
    <t>74343240</t>
  </si>
  <si>
    <t>AVENIDA COPACABANA, 145. 803 ROSSO</t>
  </si>
  <si>
    <t>PABLINELACERDAHONORATO@GMAIL.COM</t>
  </si>
  <si>
    <t>(62) 982780740</t>
  </si>
  <si>
    <t>JOSÉ EDUARDO FERREIRA RUIVO NETO</t>
  </si>
  <si>
    <t>07495643188</t>
  </si>
  <si>
    <t>74471150</t>
  </si>
  <si>
    <t>RUA DO CAFÉ, 146. CONDOMINIO RES. BOSQUE DOS BURITIS</t>
  </si>
  <si>
    <t>FAZENDA CAVEIRAS - RESIDENCIAL BOSQUE DOS BURITIS</t>
  </si>
  <si>
    <t>JE13452244@GMAIL.COM</t>
  </si>
  <si>
    <t>(64) 99890670</t>
  </si>
  <si>
    <t>(64) 99941693</t>
  </si>
  <si>
    <t>DARLA VILHENA MOTA OLIVEIRA</t>
  </si>
  <si>
    <t>6318711</t>
  </si>
  <si>
    <t>01086258185</t>
  </si>
  <si>
    <t>74343380</t>
  </si>
  <si>
    <t>AVENIDA INDEPENDÊNCIA, S/N. QD 104 LOTE 01</t>
  </si>
  <si>
    <t>DARLA.CARRIJO@GMAIL.COM</t>
  </si>
  <si>
    <t>(62) 992288690</t>
  </si>
  <si>
    <t>UNIVERSO SALGADO DE OLIVEIRA</t>
  </si>
  <si>
    <t>ARTUR MARQUES DE CARVALHO</t>
  </si>
  <si>
    <t>01904934102</t>
  </si>
  <si>
    <t>74330045</t>
  </si>
  <si>
    <t>RUA FLORENÇA, 0. QD.34 LT.02</t>
  </si>
  <si>
    <t>ARTURCARVALHO976@GMAIL.COM</t>
  </si>
  <si>
    <t>(62) 86055439</t>
  </si>
  <si>
    <t>(62) 986055439</t>
  </si>
  <si>
    <t>PHYLIPE NERES DE MORAIS</t>
  </si>
  <si>
    <t>6310952</t>
  </si>
  <si>
    <t>75453460172</t>
  </si>
  <si>
    <t>74715400</t>
  </si>
  <si>
    <t>RUA PONTA GROSSA 0 QD 02 LT 15, 00. QD 02 LT15</t>
  </si>
  <si>
    <t>PHYLIPENERES@HOTMAIL.COM</t>
  </si>
  <si>
    <t>(62) 36243797</t>
  </si>
  <si>
    <t>(62) 994210953</t>
  </si>
  <si>
    <t>UNIVERSIDADE PAULISTA - UNIP</t>
  </si>
  <si>
    <t>PEDRO DINIZ PAIVA DE OLIVEIRA</t>
  </si>
  <si>
    <t>08410150158</t>
  </si>
  <si>
    <t>74805270</t>
  </si>
  <si>
    <t>RUA 24, 191. APT 103</t>
  </si>
  <si>
    <t>PEDRO493DINIZ@GMAIL.COM</t>
  </si>
  <si>
    <t>(62) 991433345</t>
  </si>
  <si>
    <t>MARIA TALYNY DOS SANTOS COSTA</t>
  </si>
  <si>
    <t>07870571342</t>
  </si>
  <si>
    <t>74923065</t>
  </si>
  <si>
    <t>RUA ADELINA REIS E SILVA, 00. QD351A LT22</t>
  </si>
  <si>
    <t>CHÁCARAS SÃO PEDRO</t>
  </si>
  <si>
    <t>TMARIATALYNYDOSSANTOS@GMAIL.COM</t>
  </si>
  <si>
    <t>(62) 99262862</t>
  </si>
  <si>
    <t>(62) 994416634</t>
  </si>
  <si>
    <t>ARIANE DIAS DA LUZ</t>
  </si>
  <si>
    <t>7263405</t>
  </si>
  <si>
    <t>06535988317</t>
  </si>
  <si>
    <t>74986560</t>
  </si>
  <si>
    <t>RUA DAS ORQUÍDEAS, S/N. CASA 01</t>
  </si>
  <si>
    <t>ANEZYNHA01@HOTMAIL.COM</t>
  </si>
  <si>
    <t>(62) 982375037</t>
  </si>
  <si>
    <t>LUCAS FRANCO CIRINO</t>
  </si>
  <si>
    <t>7497372</t>
  </si>
  <si>
    <t>70409432121</t>
  </si>
  <si>
    <t>74663230</t>
  </si>
  <si>
    <t>RUA DOS CRAVOS, S/N. Q.56, L.12</t>
  </si>
  <si>
    <t>GOIÂNIA 2</t>
  </si>
  <si>
    <t>LUCASFC193@GMAIL.COM</t>
  </si>
  <si>
    <t>(62) 981152692</t>
  </si>
  <si>
    <t>ISABELA VALENTINO VIEIRA</t>
  </si>
  <si>
    <t>71053990154</t>
  </si>
  <si>
    <t>75195000</t>
  </si>
  <si>
    <t>BONFINÓPOLIS</t>
  </si>
  <si>
    <t>RUA VICENTE FALEIRO DA SILVA, S/N. QD 10 LT 09</t>
  </si>
  <si>
    <t>CAMPO BELO</t>
  </si>
  <si>
    <t>ISABELAVALENTINO254@GMAIL.COM</t>
  </si>
  <si>
    <t>(62) 985477526</t>
  </si>
  <si>
    <t>UNIP UNIVERSIDADE PAULISTA GOIÂNIA</t>
  </si>
  <si>
    <t>LUÍS ADRIANO CUNHA MACHADO</t>
  </si>
  <si>
    <t>7635737</t>
  </si>
  <si>
    <t>71066513112</t>
  </si>
  <si>
    <t>74353010</t>
  </si>
  <si>
    <t>RUA PRESIDENTE AFONSO PENA, 31. QD 2 LT 3</t>
  </si>
  <si>
    <t>JARDIM PRESIDENTE</t>
  </si>
  <si>
    <t>LUIS-ADRIANO101@HOTMAIL.COM</t>
  </si>
  <si>
    <t>(62) 31001260</t>
  </si>
  <si>
    <t>(62) 981477514</t>
  </si>
  <si>
    <t>SILENE JACINTO DA SILVA</t>
  </si>
  <si>
    <t>4322020</t>
  </si>
  <si>
    <t>94089051134</t>
  </si>
  <si>
    <t>74455360</t>
  </si>
  <si>
    <t>AV JOAO RITA DIAS , LOTE 06. Q 105 L 06</t>
  </si>
  <si>
    <t>JARDIM LEBLON</t>
  </si>
  <si>
    <t>SILENEJACINTOA@GMAIL.COM</t>
  </si>
  <si>
    <t>(62) 991546119</t>
  </si>
  <si>
    <t>DAFINY MORGANA SILVA OLIVEIRA</t>
  </si>
  <si>
    <t>70150345143</t>
  </si>
  <si>
    <t>74573050</t>
  </si>
  <si>
    <t>VIA DE ACESSO 2, 31. QD D LOTE 7 GOIANIA</t>
  </si>
  <si>
    <t>GRANJA CRUZEIRO DO SUL</t>
  </si>
  <si>
    <t>OLIVEIRAMORGANA18@GMAIL.COM</t>
  </si>
  <si>
    <t>(62) 86415832</t>
  </si>
  <si>
    <t>(62) 986415832</t>
  </si>
  <si>
    <t>FAC UNICAMPS</t>
  </si>
  <si>
    <t>GIOVANNA SILVA FERNANDES</t>
  </si>
  <si>
    <t>7760440</t>
  </si>
  <si>
    <t>70542460122</t>
  </si>
  <si>
    <t>74223045</t>
  </si>
  <si>
    <t>RUA T 38, 975. APART 901</t>
  </si>
  <si>
    <t>GIOVANNASF0910@GMAIL.COM</t>
  </si>
  <si>
    <t>(62) 983394621</t>
  </si>
  <si>
    <t>ARAGUAIA</t>
  </si>
  <si>
    <t>HENRIQUE MORAES MARTINS</t>
  </si>
  <si>
    <t>70724682180</t>
  </si>
  <si>
    <t>74465543</t>
  </si>
  <si>
    <t>RUA SN 4, Q1 L8 C10.</t>
  </si>
  <si>
    <t>SETOR NOROESTE</t>
  </si>
  <si>
    <t>HENRIQUEMORAESFLAMENGUISTA@GMAIL.COM</t>
  </si>
  <si>
    <t>(62) 985454374</t>
  </si>
  <si>
    <t>ELISAMA DIAS MATOS</t>
  </si>
  <si>
    <t>6874842</t>
  </si>
  <si>
    <t>07803353177</t>
  </si>
  <si>
    <t>74952510</t>
  </si>
  <si>
    <t>RUA J 80, 0. QD54 LT02</t>
  </si>
  <si>
    <t>MANSÕES PARAÍSO</t>
  </si>
  <si>
    <t>ELISAMA.DIAS@ESTUDANTE.UNIARAGUAIA.EDU.BR</t>
  </si>
  <si>
    <t>(62) 981941819</t>
  </si>
  <si>
    <t>JOÃO HENRIQUE DA SILVA BARBOSA</t>
  </si>
  <si>
    <t>70306686180</t>
  </si>
  <si>
    <t>74371120</t>
  </si>
  <si>
    <t>RUA RT 8, SN. QUADRA 03, LOTE 08</t>
  </si>
  <si>
    <t>RESIDENCIAL TALISMÃ</t>
  </si>
  <si>
    <t>JHENRI.2010@HOTMAIL.COM</t>
  </si>
  <si>
    <t>(62) 999718775</t>
  </si>
  <si>
    <t>FACULDADE PADRÃO</t>
  </si>
  <si>
    <t>MATHEUS LIMA DOS SANTOS</t>
  </si>
  <si>
    <t>05998155157</t>
  </si>
  <si>
    <t>74805020</t>
  </si>
  <si>
    <t>AVENIDA A, 523A. CASA</t>
  </si>
  <si>
    <t>MATHEUS062.LIMA@GMAIL.COM</t>
  </si>
  <si>
    <t>(62) 981739258</t>
  </si>
  <si>
    <t>EMILLY ALVARENGA GOMES</t>
  </si>
  <si>
    <t>70857103148</t>
  </si>
  <si>
    <t>74785380</t>
  </si>
  <si>
    <t>RUA SR 43, 00. QUADRA 43 LOTE 11</t>
  </si>
  <si>
    <t>EMILLYALVARENGA701@GMAIL.COM</t>
  </si>
  <si>
    <t>(62) 981389300</t>
  </si>
  <si>
    <t>VICTOR ALEXANDRE FERNANDES PIMENTEL</t>
  </si>
  <si>
    <t>05119900143</t>
  </si>
  <si>
    <t>RUA 32, 0. QD. A-19, LT. 17, APTO 5</t>
  </si>
  <si>
    <t>VICTORPIMENTEL2312@GMAIL.COM</t>
  </si>
  <si>
    <t>(62) 85748391</t>
  </si>
  <si>
    <t>(62) 985748391</t>
  </si>
  <si>
    <t>FACULDADE UNICAMBURY</t>
  </si>
  <si>
    <t>YURI DENIZAR ROSA SANTANA</t>
  </si>
  <si>
    <t>6491623</t>
  </si>
  <si>
    <t>03847809113</t>
  </si>
  <si>
    <t>74942300</t>
  </si>
  <si>
    <t>RUA RAUL POMPÉIA, Q.299 LT19. 0</t>
  </si>
  <si>
    <t>WYURIW@GMAIL.COM</t>
  </si>
  <si>
    <t>(62) 98629975</t>
  </si>
  <si>
    <t>(62) 986299753</t>
  </si>
  <si>
    <t>FREDERICK DOUGLAS RODRIGUES COSTA</t>
  </si>
  <si>
    <t>5421151</t>
  </si>
  <si>
    <t>03410348190</t>
  </si>
  <si>
    <t>74030020</t>
  </si>
  <si>
    <t>ALAMEDA DO BOTAFOGO, 136. CASA 2</t>
  </si>
  <si>
    <t>FREDERICK1DOUGLAS@GMAIL.COM</t>
  </si>
  <si>
    <t>(62) 993410084</t>
  </si>
  <si>
    <t>ANDRESSA FERREIRA DIAS FEITOSA</t>
  </si>
  <si>
    <t>7188563</t>
  </si>
  <si>
    <t>06920370123</t>
  </si>
  <si>
    <t>74705170</t>
  </si>
  <si>
    <t>AVENIDA CANAÃ, 1056. QUADRA 100 LT 19</t>
  </si>
  <si>
    <t>ANDRESSAD56J@GMAIL.COM</t>
  </si>
  <si>
    <t>(62) 992025778</t>
  </si>
  <si>
    <t>WILVANY FERREIRA PAISLANDIM LOPES</t>
  </si>
  <si>
    <t>4858482</t>
  </si>
  <si>
    <t>02211163114</t>
  </si>
  <si>
    <t>74343480</t>
  </si>
  <si>
    <t>RUA DA PESCADA, 32. QD.32 LT.21</t>
  </si>
  <si>
    <t>WILL_PAISLANDIM@HOTMAIL.COM</t>
  </si>
  <si>
    <t>(62) 991755903</t>
  </si>
  <si>
    <t>CENTRO UNIVERSITÁRIO ALVES FARIA</t>
  </si>
  <si>
    <t>MARIA VITÓRIA GALVÃO SILVA NUNES</t>
  </si>
  <si>
    <t>08000134500</t>
  </si>
  <si>
    <t>RUA 24, 395. RESIDENCIAL SANTA PAULA FRASSINETTI</t>
  </si>
  <si>
    <t>BOLT04352@GMAIL.COM</t>
  </si>
  <si>
    <t>(75) 98881471</t>
  </si>
  <si>
    <t>(75) 988814713</t>
  </si>
  <si>
    <t>SAMYA RIBEIRO OLIVEIRA</t>
  </si>
  <si>
    <t>7271968</t>
  </si>
  <si>
    <t>08751908123</t>
  </si>
  <si>
    <t>74815350</t>
  </si>
  <si>
    <t>RUA UBERABA, 0. QUADRA 37 LOTE 7A</t>
  </si>
  <si>
    <t>VILA ALTO DA GLÓRIA</t>
  </si>
  <si>
    <t>SAMYA28053@GMAIL.COM</t>
  </si>
  <si>
    <t>(62) 98203578</t>
  </si>
  <si>
    <t>(62) 982035785</t>
  </si>
  <si>
    <t>FASAM</t>
  </si>
  <si>
    <t>NEURILAN PEREIRA DA SILVA</t>
  </si>
  <si>
    <t>02966650290</t>
  </si>
  <si>
    <t>74935460</t>
  </si>
  <si>
    <t>RUA H 45, S/N. ESQ/ H18 QD.51 LT. 12</t>
  </si>
  <si>
    <t>NEURASILVA2019@GMAIL.COM</t>
  </si>
  <si>
    <t>(62) 98565504</t>
  </si>
  <si>
    <t>(62) 998565504</t>
  </si>
  <si>
    <t>FABIO RODRIGUES RAMOS ROCHA</t>
  </si>
  <si>
    <t>70720758106</t>
  </si>
  <si>
    <t>74357651</t>
  </si>
  <si>
    <t>AVENIDA PORTO DOURADO, 1. BLOCO 13A, 301.</t>
  </si>
  <si>
    <t>RESIDENCIAL PORTO DOURADO</t>
  </si>
  <si>
    <t>FABIORODRIGUESRAMOSROCHA@GMAIL.COM</t>
  </si>
  <si>
    <t>(62) 98607192</t>
  </si>
  <si>
    <t>(62) 986071921</t>
  </si>
  <si>
    <t>THAMYRIS DE SOUSA SILVA</t>
  </si>
  <si>
    <t>07832863170</t>
  </si>
  <si>
    <t>74465050</t>
  </si>
  <si>
    <t>RUA BELO HORIZONTE, 0. QUADRA 171, LOTE 03</t>
  </si>
  <si>
    <t>JARDIM NOVA ESPERANÇA</t>
  </si>
  <si>
    <t>THAMYRISOUSA08@GMAIL.COM</t>
  </si>
  <si>
    <t>(62) 96490949</t>
  </si>
  <si>
    <t>(62) 996490949</t>
  </si>
  <si>
    <t>UNIALFA UNIDADE PERIMETRAL</t>
  </si>
  <si>
    <t>JOÃO VITOR DE ANDRADE SANTOS</t>
  </si>
  <si>
    <t>5306567</t>
  </si>
  <si>
    <t>70229551157</t>
  </si>
  <si>
    <t>74482320</t>
  </si>
  <si>
    <t>ALAMEDA DAS MAGNÓLIAS, SN. QD 10 LT 7 COMUNIDADE LUZ DA VIDA</t>
  </si>
  <si>
    <t>SÍTIOS DE RECREIO DOS BANDEIRANTES</t>
  </si>
  <si>
    <t>JV_ANDRADE@HOTMAIL.COM</t>
  </si>
  <si>
    <t>(62) 992524526</t>
  </si>
  <si>
    <t>GABRIELLA PAULA CARVELO DE MATOS MORAIS</t>
  </si>
  <si>
    <t>7113973</t>
  </si>
  <si>
    <t>70423658107</t>
  </si>
  <si>
    <t>74335040</t>
  </si>
  <si>
    <t>RUA CASSIMIRO DE ABREU, 0. QD 17 LT 28</t>
  </si>
  <si>
    <t>ANHANGUERA</t>
  </si>
  <si>
    <t>GABIPCARVELO@GMAIL.COM</t>
  </si>
  <si>
    <t>(62) 994504710</t>
  </si>
  <si>
    <t>JESSIKA EMILLY BARBOSA DE SENA</t>
  </si>
  <si>
    <t>05736821192</t>
  </si>
  <si>
    <t>74955170</t>
  </si>
  <si>
    <t>AVENIDA CIANITA, 0. QD-88, LT-8</t>
  </si>
  <si>
    <t>JESSISENA80@GMAIL.COM</t>
  </si>
  <si>
    <t>(62) 32127200</t>
  </si>
  <si>
    <t>(62) 992410314</t>
  </si>
  <si>
    <t>VITORIA CARDOSO PINHEIRO</t>
  </si>
  <si>
    <t>2179623780</t>
  </si>
  <si>
    <t>09563313518</t>
  </si>
  <si>
    <t>74932550</t>
  </si>
  <si>
    <t>RUA 34 E, SN. PRÓXIMO A IGREJA VIDEIRA</t>
  </si>
  <si>
    <t>GARAVELO RESIDENCIAL PARK</t>
  </si>
  <si>
    <t>VIVICARDOSO381@GMAIL.COM</t>
  </si>
  <si>
    <t>(62) 996593911</t>
  </si>
  <si>
    <t>JOÃO GUILHERME RESENDE FERREIRA</t>
  </si>
  <si>
    <t>03426758180</t>
  </si>
  <si>
    <t>74663520</t>
  </si>
  <si>
    <t>AVENIDA PEDRO PAULO DE SOUZA, 1750. RES. FELICITÁ</t>
  </si>
  <si>
    <t>JGRESENDEFERRREIRA@GMAIL.COM</t>
  </si>
  <si>
    <t>(62) 99141289</t>
  </si>
  <si>
    <t>(62) 991412467</t>
  </si>
  <si>
    <t>ISADORA BORGES BARBACENA</t>
  </si>
  <si>
    <t>04713331155</t>
  </si>
  <si>
    <t>74015020</t>
  </si>
  <si>
    <t>RUA 16, 160. APARTAMENTO 903</t>
  </si>
  <si>
    <t>ISABORGESCENA@GMAIL.COM</t>
  </si>
  <si>
    <t>(62) 983091969</t>
  </si>
  <si>
    <t>DAFNE VELOSO DIAS</t>
  </si>
  <si>
    <t>70801656109</t>
  </si>
  <si>
    <t>74470534</t>
  </si>
  <si>
    <t>RUA SV 51, 24. CONDOMÍNIO BOSQUE DOS BURITIS</t>
  </si>
  <si>
    <t>RESIDENCIAL SOLAR VILLE</t>
  </si>
  <si>
    <t>DAFNEVELOSO2016@GMAIL.COM</t>
  </si>
  <si>
    <t>(62) 999331304</t>
  </si>
  <si>
    <t>SABRINA DE SOUSA</t>
  </si>
  <si>
    <t>162861</t>
  </si>
  <si>
    <t>55749844234</t>
  </si>
  <si>
    <t>74270230</t>
  </si>
  <si>
    <t>RUA C210, 80. RUA C 210, Q 506, LOTE 9</t>
  </si>
  <si>
    <t>SABRYNASOUSA25@GMAIL.COM</t>
  </si>
  <si>
    <t>(62) 992187333</t>
  </si>
  <si>
    <t>EROS PEREIRA RODRIGUES MONTALVÃO</t>
  </si>
  <si>
    <t>05941763107</t>
  </si>
  <si>
    <t>74635120</t>
  </si>
  <si>
    <t>RUA D, 6/10. BLOCO 2 APTO 104 RESIDENCIAL SONHO DOURADO</t>
  </si>
  <si>
    <t>VILA VIANA</t>
  </si>
  <si>
    <t>EROS850@HOTMAIL.COM</t>
  </si>
  <si>
    <t>(62) 32438670</t>
  </si>
  <si>
    <t>(62) 996867620</t>
  </si>
  <si>
    <t>YAGO SOARES TEIXEIRA</t>
  </si>
  <si>
    <t>70183075110</t>
  </si>
  <si>
    <t>74610155</t>
  </si>
  <si>
    <t>RUA 227-A, 116.</t>
  </si>
  <si>
    <t>YAGO_TEIXEIRA@DISCENTE.UFG.BR</t>
  </si>
  <si>
    <t>(64) 992676258</t>
  </si>
  <si>
    <t>WALLERIA RODRIGUES LOMBLEM</t>
  </si>
  <si>
    <t>76267733149</t>
  </si>
  <si>
    <t>74543051</t>
  </si>
  <si>
    <t>AVENIDA MARGINAL SUL, 1303. 1303</t>
  </si>
  <si>
    <t>SETOR DOS FUNCIONÁRIOS</t>
  </si>
  <si>
    <t>WALLERIALOMBLEM3@GMAIL.COM</t>
  </si>
  <si>
    <t>(62) 39419101</t>
  </si>
  <si>
    <t>(62) 982055841</t>
  </si>
  <si>
    <t>PUC ESCOLA DE DIREITO</t>
  </si>
  <si>
    <t>THAIS ANDREZZA DE OLIVEIRA MACEDO</t>
  </si>
  <si>
    <t>5697059</t>
  </si>
  <si>
    <t>75053187134</t>
  </si>
  <si>
    <t>74593210</t>
  </si>
  <si>
    <t>AVENIDA GENÉSIO DE LIMA BRITO, 632. AV. GENESIO DE LIMA BRITO JARD BALNEARIO MEIA PONT</t>
  </si>
  <si>
    <t>JARDIM BALNEÁRIO MEIA PONTE</t>
  </si>
  <si>
    <t>THSMACEDO@GMAIL.COM</t>
  </si>
  <si>
    <t>(62) 991215138</t>
  </si>
  <si>
    <t>UNIVERSIDADE ESTADUAL DE GOIAS</t>
  </si>
  <si>
    <t>ANA BEATRIZ FERNANDES DE OLIVEIRA</t>
  </si>
  <si>
    <t>6356343</t>
  </si>
  <si>
    <t>05726044169</t>
  </si>
  <si>
    <t>74922700</t>
  </si>
  <si>
    <t>RUA X 28, 0. QUADRA 84 LOTE 11</t>
  </si>
  <si>
    <t>SÍTIOS SANTA LUZIA</t>
  </si>
  <si>
    <t>ANA.FERNANDES@IPOG.EDU.BR</t>
  </si>
  <si>
    <t>(62) 99432220</t>
  </si>
  <si>
    <t>(62) 994322201</t>
  </si>
  <si>
    <t>JULIANE BRITO OLIVEIRA RAMOS</t>
  </si>
  <si>
    <t>09877719142</t>
  </si>
  <si>
    <t>74360420</t>
  </si>
  <si>
    <t>AVENIDA PEDRO I, 1. QD 28 LT13</t>
  </si>
  <si>
    <t>JARDIM VILA BOA</t>
  </si>
  <si>
    <t>JULIANEBRITORAMOS@GMAIL.COM</t>
  </si>
  <si>
    <t>(62) 993789359</t>
  </si>
  <si>
    <t>PRISCILA APARECIDA RIBEIRO DA SILVA</t>
  </si>
  <si>
    <t>4864974</t>
  </si>
  <si>
    <t>01392432162</t>
  </si>
  <si>
    <t>74477275</t>
  </si>
  <si>
    <t>RUA CP7, SN.</t>
  </si>
  <si>
    <t>CONJUNTO PRIMAVERA</t>
  </si>
  <si>
    <t>PRISCILARIBEIRO082@GMAIL.COM</t>
  </si>
  <si>
    <t>(62) 985928514</t>
  </si>
  <si>
    <t>ISABELLA MARIA GOMES DOS SANTOS</t>
  </si>
  <si>
    <t>27608298</t>
  </si>
  <si>
    <t>06172821105</t>
  </si>
  <si>
    <t>74603062</t>
  </si>
  <si>
    <t>RUA 117, 30. CASA 02</t>
  </si>
  <si>
    <t>ISABELLAGOMES.IG87@GMAIL.COM</t>
  </si>
  <si>
    <t>(66) 992485818</t>
  </si>
  <si>
    <t>HENRIQUE VIEIRA GARCIA</t>
  </si>
  <si>
    <t>00426538196</t>
  </si>
  <si>
    <t>74493750</t>
  </si>
  <si>
    <t>AVENIDA ARGENTINA MONTEIRO, 162. CHÁCARA</t>
  </si>
  <si>
    <t>HENRIQUEVIEIRAGARCIA@GMAIL.COM</t>
  </si>
  <si>
    <t>(62) 96190989</t>
  </si>
  <si>
    <t>(62) 996190989</t>
  </si>
  <si>
    <t>CENTRO UNIVERSITÁRIO ESTÁCIO DE GOIÁS</t>
  </si>
  <si>
    <t>GEOVANA GODOY ISAAC</t>
  </si>
  <si>
    <t>1382851</t>
  </si>
  <si>
    <t>06958401182</t>
  </si>
  <si>
    <t>74840010</t>
  </si>
  <si>
    <t>AVENIDA FEIRA DE SANTANA, 412. RESIDENCIAL STRAUSS</t>
  </si>
  <si>
    <t>GEOVANA_GODOY14@HOTMAIL.COM</t>
  </si>
  <si>
    <t>(63) 33862038</t>
  </si>
  <si>
    <t>(63) 992336097</t>
  </si>
  <si>
    <t>ANA KAROLINY ALVES DE ARAUJO</t>
  </si>
  <si>
    <t>74944096100</t>
  </si>
  <si>
    <t>74655150</t>
  </si>
  <si>
    <t>AVENIDA PERIMETRAL, QD.701. LT.07B</t>
  </si>
  <si>
    <t>VILA MONTICELLI</t>
  </si>
  <si>
    <t>ANAKAROLINYALVES20@GMAIL.COM</t>
  </si>
  <si>
    <t>(62) 993991046</t>
  </si>
  <si>
    <t>MARCOS AUGUSTO DE SOUSA CHAGAS</t>
  </si>
  <si>
    <t>02023102138</t>
  </si>
  <si>
    <t>74563355</t>
  </si>
  <si>
    <t>AVENIDA MARECHAL RONDON, 1345. COND VILLAGE DO PARQUE CASA 54</t>
  </si>
  <si>
    <t>VILA SÃO LUIZ</t>
  </si>
  <si>
    <t>AUGUSTHOCHAGAS@GMAIL.COM</t>
  </si>
  <si>
    <t>(62) 98276163</t>
  </si>
  <si>
    <t>(62) 982761638</t>
  </si>
  <si>
    <t>CGESP</t>
  </si>
  <si>
    <t>JONAS CÂNDIDO RIBEIRO NETO</t>
  </si>
  <si>
    <t>04768859143</t>
  </si>
  <si>
    <t>74573380</t>
  </si>
  <si>
    <t>RUA RN 8, 77. QD. 13 LT. 11</t>
  </si>
  <si>
    <t>SETOR SEVENE</t>
  </si>
  <si>
    <t>JONASNETTO.ACUST@GMAIL.COM</t>
  </si>
  <si>
    <t>(62) 35866595</t>
  </si>
  <si>
    <t>(62) 984002885</t>
  </si>
  <si>
    <t>CENTRO UNIVERSITÁRIO ALVES FARIAS - UNIALFA PERIMETRAL</t>
  </si>
  <si>
    <t>PABLYCIA LUDYELLI FERREIRA DE JESUS</t>
  </si>
  <si>
    <t>70731533186</t>
  </si>
  <si>
    <t>75262316</t>
  </si>
  <si>
    <t>AVENIDA JOSÉ LOBO QD 53 LT 10, 0.</t>
  </si>
  <si>
    <t>PABLYCIALUDYELLI455@GMAIL.COM</t>
  </si>
  <si>
    <t>(62) 991994210</t>
  </si>
  <si>
    <t>CENTRO UNIVERSITÁRIO ARAGUAIA</t>
  </si>
  <si>
    <t>ANA PRISCILA DOS SANTOS SILVA</t>
  </si>
  <si>
    <t>70866640142</t>
  </si>
  <si>
    <t>74820310</t>
  </si>
  <si>
    <t>RUA 1018, 58. EDIFÍCIO MICHELLE APTO 302</t>
  </si>
  <si>
    <t>ANAPRISCILASANTOS16@GMAIL.COM</t>
  </si>
  <si>
    <t>(62) 981785715</t>
  </si>
  <si>
    <t>JOAO CAJAZEIRAS NETO</t>
  </si>
  <si>
    <t>48186503153</t>
  </si>
  <si>
    <t>74635055</t>
  </si>
  <si>
    <t>RUA 208, 660. TORRE A- APT 203</t>
  </si>
  <si>
    <t>SETOR LESTE VILA NOVA</t>
  </si>
  <si>
    <t>JOAOCAJAZEIRASNETO@YAHOO.COM</t>
  </si>
  <si>
    <t>(44) 73769326</t>
  </si>
  <si>
    <t>(62) 984139417</t>
  </si>
  <si>
    <t>MARIA LUIZA MACIEL DE PAULA</t>
  </si>
  <si>
    <t>06483395132</t>
  </si>
  <si>
    <t>74912200</t>
  </si>
  <si>
    <t>RUA 48, 0. QUADRA 36 LOTE 16</t>
  </si>
  <si>
    <t>MARIALUIZAMPAULA@GMAIL.COM</t>
  </si>
  <si>
    <t>(62) 96010364</t>
  </si>
  <si>
    <t>(62) 996010364</t>
  </si>
  <si>
    <t>PONTIFÍCIA UNIVERSIDADE CATÓLICA DE GOIÁS PUC GOIÁS</t>
  </si>
  <si>
    <t>LIVIA NOVAES SANTOS</t>
  </si>
  <si>
    <t>6531515</t>
  </si>
  <si>
    <t>70597178119</t>
  </si>
  <si>
    <t>RUA SACRAMENTO, SN . Q126 LT5/9</t>
  </si>
  <si>
    <t>LIVIANOVAES1804@GMAIL.COM</t>
  </si>
  <si>
    <t>(62) 996741856</t>
  </si>
  <si>
    <t>UNIGOIAS</t>
  </si>
  <si>
    <t>PAULA FALEIRO</t>
  </si>
  <si>
    <t>70716576104</t>
  </si>
  <si>
    <t>74390235</t>
  </si>
  <si>
    <t>RUA RITA DE CÁSSIA ULTRA, 1.</t>
  </si>
  <si>
    <t>CONDOMÍNIO RIO BRANCO</t>
  </si>
  <si>
    <t>PAULALAYANEFALEIRO@GMAIL.COM</t>
  </si>
  <si>
    <t>(62) 81860502</t>
  </si>
  <si>
    <t>(62) 981929925</t>
  </si>
  <si>
    <t>MARIANA BARBOSA DE CASTRO</t>
  </si>
  <si>
    <t>06716735135</t>
  </si>
  <si>
    <t>RUA 32, 915. APTO. 404 A</t>
  </si>
  <si>
    <t>MARIANABARBOSACASTRO2015@GMAIL.COM</t>
  </si>
  <si>
    <t>(64) 36514330</t>
  </si>
  <si>
    <t>(64) 984185010</t>
  </si>
  <si>
    <t>ROGÉRIO CONSTANTINO DA SILVA</t>
  </si>
  <si>
    <t>59366621104</t>
  </si>
  <si>
    <t>74485490</t>
  </si>
  <si>
    <t>AVENIDA PADRE BENEDITO DIAS, 03. CASA 1</t>
  </si>
  <si>
    <t>GOIÁ 2</t>
  </si>
  <si>
    <t>ROGERIO.CONSTANTINO@ESTUDANTE.UNIARAGUAIA.EDU.BR</t>
  </si>
  <si>
    <t>(62) 995442377</t>
  </si>
  <si>
    <t>UNIARAGUAIA CENTRO UNIVERSITÁRIO</t>
  </si>
  <si>
    <t>GHIOVANA COSTA GUALBERTO DOS SANTOS</t>
  </si>
  <si>
    <t>6241101</t>
  </si>
  <si>
    <t>05863251158</t>
  </si>
  <si>
    <t>74863070</t>
  </si>
  <si>
    <t>RUA CRUZEIRO DO SUL, 1. QD C 3</t>
  </si>
  <si>
    <t>JARDIM BELA VISTA</t>
  </si>
  <si>
    <t>GHIOVANA.12@HOTMAIL.COM</t>
  </si>
  <si>
    <t>(62) 41416837</t>
  </si>
  <si>
    <t>(62) 992489895</t>
  </si>
  <si>
    <t>DJEYNNE ELIKA CABRAL</t>
  </si>
  <si>
    <t>88155510182</t>
  </si>
  <si>
    <t>74565010</t>
  </si>
  <si>
    <t>AVENIDA MARECHAL RONDON, 249. BLOCO B1 APT 102</t>
  </si>
  <si>
    <t>PANORAMA PARQUE</t>
  </si>
  <si>
    <t>DJEYNNEELIKA@GMAIL.COM</t>
  </si>
  <si>
    <t>(62) 35936691</t>
  </si>
  <si>
    <t>(62) 991071748</t>
  </si>
  <si>
    <t>BRUNA LUÍSA ANDRADE MOTA</t>
  </si>
  <si>
    <t>07686185176</t>
  </si>
  <si>
    <t>74210350</t>
  </si>
  <si>
    <t>RUA T 42, 04. QD 11 LT 12</t>
  </si>
  <si>
    <t>BRUNAANMOTAL@GMAIL.COM</t>
  </si>
  <si>
    <t>(62) 81454680</t>
  </si>
  <si>
    <t>(62) 983058390</t>
  </si>
  <si>
    <t>FACULDADE UNIGOIÁS</t>
  </si>
  <si>
    <t>CAROLINA ALVES COSTA</t>
  </si>
  <si>
    <t>70214407152</t>
  </si>
  <si>
    <t>74210114</t>
  </si>
  <si>
    <t>RUA 240 B, S/N. Q.174 L.17</t>
  </si>
  <si>
    <t>CA45889@GMAIL.COM</t>
  </si>
  <si>
    <t>(62) 84578485</t>
  </si>
  <si>
    <t>(62) 984199921</t>
  </si>
  <si>
    <t>PUC - GO</t>
  </si>
  <si>
    <t>LAYLA CAROLINE MIRANDA</t>
  </si>
  <si>
    <t>75615207191</t>
  </si>
  <si>
    <t>75262212</t>
  </si>
  <si>
    <t>RUA DO CANDELABRO, 18. QD 14 LT R 4 CONDOMÍNIO VALE DAS FLORES</t>
  </si>
  <si>
    <t>SÍTIOS VALE DAS BRISAS</t>
  </si>
  <si>
    <t>LAYLLA.MIRANDA.7@HOTMAIL.COM</t>
  </si>
  <si>
    <t>(62) 995197452</t>
  </si>
  <si>
    <t>FACULDADE ESTACIO DE SÁ</t>
  </si>
  <si>
    <t>ENFERMAGEM</t>
  </si>
  <si>
    <t>ANDREIA JESUS DE SOUZA ABREU</t>
  </si>
  <si>
    <t>8447973</t>
  </si>
  <si>
    <t>05048823176</t>
  </si>
  <si>
    <t>74645190</t>
  </si>
  <si>
    <t>RUA 227, S/N. QUADRA 40, LOTE 08 , APTO. 206,</t>
  </si>
  <si>
    <t>ANDREIAJESUS123@HOTMAIL.COM</t>
  </si>
  <si>
    <t>(62) 992897539</t>
  </si>
  <si>
    <t>GIOVANNA LIZ ROCHA PEREIRA</t>
  </si>
  <si>
    <t>05596340138</t>
  </si>
  <si>
    <t>74663050</t>
  </si>
  <si>
    <t>RUA DO ALUMÍNIO, 0. Q33 LT08 CASA 2</t>
  </si>
  <si>
    <t>GIHLIZZ02@GMAIL.COM</t>
  </si>
  <si>
    <t>(62) 98631418</t>
  </si>
  <si>
    <t>(62) 986314187</t>
  </si>
  <si>
    <t>MAXUEL DOS SANTOS OLIVEIRA</t>
  </si>
  <si>
    <t>09400185510</t>
  </si>
  <si>
    <t>74483210</t>
  </si>
  <si>
    <t>RUA DONA CAROLINA, 5. QD 56 LT 28</t>
  </si>
  <si>
    <t>SANTOSMAXUEL212@GMAIL.COM</t>
  </si>
  <si>
    <t>(62) 993436980</t>
  </si>
  <si>
    <t>CGESP FACULDADE</t>
  </si>
  <si>
    <t>PEDRO HENRIQUE ALVES MARINHO SANTOS</t>
  </si>
  <si>
    <t>08190562193</t>
  </si>
  <si>
    <t>75180000</t>
  </si>
  <si>
    <t>SILVÂNIA</t>
  </si>
  <si>
    <t>LT 38, 01231. RUA 05</t>
  </si>
  <si>
    <t>NOSSA SENHORA DE FÁTIMA</t>
  </si>
  <si>
    <t>PEDROSTOMPA@GMAIL.COM</t>
  </si>
  <si>
    <t>(62) 998351227</t>
  </si>
  <si>
    <t>PALOMA DA SILVA</t>
  </si>
  <si>
    <t>6220734</t>
  </si>
  <si>
    <t>05064644159</t>
  </si>
  <si>
    <t>75250000</t>
  </si>
  <si>
    <t>RUA MB 18, 2. QD 28 LT 47</t>
  </si>
  <si>
    <t>RESIDENCIAL SANTA EDWIGES</t>
  </si>
  <si>
    <t>PALOMADUARTE9436@GMAIL.COM</t>
  </si>
  <si>
    <t>(62) 99475551</t>
  </si>
  <si>
    <t>(62) 994755518</t>
  </si>
  <si>
    <t>ESTÁCIO DE SÁ</t>
  </si>
  <si>
    <t>REGINA VITÓRIA SILVA SANTOS</t>
  </si>
  <si>
    <t>70840517165</t>
  </si>
  <si>
    <t>74945325</t>
  </si>
  <si>
    <t>RUA 26 DE JANEIRO, SN. QUADRA 54 LOTE 26</t>
  </si>
  <si>
    <t>GOIÂNIA PARK SUL</t>
  </si>
  <si>
    <t>REGINAVITORIA675@GMAIL.COM</t>
  </si>
  <si>
    <t>(62) 986263292</t>
  </si>
  <si>
    <t>MILLENA SILVA FREIRE</t>
  </si>
  <si>
    <t>70983149194</t>
  </si>
  <si>
    <t>74786360</t>
  </si>
  <si>
    <t>RUA RIO CRISTALINO, 0000. QD 02, LOT 18 - CASA 02</t>
  </si>
  <si>
    <t>RESIDENCIAL RIO JORDÃO</t>
  </si>
  <si>
    <t>MIMIFREIRE2402@GMAIL.COM</t>
  </si>
  <si>
    <t>(62) 985793662</t>
  </si>
  <si>
    <t>PIERRE AUGUSTO DE LIMA</t>
  </si>
  <si>
    <t>75489643153</t>
  </si>
  <si>
    <t>74354666</t>
  </si>
  <si>
    <t>RUA JCA23, 00. QD 50 LT 33</t>
  </si>
  <si>
    <t>JARDIM CARAVELAS</t>
  </si>
  <si>
    <t>PIGC@LIVE.COM</t>
  </si>
  <si>
    <t>(62) 985752021</t>
  </si>
  <si>
    <t>FACUDADE UNIDAS DE CAMPINAS - FACUNICAMPS</t>
  </si>
  <si>
    <t>IGOR DONATONI ARRUDA</t>
  </si>
  <si>
    <t>70892680121</t>
  </si>
  <si>
    <t>74110090</t>
  </si>
  <si>
    <t>RUA 7, 182. APARTAMENTO 301</t>
  </si>
  <si>
    <t>IGORDARRUDA@GMAIL.COM</t>
  </si>
  <si>
    <t>(62) 999282808</t>
  </si>
  <si>
    <t>PONTIFÍCIA UNIVERSIDADE CATÓLICA DE GOIÁS - PUCGO</t>
  </si>
  <si>
    <t>ANDRESSA MENDES SANTOS</t>
  </si>
  <si>
    <t>07695807184</t>
  </si>
  <si>
    <t>75400050</t>
  </si>
  <si>
    <t>INHUMAS</t>
  </si>
  <si>
    <t>RUA 5, 194.</t>
  </si>
  <si>
    <t>VILA MARIANA</t>
  </si>
  <si>
    <t>SANTOSMENDESANDRESSA@GMAIL.COM</t>
  </si>
  <si>
    <t>(62) 84713536</t>
  </si>
  <si>
    <t>(62) 984713536</t>
  </si>
  <si>
    <t>FACMAIS</t>
  </si>
  <si>
    <t>RANIELY FERREIRA BORGES</t>
  </si>
  <si>
    <t>07509725135</t>
  </si>
  <si>
    <t>74850480</t>
  </si>
  <si>
    <t>AVENIDA LAPLACE, 451. Q. 21. L. 15</t>
  </si>
  <si>
    <t>RANIELYFB8@GMAIL.COM</t>
  </si>
  <si>
    <t>(62) 986460717</t>
  </si>
  <si>
    <t>UNIVERSIDADE PAULISTA (UNIP)</t>
  </si>
  <si>
    <t>JAQUELINE SANTOS CABRAL</t>
  </si>
  <si>
    <t>53721942272</t>
  </si>
  <si>
    <t>75250157</t>
  </si>
  <si>
    <t>AVENIDA DOUTOR JOSÉ CARNEIRO, SN. QD. 10, LT. 13</t>
  </si>
  <si>
    <t>RESIDENCIAL JARDIM CANEDO</t>
  </si>
  <si>
    <t>JAQUELINE_SANTOS91@HOTMAIL.COM</t>
  </si>
  <si>
    <t>(62) 994131299</t>
  </si>
  <si>
    <t>STHEFANY PEREIRA CAETANO</t>
  </si>
  <si>
    <t>70607889136</t>
  </si>
  <si>
    <t>74919376</t>
  </si>
  <si>
    <t>RUA NILO BUFAIÇAL, 00. QD 06 LT 17</t>
  </si>
  <si>
    <t>STHEFANYPEREIRACAETANO@GMAIL.COM</t>
  </si>
  <si>
    <t>(62) 995096424</t>
  </si>
  <si>
    <t>UNIFAN - ALFREDO NASSER</t>
  </si>
  <si>
    <t>ITALO ALVES DE ARAÚJO</t>
  </si>
  <si>
    <t>05237430171</t>
  </si>
  <si>
    <t>73813460</t>
  </si>
  <si>
    <t>RUA 14, 40. PRÓXIMO AO BAR QUINA DE OURO</t>
  </si>
  <si>
    <t>FORMOSINHA</t>
  </si>
  <si>
    <t>ISSAB5484@GMAIL.COM</t>
  </si>
  <si>
    <t>(61) 99919304</t>
  </si>
  <si>
    <t>(61) 981234201</t>
  </si>
  <si>
    <t>UNIASSELVI</t>
  </si>
  <si>
    <t>RAFAELLA ALVES DE SOUZA</t>
  </si>
  <si>
    <t>6256588</t>
  </si>
  <si>
    <t>70326567143</t>
  </si>
  <si>
    <t>74650360</t>
  </si>
  <si>
    <t>RUA 404, 2. RECANTO PRAÇAS RESIDENCIAIS 2</t>
  </si>
  <si>
    <t>RAFAELLAALVES04@HOTMAIL.COM</t>
  </si>
  <si>
    <t>(62) 982612815</t>
  </si>
  <si>
    <t>VITORIA KELLEN ARAÚJO</t>
  </si>
  <si>
    <t>101010</t>
  </si>
  <si>
    <t>06794274574</t>
  </si>
  <si>
    <t>74643110</t>
  </si>
  <si>
    <t>RUA 221, 50. EDIFICIO OLIVENÇA</t>
  </si>
  <si>
    <t>VITORIAKELLENARAUJO@GMAIL.COM</t>
  </si>
  <si>
    <t>(62) 98673129</t>
  </si>
  <si>
    <t>(62) 998673129</t>
  </si>
  <si>
    <t>MARIA CAROLINA SILVA ARANTES</t>
  </si>
  <si>
    <t>07236660167</t>
  </si>
  <si>
    <t>74210100</t>
  </si>
  <si>
    <t>RUA T 39, S/N. QD. 03 LOT.04 C-1</t>
  </si>
  <si>
    <t>CAROLINAALEX1416@GMAIL.COM</t>
  </si>
  <si>
    <t>(62) 986310033</t>
  </si>
  <si>
    <t>ENGENHARIA CIVIL</t>
  </si>
  <si>
    <t>RHAIRA PONTES RODRIGUES</t>
  </si>
  <si>
    <t>03749174180</t>
  </si>
  <si>
    <t>75130510</t>
  </si>
  <si>
    <t>RUA MUNIR CALIXTO, AP 301. RESIDENCIAL ANTONIO RIBEIRO</t>
  </si>
  <si>
    <t>CALIXTOLÂNDIA</t>
  </si>
  <si>
    <t>RHAIRAPRODRIGUES25@OUTLOOK.COM</t>
  </si>
  <si>
    <t>(64) 34055074</t>
  </si>
  <si>
    <t>(64) 992133632</t>
  </si>
  <si>
    <t>ALLAN DA COSTA RAMALHO</t>
  </si>
  <si>
    <t>5357091</t>
  </si>
  <si>
    <t>03629021190</t>
  </si>
  <si>
    <t>74890110</t>
  </si>
  <si>
    <t>RUA 3 UNIDADE 203, 20. LOTE 20 UNIDADE 203 QUADRA 069</t>
  </si>
  <si>
    <t>PARQUE ATHENEU</t>
  </si>
  <si>
    <t>ALLANRAMALHO@GMAIL.COM</t>
  </si>
  <si>
    <t>(62) 95532224</t>
  </si>
  <si>
    <t>(62) 982399367</t>
  </si>
  <si>
    <t>IF GOIANO - CAMPUS TRINDADE</t>
  </si>
  <si>
    <t>LINDOMAR ANTONIO BARRETO</t>
  </si>
  <si>
    <t>3622927</t>
  </si>
  <si>
    <t>82949514120</t>
  </si>
  <si>
    <t>74580370</t>
  </si>
  <si>
    <t>RUA SP 15, 573. BLOCO 11 AP 202</t>
  </si>
  <si>
    <t>SETOR PERIM</t>
  </si>
  <si>
    <t>BARRETOADM@YAHOO.COM.BR</t>
  </si>
  <si>
    <t>(62) 84563520</t>
  </si>
  <si>
    <t>(62) 981704095</t>
  </si>
  <si>
    <t>S72.3</t>
  </si>
  <si>
    <t>NEGRO, DEFICIENTE</t>
  </si>
  <si>
    <t>BRUNO MIGUEL MELO</t>
  </si>
  <si>
    <t>54464420</t>
  </si>
  <si>
    <t>03138228160</t>
  </si>
  <si>
    <t>74610240</t>
  </si>
  <si>
    <t>RUA 260, 792. QUADRA 38 LOTE 16</t>
  </si>
  <si>
    <t>BRUNOMIGUEL@DISCENTE.UFG.BR</t>
  </si>
  <si>
    <t>(62) 985373388</t>
  </si>
  <si>
    <t>ENGENHARIA ELÉTRICA</t>
  </si>
  <si>
    <t>ALEX ABRAÃO SIQUEIRA</t>
  </si>
  <si>
    <t>4992533</t>
  </si>
  <si>
    <t>03949097120</t>
  </si>
  <si>
    <t>74375190</t>
  </si>
  <si>
    <t>RUA DAS FLORES, 248. QUADRA 145, LOTE 06</t>
  </si>
  <si>
    <t>ALXABR@DISCENTE.UFG.BR</t>
  </si>
  <si>
    <t>(62) 985283213</t>
  </si>
  <si>
    <t>KLAYTON ABREU DE CARVALHO</t>
  </si>
  <si>
    <t>6566000</t>
  </si>
  <si>
    <t>06913211163</t>
  </si>
  <si>
    <t>74650050</t>
  </si>
  <si>
    <t>RUA DONA DARCY, 195. BLOCO 2 APT. 303</t>
  </si>
  <si>
    <t>KLAYTONABREU@DISCENTE.UFG.BR</t>
  </si>
  <si>
    <t>(62) 99849077</t>
  </si>
  <si>
    <t>(62) 998490779</t>
  </si>
  <si>
    <t>THIAGO HENRIQUE DE OLIVEIRA MACEDO</t>
  </si>
  <si>
    <t>75053195153</t>
  </si>
  <si>
    <t>AVENIDA GENÉSIO DE LIMA BRITO, 00. AVENIDA</t>
  </si>
  <si>
    <t>MACEDOTHIAGO062@GMAIL.COM</t>
  </si>
  <si>
    <t>(62) 991960337</t>
  </si>
  <si>
    <t>LAERCIO DA CRUZ SANTOS</t>
  </si>
  <si>
    <t>0940165180</t>
  </si>
  <si>
    <t>02421199565</t>
  </si>
  <si>
    <t>74815700</t>
  </si>
  <si>
    <t>AVENIDA SÃO JOÃO, 288. TORRE ALMERÍA, APTO 1506</t>
  </si>
  <si>
    <t>ALTO DA GLÓRIA</t>
  </si>
  <si>
    <t>LAERCIO.CRUZ@OUTLOOK.COM.BR</t>
  </si>
  <si>
    <t>(71) 992249280</t>
  </si>
  <si>
    <t>PONTIFICIA UNIVERSIDADE CATÓLICA DE GOIÁS</t>
  </si>
  <si>
    <t>PEDRO LUCAS PIMENTA DE ALMEIDA</t>
  </si>
  <si>
    <t>6297976</t>
  </si>
  <si>
    <t>03742467182</t>
  </si>
  <si>
    <t>RUA L11, 100. AP. 902-B</t>
  </si>
  <si>
    <t>PIMENTAALMEIDA@DISCENTE.UFG.BR</t>
  </si>
  <si>
    <t>(62) 991684542</t>
  </si>
  <si>
    <t>ENGENHARIA MECÂNICA</t>
  </si>
  <si>
    <t>RAFAEL SCHERER DA SILVA BASSO</t>
  </si>
  <si>
    <t>07724696101</t>
  </si>
  <si>
    <t>74230120</t>
  </si>
  <si>
    <t>RUA T 65, 700. BLOCO A; APTO. 1101</t>
  </si>
  <si>
    <t>RAFAELSSB06@GMAIL.COM</t>
  </si>
  <si>
    <t>(62) 92000475</t>
  </si>
  <si>
    <t>(62) 920004751</t>
  </si>
  <si>
    <t>INSTITUTO FEDERAL DE GOIÁS</t>
  </si>
  <si>
    <t>LUIZ EDUARDO FELIX DA CUNHA</t>
  </si>
  <si>
    <t>07516539180</t>
  </si>
  <si>
    <t>74850500</t>
  </si>
  <si>
    <t>RUA GENERAL RONDON, 19. QD. 18, APART. 304</t>
  </si>
  <si>
    <t>LUIZEDUARDOFELIX599@GMAIL.COM</t>
  </si>
  <si>
    <t>(62) 98285163</t>
  </si>
  <si>
    <t>(62) 998285163</t>
  </si>
  <si>
    <t>UNIVERSIDADE PAULISTA</t>
  </si>
  <si>
    <t>PAULA SILVA PORFÍRIO</t>
  </si>
  <si>
    <t>03559680107</t>
  </si>
  <si>
    <t>74335190</t>
  </si>
  <si>
    <t>RUA V 2, 11. QUADRA V 2</t>
  </si>
  <si>
    <t>VILA REZENDE</t>
  </si>
  <si>
    <t>PAULAPORFIRIO076@GMAIL.COM</t>
  </si>
  <si>
    <t>(62) 999968844</t>
  </si>
  <si>
    <t>HISTÓRIA</t>
  </si>
  <si>
    <t>JOÃO PEDRO GONÇALVES FERREIRA</t>
  </si>
  <si>
    <t>6656511</t>
  </si>
  <si>
    <t>70714898155</t>
  </si>
  <si>
    <t>74367640</t>
  </si>
  <si>
    <t>AVENIDA NÁPOLI, 201. APARTAMENTO 901 TORRE 2</t>
  </si>
  <si>
    <t>RESIDENCIAL ELDORADO</t>
  </si>
  <si>
    <t>JG412284@GMAIL.COM</t>
  </si>
  <si>
    <t>(62) 98160329</t>
  </si>
  <si>
    <t>(62) 981603294</t>
  </si>
  <si>
    <t>INFORMÁTICA</t>
  </si>
  <si>
    <t>CHRISTIAN MATHEUS</t>
  </si>
  <si>
    <t>03196630196</t>
  </si>
  <si>
    <t>74350510</t>
  </si>
  <si>
    <t>RUA F58, 0. QUADRA 156 LOTE 18</t>
  </si>
  <si>
    <t>SETOR FAIÇALVILLE</t>
  </si>
  <si>
    <t>CHRISTIAN_MPMS@HOTMAIL.COM</t>
  </si>
  <si>
    <t>(62) 999830610</t>
  </si>
  <si>
    <t>AMANDA ALMEIDA DOS SANTOS</t>
  </si>
  <si>
    <t>1227358</t>
  </si>
  <si>
    <t>04751115162</t>
  </si>
  <si>
    <t>74665555</t>
  </si>
  <si>
    <t>AVENIDA AFONSO PENA, 2260. BLOCO 06 APTO. 203</t>
  </si>
  <si>
    <t>AA.SANTOSCONTATO@GMAIL.COM</t>
  </si>
  <si>
    <t>(62) 991122425</t>
  </si>
  <si>
    <t>PHILIPPE AUGUSTO MONTEIRO SILVA</t>
  </si>
  <si>
    <t>7535889</t>
  </si>
  <si>
    <t>70443135150</t>
  </si>
  <si>
    <t>74340570</t>
  </si>
  <si>
    <t>RUA PASTEUR, S/N.</t>
  </si>
  <si>
    <t>PARQUE ANHANGUERA II</t>
  </si>
  <si>
    <t>GYN.PHILIPPE@GMAIL.COM</t>
  </si>
  <si>
    <t>(62) 985131854</t>
  </si>
  <si>
    <t>KARISMA SOUSA ALVES</t>
  </si>
  <si>
    <t>8120557</t>
  </si>
  <si>
    <t>01944153250</t>
  </si>
  <si>
    <t>74810220</t>
  </si>
  <si>
    <t>RUA 54, 515. ED. LIBERTE</t>
  </si>
  <si>
    <t>SOUSAKARISMA@GMAIL.COM</t>
  </si>
  <si>
    <t>(62) 83224176</t>
  </si>
  <si>
    <t>(62) 983224176</t>
  </si>
  <si>
    <t>UNINTER</t>
  </si>
  <si>
    <t>CAIO GOMES DA MOTTA</t>
  </si>
  <si>
    <t>70014340194</t>
  </si>
  <si>
    <t>75101205</t>
  </si>
  <si>
    <t>RUA F 1, S/N. QD 06, LT 06</t>
  </si>
  <si>
    <t>RESIDENCIAL FLAMBOYANT</t>
  </si>
  <si>
    <t>CAIOMOTTA007@GMAIL.COM</t>
  </si>
  <si>
    <t>(62) 998323362</t>
  </si>
  <si>
    <t>MARYANA MIGUEL GOMES</t>
  </si>
  <si>
    <t>70096150122</t>
  </si>
  <si>
    <t>74675380</t>
  </si>
  <si>
    <t>RUA INDAIÁ, S/N. QUADRA 53, LOTE 09</t>
  </si>
  <si>
    <t>MARYANAMIGUEL79@GMAIL.COM</t>
  </si>
  <si>
    <t>(62) 30927049</t>
  </si>
  <si>
    <t>(62) 994310201</t>
  </si>
  <si>
    <t>MARIA FERNANDA PEIXOTO DE CASTRO</t>
  </si>
  <si>
    <t>70173266100</t>
  </si>
  <si>
    <t>74885100</t>
  </si>
  <si>
    <t>RUA CARNAÚBA, 0. QD 42 LT 3</t>
  </si>
  <si>
    <t>JARDIM MARILIZA</t>
  </si>
  <si>
    <t>MF.PEIXOTO74@GMAIL.COM</t>
  </si>
  <si>
    <t>(62) 982118455</t>
  </si>
  <si>
    <t>UNIP-GOIÂNIA FLAMBOYANT</t>
  </si>
  <si>
    <t>IGOR PEREIRA LOBO</t>
  </si>
  <si>
    <t>03724309104</t>
  </si>
  <si>
    <t>RUA 54, 364. APTO 103</t>
  </si>
  <si>
    <t>IGORPLOBO@GMAIL.COM</t>
  </si>
  <si>
    <t>(62) 98540885</t>
  </si>
  <si>
    <t>(62) 985408854</t>
  </si>
  <si>
    <t>MATEUS PERIS RIBEIRO</t>
  </si>
  <si>
    <t>04189924105</t>
  </si>
  <si>
    <t>74674360</t>
  </si>
  <si>
    <t>RUA J69, S/N. QUADRA 121, LOTE 17</t>
  </si>
  <si>
    <t>MATEUSPR03@GMAIL.COM</t>
  </si>
  <si>
    <t>(62) 992588787</t>
  </si>
  <si>
    <t>JOÃO GABRIEL SOARES PEREIRA DA SILVA</t>
  </si>
  <si>
    <t>06744432176</t>
  </si>
  <si>
    <t>74684165</t>
  </si>
  <si>
    <t>RUA ZUMBI DOS PALMARES, 73. Q43 LT17</t>
  </si>
  <si>
    <t>THHAGOYS@GMAIL.COM</t>
  </si>
  <si>
    <t>(62) 32076582</t>
  </si>
  <si>
    <t>(62) 984922775</t>
  </si>
  <si>
    <t>WELLINGTON FELIPE DE OLIVEIRA FILHO</t>
  </si>
  <si>
    <t>11045832162</t>
  </si>
  <si>
    <t>74110060</t>
  </si>
  <si>
    <t>ALAMEDA DAS ROSAS, 575. APRTM 302</t>
  </si>
  <si>
    <t>WELL.FEFE@OUTLOOK.COM</t>
  </si>
  <si>
    <t>(62) 998451642</t>
  </si>
  <si>
    <t>LUIZA MARTINS DE FREITAS CINTRA</t>
  </si>
  <si>
    <t>07421327142</t>
  </si>
  <si>
    <t>74210060</t>
  </si>
  <si>
    <t>RUA T 30, 1035. RESIDENCIAL LOURENZZO, APTO 1904</t>
  </si>
  <si>
    <t>LMFCINTRA22@GMAIL.COM</t>
  </si>
  <si>
    <t>(62) 991086402</t>
  </si>
  <si>
    <t>LUCAS DE PAULA CARVALHO MEDOLLA</t>
  </si>
  <si>
    <t>70478645120</t>
  </si>
  <si>
    <t>RUA DOUTOR FRANCISCO LUDOVICO DE ALMEIDA, 0. QD 17 LT 6</t>
  </si>
  <si>
    <t>LLUCASMEDOLLA@GMAIL.COM</t>
  </si>
  <si>
    <t>(62) 98499237</t>
  </si>
  <si>
    <t>(62) 984992379</t>
  </si>
  <si>
    <t>ALEXANDRE MIRANDA FILHO</t>
  </si>
  <si>
    <t>6803743</t>
  </si>
  <si>
    <t>07245141126</t>
  </si>
  <si>
    <t>74855200</t>
  </si>
  <si>
    <t>RUA C5, 0. QD. 11 LT. 09 - SEGUNDA ETAPA</t>
  </si>
  <si>
    <t>ALEXANDREMFILHO2003@HOTMAIL.COM</t>
  </si>
  <si>
    <t>(62) 32828784</t>
  </si>
  <si>
    <t>(62) 986422429</t>
  </si>
  <si>
    <t>UNIVERDADE FEDERAL DE GOIÁS</t>
  </si>
  <si>
    <t>LUCAS ALMEIDA DE JESUS</t>
  </si>
  <si>
    <t>7001429</t>
  </si>
  <si>
    <t>04362562150</t>
  </si>
  <si>
    <t>74330070</t>
  </si>
  <si>
    <t>RUA MÔNACO, 000. QD 114 LT 22</t>
  </si>
  <si>
    <t>LUSKA.ALMEIDA@OUTLOOK.COM</t>
  </si>
  <si>
    <t>(62) 981331882</t>
  </si>
  <si>
    <t>GABRIEL AGUIAR DE CASTRO M. REZENDE</t>
  </si>
  <si>
    <t>5929817</t>
  </si>
  <si>
    <t>70069938148</t>
  </si>
  <si>
    <t>74650100</t>
  </si>
  <si>
    <t>RUA DONA STELA, 269. RES. PORTAL DAS PAINEIRAS</t>
  </si>
  <si>
    <t>GA.ZENDE@HOTMAIL.COM</t>
  </si>
  <si>
    <t>(62) 981731487</t>
  </si>
  <si>
    <t>JEAN LUIZ SILVA LIMA</t>
  </si>
  <si>
    <t>06551198171</t>
  </si>
  <si>
    <t>74063050</t>
  </si>
  <si>
    <t>RUA 6, QD.Q LT.16. PORTA 20</t>
  </si>
  <si>
    <t>SETOR NORTE FERROVIÁRIO</t>
  </si>
  <si>
    <t>JEAN.LUIZLIMA37@GMAIL.COM</t>
  </si>
  <si>
    <t>(66) 34782158</t>
  </si>
  <si>
    <t>(66) 996047500</t>
  </si>
  <si>
    <t>ESTACIO</t>
  </si>
  <si>
    <t>RODRIGO FERNANDES NOGUEIRA VIEIRA</t>
  </si>
  <si>
    <t>02274672130</t>
  </si>
  <si>
    <t>RUA 32, 915. PAÇO DAS ARTES,601D</t>
  </si>
  <si>
    <t>DIDIGO.GOIAS@GMAIL.COM</t>
  </si>
  <si>
    <t>(62) 996392169</t>
  </si>
  <si>
    <t>VICTOR TAVARES PONTES</t>
  </si>
  <si>
    <t>70283747188</t>
  </si>
  <si>
    <t>74340025</t>
  </si>
  <si>
    <t>RUA PRUDENTE DE MORAIS, 1000. VILLAGE GREEN PARK</t>
  </si>
  <si>
    <t>PARQUE ANHANGUERA</t>
  </si>
  <si>
    <t>VICTORTAVARES1000@GMAIL.COM</t>
  </si>
  <si>
    <t>(62) 35455186</t>
  </si>
  <si>
    <t>(62) 986269118</t>
  </si>
  <si>
    <t>GABRIEL VICTOR BARBOSA ALVES</t>
  </si>
  <si>
    <t>7431594</t>
  </si>
  <si>
    <t>71019990180</t>
  </si>
  <si>
    <t>74915335</t>
  </si>
  <si>
    <t>AVENIDA JANDIAÍ, 402. SPAZIO GRAN PLACE APTO 402C</t>
  </si>
  <si>
    <t>GABRIELVICTORBARBOSA153@GMAIL.COM</t>
  </si>
  <si>
    <t>(62) 985446652</t>
  </si>
  <si>
    <t>ESCOLA SUPERIOR ASSOCIADA DE GOIÂNIA ESUP</t>
  </si>
  <si>
    <t>FELIPE BUENO ROCHA</t>
  </si>
  <si>
    <t>6647529</t>
  </si>
  <si>
    <t>04495996126</t>
  </si>
  <si>
    <t>74912032</t>
  </si>
  <si>
    <t>RUA 26-A, QUADRA 4, LT 1-28, S/N. RESIDENCIAL ILHAS VERDES AP 201F</t>
  </si>
  <si>
    <t>FELIPEBUENOROCHA48@GMAIL.COM</t>
  </si>
  <si>
    <t>(62) 32822497</t>
  </si>
  <si>
    <t>(62) 982518931</t>
  </si>
  <si>
    <t>IFG</t>
  </si>
  <si>
    <t>RAFAEL GREGORIO DE SOUZA</t>
  </si>
  <si>
    <t>06617338154</t>
  </si>
  <si>
    <t>74893010</t>
  </si>
  <si>
    <t>RUA MURICI UNIDADE 105, 62. 105</t>
  </si>
  <si>
    <t>RAFAELG15SOUZA@GMAIL.COM</t>
  </si>
  <si>
    <t>(62) 32731750</t>
  </si>
  <si>
    <t>(62) 992860211</t>
  </si>
  <si>
    <t>INSTITUTO FEDERAL DE GOIAS</t>
  </si>
  <si>
    <t>ANDERSON BUENO MARQUES</t>
  </si>
  <si>
    <t>75378540178</t>
  </si>
  <si>
    <t>75110753</t>
  </si>
  <si>
    <t>AVENIDA JOSÉ NETO PARANHOS, 1320. RESIDENCIAL ALAMEDA JUNDIAÍ</t>
  </si>
  <si>
    <t>ANDERSONBMARQUES@HOTMAIL.COM</t>
  </si>
  <si>
    <t>(62) 991758099</t>
  </si>
  <si>
    <t>DANIEL ASHER SANTANA DE FREITAS</t>
  </si>
  <si>
    <t>70099450127</t>
  </si>
  <si>
    <t>74674070</t>
  </si>
  <si>
    <t>AVENIDA RUI BARBOSA, 03. QD 141 LOTE 03</t>
  </si>
  <si>
    <t>SUPORTEVILLANSTORE@GMAIL.COM</t>
  </si>
  <si>
    <t>(62) 98168796</t>
  </si>
  <si>
    <t>(62) 981687966</t>
  </si>
  <si>
    <t>ALDOARDO ALVES PEREIRA NETO</t>
  </si>
  <si>
    <t>02988179182</t>
  </si>
  <si>
    <t>74810240</t>
  </si>
  <si>
    <t>RUA 56, 501. EDIFÍCIO VISIONAIRE APT 2102 MANET</t>
  </si>
  <si>
    <t>ALDOARDOALVES@GMAIL.COM</t>
  </si>
  <si>
    <t>(62) 982332948</t>
  </si>
  <si>
    <t>GUSTAVO BRUNO LIMA CRUZ</t>
  </si>
  <si>
    <t>07345843181</t>
  </si>
  <si>
    <t>75262478</t>
  </si>
  <si>
    <t>RUA JS 7, 01. QD.6 LT.36</t>
  </si>
  <si>
    <t>JARDIM SEVILHA</t>
  </si>
  <si>
    <t>GUSTAVOBRUNOV8@GMAIL.COM</t>
  </si>
  <si>
    <t>(62) 994990704</t>
  </si>
  <si>
    <t>VICTOR HUGO MOREIRA DA SILVA SOUZA</t>
  </si>
  <si>
    <t>70138599157</t>
  </si>
  <si>
    <t>75391529</t>
  </si>
  <si>
    <t>AVENIDA BARRO PRETO, SN. QUADRA 74 LOTE 26</t>
  </si>
  <si>
    <t>VILA AUGUSTUS</t>
  </si>
  <si>
    <t>VICTORHMDSS@GMAIL.COM</t>
  </si>
  <si>
    <t>(62) 981860508</t>
  </si>
  <si>
    <t>MATHEUS NOGUEIRA DINIZ AMORIM</t>
  </si>
  <si>
    <t>6351379</t>
  </si>
  <si>
    <t>70426099133</t>
  </si>
  <si>
    <t>75365553</t>
  </si>
  <si>
    <t>GOIANIRA</t>
  </si>
  <si>
    <t>AVENIDA JOÃO DE ASSIS PEREIRA, SN. QD 21, LT 5</t>
  </si>
  <si>
    <t>DINIZ_MATT@OUTLOOK.COM</t>
  </si>
  <si>
    <t>(62) 982154574</t>
  </si>
  <si>
    <t>JOÃO HENRIQUE TELES MARLETTA FERNANDES</t>
  </si>
  <si>
    <t>70340408189</t>
  </si>
  <si>
    <t>74850590</t>
  </si>
  <si>
    <t>RUA GOIAZES, Q.01 LOT 3. PROX. A VILA REDENÇÃO - GO</t>
  </si>
  <si>
    <t>CONJUNTO ANHANGUERA</t>
  </si>
  <si>
    <t>VANESSATELES.1984@GMAIL.COM</t>
  </si>
  <si>
    <t>(62) 993557978</t>
  </si>
  <si>
    <t>ESTÁCIO DE SÁ (ESTAÇÃO - GOIÁS)</t>
  </si>
  <si>
    <t>PEDRO FELIPE DE SOUSA</t>
  </si>
  <si>
    <t>70180921169</t>
  </si>
  <si>
    <t>74785190</t>
  </si>
  <si>
    <t>RUA SR 48, 00. QD 63 LT 15</t>
  </si>
  <si>
    <t>PEDROCOPOM22@GMAIL.COM</t>
  </si>
  <si>
    <t>(62) 86008422</t>
  </si>
  <si>
    <t>(62) 986008422</t>
  </si>
  <si>
    <t>S88.9</t>
  </si>
  <si>
    <t>FACULDADE ESTACIO DE SA</t>
  </si>
  <si>
    <t>GABRIEL IGOR FERREIRA MARTINS</t>
  </si>
  <si>
    <t>3443724</t>
  </si>
  <si>
    <t>06252261190</t>
  </si>
  <si>
    <t>72878639</t>
  </si>
  <si>
    <t>VALPARAÍSO DE GOIÁS</t>
  </si>
  <si>
    <t>RUA E, 42. QUADRA P</t>
  </si>
  <si>
    <t>PARQUE ESPLANADA I</t>
  </si>
  <si>
    <t>GABRIELIGORFERREIRA02@GMAIL.COM</t>
  </si>
  <si>
    <t>(61) 986025289</t>
  </si>
  <si>
    <t>ISABELA MASCARENHAS ROCHA</t>
  </si>
  <si>
    <t>03497231177</t>
  </si>
  <si>
    <t>74710260</t>
  </si>
  <si>
    <t>AVENIDA LINCOLN, SN. QD 187 LT 26</t>
  </si>
  <si>
    <t>ISABELAMASCARENHAS2001@HOTMAIL.COM</t>
  </si>
  <si>
    <t>(62) 85410340</t>
  </si>
  <si>
    <t>(62) 985410340</t>
  </si>
  <si>
    <t>GABRIEL GREGORIO DE SOUZA</t>
  </si>
  <si>
    <t>6496882</t>
  </si>
  <si>
    <t>06617342186</t>
  </si>
  <si>
    <t>RUA MURICI UNIDADE 105, 62. LOTE 62</t>
  </si>
  <si>
    <t>GAB.GREG2014@GMAIL.COM</t>
  </si>
  <si>
    <t>(62) 994946587</t>
  </si>
  <si>
    <t>BRUNNO DOURADO SILVA</t>
  </si>
  <si>
    <t>5453237</t>
  </si>
  <si>
    <t>05703043182</t>
  </si>
  <si>
    <t>74690480</t>
  </si>
  <si>
    <t>RUA R 23, 24. QD. 22 LT. 24, GOIÂNIA-GO</t>
  </si>
  <si>
    <t>VILA ITATIAIA</t>
  </si>
  <si>
    <t>DOURADOBRUNNO@GMAIL.COM</t>
  </si>
  <si>
    <t>(62) 992903250</t>
  </si>
  <si>
    <t>FACULDADE ESTACIO</t>
  </si>
  <si>
    <t>GABRIELA GOMES DINIZ</t>
  </si>
  <si>
    <t>08418854197</t>
  </si>
  <si>
    <t>74375560</t>
  </si>
  <si>
    <t>RUA DO ESMALTE, 300. RESIDENCIAL DE LA FLOR 501-1</t>
  </si>
  <si>
    <t>GABRIELA.DINIZ@DISCENTE.UFG.BR</t>
  </si>
  <si>
    <t>(62) 996919046</t>
  </si>
  <si>
    <t>JORNALISMO</t>
  </si>
  <si>
    <t>EVANDRO CARLOS FILHO RIBEIRO DE CASTRO</t>
  </si>
  <si>
    <t>5995440</t>
  </si>
  <si>
    <t>02040070117</t>
  </si>
  <si>
    <t>RUA T 29, 875. RESIDENCIAL SUBLIME APT 1002</t>
  </si>
  <si>
    <t>EVANDROCARLOSFILHO@HOTMAIL.COM</t>
  </si>
  <si>
    <t>(62) 984962242</t>
  </si>
  <si>
    <t>CENTRO UNIVERSITÁRIO ARAGUAIA (UNIARAGUAIA)</t>
  </si>
  <si>
    <t>JHULIE CAROLINE DOS SANTOS PINHO</t>
  </si>
  <si>
    <t>7030740</t>
  </si>
  <si>
    <t>70944625142</t>
  </si>
  <si>
    <t>74230042</t>
  </si>
  <si>
    <t>AVENIDA T 5, S/N. Q.158, LT.7/8</t>
  </si>
  <si>
    <t>JHULIECAROLINESANTOS@GMAIL.COM</t>
  </si>
  <si>
    <t>(62) 99336019</t>
  </si>
  <si>
    <t>(62) 984928840</t>
  </si>
  <si>
    <t>ENZO CARMIGNOLLI GOMES</t>
  </si>
  <si>
    <t>6161247</t>
  </si>
  <si>
    <t>70240675193</t>
  </si>
  <si>
    <t>74230045</t>
  </si>
  <si>
    <t>AVENIDA T 5, 841.</t>
  </si>
  <si>
    <t>CARMIGNOLLIE@GMAIL.COM</t>
  </si>
  <si>
    <t>(62) 98213777</t>
  </si>
  <si>
    <t>(62) 982137771</t>
  </si>
  <si>
    <t>AMANDA GABRIELE SOUZA LIMA</t>
  </si>
  <si>
    <t>08064473110</t>
  </si>
  <si>
    <t>74375710</t>
  </si>
  <si>
    <t>RUA DO TEAR, 0. BLOCO C APT 125</t>
  </si>
  <si>
    <t>AMANDA.GABRIELE@DISCENTE.UFG.BR</t>
  </si>
  <si>
    <t>(62) 984687618</t>
  </si>
  <si>
    <t>JOÃO PEDRO SANTOS FERREIRA</t>
  </si>
  <si>
    <t>5852748</t>
  </si>
  <si>
    <t>70016292197</t>
  </si>
  <si>
    <t>74674380</t>
  </si>
  <si>
    <t>RUA J71, 10. QD-126 LT-10</t>
  </si>
  <si>
    <t>JPPRETO99@GMAIL.COM</t>
  </si>
  <si>
    <t>(62) 32389020</t>
  </si>
  <si>
    <t>(62) 998119832</t>
  </si>
  <si>
    <t>CAUANE RODRIGUES DE SOUZA</t>
  </si>
  <si>
    <t>373211</t>
  </si>
  <si>
    <t>07218871127</t>
  </si>
  <si>
    <t>72900438</t>
  </si>
  <si>
    <t>SANTO ANTÔNIO DO DESCOBERTO</t>
  </si>
  <si>
    <t>QUADRA QUADRA 17, 14.</t>
  </si>
  <si>
    <t>CAUANESOUZA168@GMAIL.COM</t>
  </si>
  <si>
    <t>(61) 98715796</t>
  </si>
  <si>
    <t>(61) 998715796</t>
  </si>
  <si>
    <t>ANNA LUIZA FEITOSA FERNANDES</t>
  </si>
  <si>
    <t>70072804122</t>
  </si>
  <si>
    <t>74360200</t>
  </si>
  <si>
    <t>ALAMEDA ANA MARIA MORAES VERANO, 1. QUADRA 40 LOTE 1</t>
  </si>
  <si>
    <t>ANNALUIZA2@DISCENTE.UFG.BR</t>
  </si>
  <si>
    <t>(62) 992472966</t>
  </si>
  <si>
    <t>BRENDA FERREIRA SILVA</t>
  </si>
  <si>
    <t>04947164107</t>
  </si>
  <si>
    <t>74966666</t>
  </si>
  <si>
    <t>RUA ALBERTO PASQUALINE, S/N. QD 30 LT 15 APARECIDA DE GOIÂNIA</t>
  </si>
  <si>
    <t>BRENDAFERREIRA070@GMAIL.COM</t>
  </si>
  <si>
    <t>(62) 96387199</t>
  </si>
  <si>
    <t>(62) 985095570</t>
  </si>
  <si>
    <t>ANNA LISSA MACENA DA SILVA</t>
  </si>
  <si>
    <t>3045657</t>
  </si>
  <si>
    <t>04839530165</t>
  </si>
  <si>
    <t>74083010</t>
  </si>
  <si>
    <t>RUA 82, CASA 04. N 35</t>
  </si>
  <si>
    <t>ANNALISSA.MACENA@HOTMAIL.COM</t>
  </si>
  <si>
    <t>(61) 993617318</t>
  </si>
  <si>
    <t>MARIA CLARA REGES CAMPOS</t>
  </si>
  <si>
    <t>7167917</t>
  </si>
  <si>
    <t>08423977102</t>
  </si>
  <si>
    <t>74703020</t>
  </si>
  <si>
    <t>AVENIDA JUIZ DE FORA, 0.</t>
  </si>
  <si>
    <t>REGESCLARA@GMAIL.COM</t>
  </si>
  <si>
    <t>(62) 996599096</t>
  </si>
  <si>
    <t>UNIVERSIDADE FEDERAL DE GOIÁS - UFG</t>
  </si>
  <si>
    <t>SUSANA DA SILVA MORAIS</t>
  </si>
  <si>
    <t>151268420009</t>
  </si>
  <si>
    <t>02201627355</t>
  </si>
  <si>
    <t>74890754</t>
  </si>
  <si>
    <t>RUA VN03, 00. CS 32, QD3, COND. SERRA DOURADA</t>
  </si>
  <si>
    <t>RESIDENCIAL BRISAS DO CERRADO</t>
  </si>
  <si>
    <t>SUSANASMORAIS@HOTMAIL.COM</t>
  </si>
  <si>
    <t>(62) 992471664</t>
  </si>
  <si>
    <t>LAILA VANESSA HONÓRIO FRANÇA</t>
  </si>
  <si>
    <t>6340236</t>
  </si>
  <si>
    <t>04030837107</t>
  </si>
  <si>
    <t>74455290</t>
  </si>
  <si>
    <t>ALAMEDA DA VISTA ALEGRE, 864. QUADRA 13 LOTE 17 CASA 4</t>
  </si>
  <si>
    <t>SÃO FRANCISCO</t>
  </si>
  <si>
    <t>LAILA_VANESSA@DISCENTE.UFG.BR</t>
  </si>
  <si>
    <t>(62) 99247083</t>
  </si>
  <si>
    <t>(62) 992470831</t>
  </si>
  <si>
    <t>LARISSA DOMINGOS DA SILVA</t>
  </si>
  <si>
    <t>5540519</t>
  </si>
  <si>
    <t>03848964139</t>
  </si>
  <si>
    <t>74030050</t>
  </si>
  <si>
    <t>RUA 14, 329. ED. DOM PRUDÊNCIO AP.201</t>
  </si>
  <si>
    <t>LARISSADOMINGOS123@HOTMAIL.COM</t>
  </si>
  <si>
    <t>(62) 993432984</t>
  </si>
  <si>
    <t>SENAC</t>
  </si>
  <si>
    <t>LUCIA MARIA TELES</t>
  </si>
  <si>
    <t>3102130</t>
  </si>
  <si>
    <t>55699499172</t>
  </si>
  <si>
    <t>SEPARADO</t>
  </si>
  <si>
    <t>74860480</t>
  </si>
  <si>
    <t>RUA SC 14, 04. QD.15 LT 04</t>
  </si>
  <si>
    <t>PARQUE SANTA CRUZ</t>
  </si>
  <si>
    <t>LUCIAM.TELES@GMAIL.COM</t>
  </si>
  <si>
    <t>(62) 983282249</t>
  </si>
  <si>
    <t>MARIANA SOUZA OLIVEIRA</t>
  </si>
  <si>
    <t>02714198147</t>
  </si>
  <si>
    <t>74310300</t>
  </si>
  <si>
    <t>1120 FLEMINGTON, 1120.</t>
  </si>
  <si>
    <t>RESIDENCIAL MANHATTAN</t>
  </si>
  <si>
    <t>MARIANASOUZAOLIVEIRAGO@GMAIL.COM</t>
  </si>
  <si>
    <t>(62) 36425953</t>
  </si>
  <si>
    <t>(62) 986074521</t>
  </si>
  <si>
    <t>ISABELLA ROSA DE CASTRO</t>
  </si>
  <si>
    <t>05179563143</t>
  </si>
  <si>
    <t>74605020</t>
  </si>
  <si>
    <t>AVENIDA PRIMEIRA AVENIDA, 634. EDIFÍCIO GEMINI</t>
  </si>
  <si>
    <t>ISA.CASTRO@OUTLOOK.COM</t>
  </si>
  <si>
    <t>(62) 998478362</t>
  </si>
  <si>
    <t>PAULA SOFIA BRITO SILVA</t>
  </si>
  <si>
    <t>6803589</t>
  </si>
  <si>
    <t>04684820165</t>
  </si>
  <si>
    <t>74160010</t>
  </si>
  <si>
    <t>AVENIDA 85, 1300. ED ITATIAIA, APTO 101 A</t>
  </si>
  <si>
    <t>PAH_SOFIA@HOTMAIL.COM</t>
  </si>
  <si>
    <t>(62) 999825146</t>
  </si>
  <si>
    <t>ISABELA LORAYNE B. DA LUZ ALVES</t>
  </si>
  <si>
    <t>5735521</t>
  </si>
  <si>
    <t>75249421172</t>
  </si>
  <si>
    <t>75340000</t>
  </si>
  <si>
    <t>HIDROLÂNDIA</t>
  </si>
  <si>
    <t>RUA PROFESSOR JURANDIR , 127. QD. 27, LT.06, CASA 2</t>
  </si>
  <si>
    <t>JARDIM ESMERALDA</t>
  </si>
  <si>
    <t>ISABELA_BORGESALVES12@HOTMAIL.COM</t>
  </si>
  <si>
    <t>(62) 98344328</t>
  </si>
  <si>
    <t>(62) 998344328</t>
  </si>
  <si>
    <t>GIOVANA COUTO BORGES</t>
  </si>
  <si>
    <t>02408055180</t>
  </si>
  <si>
    <t>74125140</t>
  </si>
  <si>
    <t>RUA R 12, 554.</t>
  </si>
  <si>
    <t>GIOVANACOUTOBORGES@GMAIL.COM</t>
  </si>
  <si>
    <t>(62) 984471224</t>
  </si>
  <si>
    <t>GABRIEL EDUARDO RANGEL LEÃO SALES</t>
  </si>
  <si>
    <t>70269377158</t>
  </si>
  <si>
    <t>74315340</t>
  </si>
  <si>
    <t>RUA UBERABA, 439. APARTAMENTO 404 TORRE TURIM</t>
  </si>
  <si>
    <t>JARDIM ANA LÚCIA</t>
  </si>
  <si>
    <t>GABRIELLEAO.AD@GMAIL.COM</t>
  </si>
  <si>
    <t>(64) 996436633</t>
  </si>
  <si>
    <t>KÁTIA CHRISTINA BORGES DE SOUSA</t>
  </si>
  <si>
    <t>59879394100</t>
  </si>
  <si>
    <t>74367633</t>
  </si>
  <si>
    <t>AVENIDA RAVENA, 125. TORRE 1 802</t>
  </si>
  <si>
    <t>KBORGES2310@GMAIL.COM</t>
  </si>
  <si>
    <t>(62) 991890448</t>
  </si>
  <si>
    <t>VITÓRIA BARCELOS DE ABREU</t>
  </si>
  <si>
    <t>6603843</t>
  </si>
  <si>
    <t>02013400110</t>
  </si>
  <si>
    <t>74655180</t>
  </si>
  <si>
    <t>RUA 240, 370. CONDOMÍNIO MARANGUAPE CASA 22</t>
  </si>
  <si>
    <t>VITORIABARCELOS2@OUTLOOK.COM</t>
  </si>
  <si>
    <t>(62) 996010192</t>
  </si>
  <si>
    <t>MAYLLA RODRIGUES ALVES</t>
  </si>
  <si>
    <t>70975200194</t>
  </si>
  <si>
    <t>74665440</t>
  </si>
  <si>
    <t>RUA NC 4, 00. QUADRA 28, LOTE 08</t>
  </si>
  <si>
    <t>MAYLLA2721@GMAIL.COM</t>
  </si>
  <si>
    <t>(62) 999999689</t>
  </si>
  <si>
    <t>BEATRIZ MENDES DE SOUZA</t>
  </si>
  <si>
    <t>70772095124</t>
  </si>
  <si>
    <t>74786432</t>
  </si>
  <si>
    <t>RUA 11, 00. QUADRA 3, LOTE 16</t>
  </si>
  <si>
    <t>RESIDENCIAL PAULO ESTRELA</t>
  </si>
  <si>
    <t>BEATRIZMENDES1515220@HOTMAIL.COM</t>
  </si>
  <si>
    <t>(62) 32085356</t>
  </si>
  <si>
    <t>(62) 999664695</t>
  </si>
  <si>
    <t>KATIANE ASSIS BUENO</t>
  </si>
  <si>
    <t>6892087</t>
  </si>
  <si>
    <t>06491259161</t>
  </si>
  <si>
    <t>74440320</t>
  </si>
  <si>
    <t>RUA SÃO JORGE, 0. QUADRA 509, LOTE 03</t>
  </si>
  <si>
    <t>SETOR SÃO JOSÉ</t>
  </si>
  <si>
    <t>KATIANEABUENO@GMAIL.COM</t>
  </si>
  <si>
    <t>(62) 36093414</t>
  </si>
  <si>
    <t>(62) 985781267</t>
  </si>
  <si>
    <t>ANA CLARA RODRIGUES MENDES DO NASCIMENTO</t>
  </si>
  <si>
    <t>6656844</t>
  </si>
  <si>
    <t>70715403141</t>
  </si>
  <si>
    <t>74860909</t>
  </si>
  <si>
    <t>RUA LERAN, 4 / 6 QUADRA 4, 0. RESIDENCIAL GUARANIS 2 BL 4C APTO 201</t>
  </si>
  <si>
    <t>PARQUE ACALANTO</t>
  </si>
  <si>
    <t>ANA.MENDESROD@GMAIL.COM</t>
  </si>
  <si>
    <t>(62) 84466946</t>
  </si>
  <si>
    <t>(62) 993230876</t>
  </si>
  <si>
    <t>ANA CARLA CEZAR FERREIRA</t>
  </si>
  <si>
    <t>70863096131</t>
  </si>
  <si>
    <t>74371050</t>
  </si>
  <si>
    <t>RUA MARIA CAROLINA DE JESUS, QUADRA 11. LOTE 12</t>
  </si>
  <si>
    <t>RESIDENCIAL ELI FORTE</t>
  </si>
  <si>
    <t>CARLAVOX13@GMAIL.COM</t>
  </si>
  <si>
    <t>(62) 35756204</t>
  </si>
  <si>
    <t>(62) 986007673</t>
  </si>
  <si>
    <t>CARLA MARIA DE RESENDE</t>
  </si>
  <si>
    <t>70981070183</t>
  </si>
  <si>
    <t>74353240</t>
  </si>
  <si>
    <t>RUA PRESIDENTE JOSÉ LINHARES, BLOCO 3. CONDOMÍNIO ROSA DOS VENTOS, ÁREA 2, BLOCO 3</t>
  </si>
  <si>
    <t>CARLAMRPSI@GMAIL.COM</t>
  </si>
  <si>
    <t>(62) 99928363</t>
  </si>
  <si>
    <t>(62) 999283636</t>
  </si>
  <si>
    <t>SABRINA DE ANDRADE TEIXEIRA</t>
  </si>
  <si>
    <t>09036420504</t>
  </si>
  <si>
    <t>74353310</t>
  </si>
  <si>
    <t>RUA PRESIDENTE MADISON, S/N. CASA</t>
  </si>
  <si>
    <t>SABRINA.ATX@OUTLOOK.COM</t>
  </si>
  <si>
    <t>(74) 999351294</t>
  </si>
  <si>
    <t>INSTITUTO DE PÓS GRADUAÇÃO &amp; GRADUAÇÃO IPOG</t>
  </si>
  <si>
    <t>LEIA MARIA TEIXEIRA COELHO</t>
  </si>
  <si>
    <t>5787817</t>
  </si>
  <si>
    <t>98311662134</t>
  </si>
  <si>
    <t>74170030</t>
  </si>
  <si>
    <t>RUA 144, 00. QD 60 BLOCO 20 AP 301</t>
  </si>
  <si>
    <t>LEIAMARIA_65@HOTMAIL.COM</t>
  </si>
  <si>
    <t>(62) 36095985</t>
  </si>
  <si>
    <t>(62) 985921633</t>
  </si>
  <si>
    <t>JÓYCY KELLY NASCIMENTO DOS SANTOS</t>
  </si>
  <si>
    <t>8311710</t>
  </si>
  <si>
    <t>08155457540</t>
  </si>
  <si>
    <t>74495270</t>
  </si>
  <si>
    <t>RUA VC 50, 0. EM FRENTE AO LAVA JATO.</t>
  </si>
  <si>
    <t>JOYCYKELLY2409@GMAIL.COM</t>
  </si>
  <si>
    <t>(62) 985314021</t>
  </si>
  <si>
    <t>FREDSON VITORINO DE LIMA</t>
  </si>
  <si>
    <t>08728525124</t>
  </si>
  <si>
    <t>74863115</t>
  </si>
  <si>
    <t>AVENIDA ANGÉLICA, 09. PRÓXIMO AO CAMARGO'S BAR</t>
  </si>
  <si>
    <t>FREDSONVITORINODELIMAV@GMAIL.COM</t>
  </si>
  <si>
    <t>(62) 984933863</t>
  </si>
  <si>
    <t>GABRIELA GOMES DE ALENCAR</t>
  </si>
  <si>
    <t>6437831</t>
  </si>
  <si>
    <t>70506603105</t>
  </si>
  <si>
    <t>74670710</t>
  </si>
  <si>
    <t>RUA PORAQUÊ, C 1. QD. 24 LT. 11</t>
  </si>
  <si>
    <t>SANTA GENOVEVA</t>
  </si>
  <si>
    <t>GABRIELAALENNCAR12@GMAIL.COM</t>
  </si>
  <si>
    <t>(62) 999113080</t>
  </si>
  <si>
    <t>FACULDADE ESTÁCIO DE SÁ</t>
  </si>
  <si>
    <t>LETICIA BARBOSA GARCIA</t>
  </si>
  <si>
    <t>70391094173</t>
  </si>
  <si>
    <t>RUA 20, 638. PAMONHARIA</t>
  </si>
  <si>
    <t>LETICIA18281@GMAIL.COM</t>
  </si>
  <si>
    <t>(62) 96963662</t>
  </si>
  <si>
    <t>(62) 996502269</t>
  </si>
  <si>
    <t>PATRICIA VICTORIA SANTOS DE ALMEIDA</t>
  </si>
  <si>
    <t>6238441</t>
  </si>
  <si>
    <t>70772052158</t>
  </si>
  <si>
    <t>74916270</t>
  </si>
  <si>
    <t>RUA SÃO JORGE, 2. Q:83 L:6</t>
  </si>
  <si>
    <t>JARDIM NOVA ERA</t>
  </si>
  <si>
    <t>PATRICIAVICTORIA487@GMAIL.COM</t>
  </si>
  <si>
    <t>(62) 32900138</t>
  </si>
  <si>
    <t>(62) 995791087</t>
  </si>
  <si>
    <t>KARITA THUANNE DE MELO PEREIRA</t>
  </si>
  <si>
    <t>5696905</t>
  </si>
  <si>
    <t>04062772140</t>
  </si>
  <si>
    <t>74942425</t>
  </si>
  <si>
    <t>RUA RIO BONITO, 02. QD 285 LT 4 CS 2</t>
  </si>
  <si>
    <t>KARITATMELO@OUTLOOK.COM</t>
  </si>
  <si>
    <t>(55) 62982792</t>
  </si>
  <si>
    <t>(62) 982792910</t>
  </si>
  <si>
    <t>CENTRO UNIVERSITÁRIO ESTÁCIO DE SÁ FESGO</t>
  </si>
  <si>
    <t>JULIA MARQUES NASCIMENTO</t>
  </si>
  <si>
    <t>6648155</t>
  </si>
  <si>
    <t>70707851190</t>
  </si>
  <si>
    <t>AVENIDA COPACABANA, 135.</t>
  </si>
  <si>
    <t>MNASCIMENTO.JULIA1@GMAIL.COM</t>
  </si>
  <si>
    <t>(62) 982792903</t>
  </si>
  <si>
    <t>ERICKA LUANNA SOUSA DOS SANTOS</t>
  </si>
  <si>
    <t>02282422236</t>
  </si>
  <si>
    <t>74420350</t>
  </si>
  <si>
    <t>RUA URUAÇU, 211. QD 45 LOTE 17</t>
  </si>
  <si>
    <t>ERICKASANMARKS@GMAIL.COM</t>
  </si>
  <si>
    <t>(62) 39428911</t>
  </si>
  <si>
    <t>(62) 996530454</t>
  </si>
  <si>
    <t>FACUNICAMPS - FACULDADE UNIDA DE CAMPINAS</t>
  </si>
  <si>
    <t>NICOLE CARVALHO SOBRINHO</t>
  </si>
  <si>
    <t>6236206</t>
  </si>
  <si>
    <t>05966627185</t>
  </si>
  <si>
    <t>74603190</t>
  </si>
  <si>
    <t>RUA 242, 0. RESIDENCIAL GONZALEZ</t>
  </si>
  <si>
    <t>NICOLE_CARVALHO03@OUTLOOK.COM</t>
  </si>
  <si>
    <t>(62) 99638010</t>
  </si>
  <si>
    <t>(62) 996380103</t>
  </si>
  <si>
    <t>BEATRIZ GONÇALVES MENDES</t>
  </si>
  <si>
    <t>70695796160</t>
  </si>
  <si>
    <t>74573391</t>
  </si>
  <si>
    <t>RUA HM 6, S/N.</t>
  </si>
  <si>
    <t>RESIDENCIAL HUGO DE MORAES</t>
  </si>
  <si>
    <t>BIA99349904@GMAIL.COM</t>
  </si>
  <si>
    <t>(62) 996708538</t>
  </si>
  <si>
    <t>AUANNE FREITAS GOMES DE MORAIS</t>
  </si>
  <si>
    <t>07181147102</t>
  </si>
  <si>
    <t>74675650</t>
  </si>
  <si>
    <t>RUA PIRIPIRI, 01. QUADRA 62 LOTE 03</t>
  </si>
  <si>
    <t>AUANNE.GOMES@GMAIL.COM</t>
  </si>
  <si>
    <t>(62) 32071633</t>
  </si>
  <si>
    <t>(62) 991157005</t>
  </si>
  <si>
    <t>UNIVERSIDADE SALGADO DE OLIVEIRA - UNIVERSO</t>
  </si>
  <si>
    <t>GABRIELLA DUARTE SOUZA FERREIRA</t>
  </si>
  <si>
    <t>6711438</t>
  </si>
  <si>
    <t>70770079105</t>
  </si>
  <si>
    <t>74720210</t>
  </si>
  <si>
    <t>RUA EQUADOR, S/N.</t>
  </si>
  <si>
    <t>VILA MARIA LUIZA</t>
  </si>
  <si>
    <t>GABRIELLAXXX036DUARTE@GMAIL.COM</t>
  </si>
  <si>
    <t>(62) 984572823</t>
  </si>
  <si>
    <t>JULIA VIEIRA RODRIGUES</t>
  </si>
  <si>
    <t>6144448</t>
  </si>
  <si>
    <t>70228529107</t>
  </si>
  <si>
    <t>AVENIDA CANAÃ, S/N. QUADRA 156 LOTE 04</t>
  </si>
  <si>
    <t>JULIAVIEIRARD@GMAIL.COM</t>
  </si>
  <si>
    <t>(62) 992874155</t>
  </si>
  <si>
    <t>UNIVERSIDADE SALGADO DE OLIVEIRA - UNIVERSO GOIÂNIA</t>
  </si>
  <si>
    <t>LETICIA PREGO FONSECA DE LIMA</t>
  </si>
  <si>
    <t>03312434157</t>
  </si>
  <si>
    <t>74305440</t>
  </si>
  <si>
    <t>RUA C55, SN.</t>
  </si>
  <si>
    <t>LEKA_PREGO@HOTMAIL.COM</t>
  </si>
  <si>
    <t>(62) 30922647</t>
  </si>
  <si>
    <t>(62) 984122268</t>
  </si>
  <si>
    <t>LIRIEL VITÓRIA RODRIGUES DE SOUZA</t>
  </si>
  <si>
    <t>07151138105</t>
  </si>
  <si>
    <t>74922305</t>
  </si>
  <si>
    <t>RUA X 35, S/N. QD 31, LT 35</t>
  </si>
  <si>
    <t>JARDIM OLÍMPICO</t>
  </si>
  <si>
    <t>LIRIELVITORIA3@GMAIL.COM</t>
  </si>
  <si>
    <t>(62) 985206937</t>
  </si>
  <si>
    <t>CENTRO UNIVERSITÁRIO ALFREDO NASSER UNIFAN</t>
  </si>
  <si>
    <t>THAYNARA ALVES DOS SANTOS</t>
  </si>
  <si>
    <t>6741605</t>
  </si>
  <si>
    <t>01086884108</t>
  </si>
  <si>
    <t>74893310</t>
  </si>
  <si>
    <t>RUA 7 UNIDADE 205, 6A.</t>
  </si>
  <si>
    <t>THAYNARA0ALVES@GMAIL.COM</t>
  </si>
  <si>
    <t>(62) 39916262</t>
  </si>
  <si>
    <t>(62) 995417397</t>
  </si>
  <si>
    <t>UNIP UNIVERSIDADE PAULISTA</t>
  </si>
  <si>
    <t>RAINE CANGIRAMA DE FRANCA</t>
  </si>
  <si>
    <t>6930696</t>
  </si>
  <si>
    <t>07982499198</t>
  </si>
  <si>
    <t>74786385</t>
  </si>
  <si>
    <t>RUA RIO GRANDE, 07. LOTE 45 CASA 02</t>
  </si>
  <si>
    <t>RAINEFRANCA2709@GMAIL.COM</t>
  </si>
  <si>
    <t>(62) 995311249</t>
  </si>
  <si>
    <t>JOAO VITOR PAIVASILVA</t>
  </si>
  <si>
    <t>7027038</t>
  </si>
  <si>
    <t>71076529151</t>
  </si>
  <si>
    <t>74330540</t>
  </si>
  <si>
    <t>RUA BARCELONA, 1. QDR 180 LT 34</t>
  </si>
  <si>
    <t>JVP2016.8@GMAIL.COM</t>
  </si>
  <si>
    <t>(62) 99875529</t>
  </si>
  <si>
    <t>(62) 986516985</t>
  </si>
  <si>
    <t>AYSHA LOPES NASCIMENTO</t>
  </si>
  <si>
    <t>02230338129</t>
  </si>
  <si>
    <t>74490867</t>
  </si>
  <si>
    <t>VIA DE ACESSO 4, 192. CASA</t>
  </si>
  <si>
    <t>RESIDENCIAL BERTIM BELCHIOR 2ª ETAPA</t>
  </si>
  <si>
    <t>NASCIMENTOAYSHA@GMAIL.COM</t>
  </si>
  <si>
    <t>(62) 981364175</t>
  </si>
  <si>
    <t>ANA PAULA MOREIRA ALVES</t>
  </si>
  <si>
    <t>6173083</t>
  </si>
  <si>
    <t>70253451132</t>
  </si>
  <si>
    <t>74255150</t>
  </si>
  <si>
    <t>RUA C 158, 00. QD 426 LT 15</t>
  </si>
  <si>
    <t>ANA.MALLVESZ@GMAIL.COM</t>
  </si>
  <si>
    <t>(62) 84208727</t>
  </si>
  <si>
    <t>(62) 984208727</t>
  </si>
  <si>
    <t>HALEFFE PEREIRA DE DEUS</t>
  </si>
  <si>
    <t>70910319111</t>
  </si>
  <si>
    <t>74593380</t>
  </si>
  <si>
    <t>AVENIDA MÁRCIO DA SILVA, S/N. QD 80A LT 10</t>
  </si>
  <si>
    <t>HALEFFEPEREIRA12@GMAIL.COM</t>
  </si>
  <si>
    <t>(62) 985045323</t>
  </si>
  <si>
    <t>MATHEUS ALVES RODRIGUES</t>
  </si>
  <si>
    <t>71047505177</t>
  </si>
  <si>
    <t>74473730</t>
  </si>
  <si>
    <t>RUA VF 82, 00. QD62 LT41</t>
  </si>
  <si>
    <t>VILA FINSOCIAL</t>
  </si>
  <si>
    <t>MATHEUS.ALVESRODRIGUES1999@GMAIL.COM</t>
  </si>
  <si>
    <t>(62) 998503520</t>
  </si>
  <si>
    <t>TIFANY QUEIROZ GOMES</t>
  </si>
  <si>
    <t>71048701131</t>
  </si>
  <si>
    <t>74481150</t>
  </si>
  <si>
    <t>RUA JC33, CHACARA 16. CHÁCARA 16 A</t>
  </si>
  <si>
    <t>JARDIM CURITIBA</t>
  </si>
  <si>
    <t>QUEIROZTIFANY91@GMAIL.COM</t>
  </si>
  <si>
    <t>(62) 36249841</t>
  </si>
  <si>
    <t>(62) 996020372</t>
  </si>
  <si>
    <t>UNIALFA PERIMETRAL</t>
  </si>
  <si>
    <t>KAREN VITÓRIA PEREIRA SANTOS CARVALHO</t>
  </si>
  <si>
    <t>03721206100</t>
  </si>
  <si>
    <t>74565020</t>
  </si>
  <si>
    <t>AVENIDA PAMPULHA, 000. QUADRA 50 LOTE03</t>
  </si>
  <si>
    <t>KARENVITORIA7549@GMAIL.COM</t>
  </si>
  <si>
    <t>(62) 32100288</t>
  </si>
  <si>
    <t>(62) 985907538</t>
  </si>
  <si>
    <t>HORTON OLIVEIRA DE PAULA</t>
  </si>
  <si>
    <t>04413641108</t>
  </si>
  <si>
    <t>RUA 235, 115. RUA 235, 115, Q56 L12 APARTAMENTO 205</t>
  </si>
  <si>
    <t>HORTONOLIVEIRA4@OUTLOOK.COM</t>
  </si>
  <si>
    <t>(62) 984041089</t>
  </si>
  <si>
    <t>TATIANE SOUSA DA ROCHA</t>
  </si>
  <si>
    <t>0607410920164</t>
  </si>
  <si>
    <t>61643957392</t>
  </si>
  <si>
    <t>74063030</t>
  </si>
  <si>
    <t>AVENIDA DOS FERROVIÁRIOS, 90A. CASA</t>
  </si>
  <si>
    <t>TATYANE.ROC123@GMAIL.COM</t>
  </si>
  <si>
    <t>(62) 85120563</t>
  </si>
  <si>
    <t>(62) 985120563</t>
  </si>
  <si>
    <t>VICTÓRIA MYLENA ALMEIDA DE SOUZA</t>
  </si>
  <si>
    <t>06869636109</t>
  </si>
  <si>
    <t>74605070</t>
  </si>
  <si>
    <t>RUA 239, 20. RESIDENCIAL UNIVERSITÁRIO</t>
  </si>
  <si>
    <t>VICTORIAMYLENA04@HOTMAIL.COM</t>
  </si>
  <si>
    <t>(63) 992116740</t>
  </si>
  <si>
    <t>JESSICA ILDA IZIDORO FERNANDES</t>
  </si>
  <si>
    <t>05358016916</t>
  </si>
  <si>
    <t>03810253146</t>
  </si>
  <si>
    <t>74491355</t>
  </si>
  <si>
    <t>RUA DA FLORESTA, SN. QD 09 LT 24</t>
  </si>
  <si>
    <t>RESIDENCIAL MUNDO NOVO 3</t>
  </si>
  <si>
    <t>JESSICAIIF22@GMAIL.COM</t>
  </si>
  <si>
    <t>(62) 993793995</t>
  </si>
  <si>
    <t>RONY PETERSON DOS SANTOS PEREIRA</t>
  </si>
  <si>
    <t>70123301122</t>
  </si>
  <si>
    <t>RUA T 29, 875. RESIDENCIAL SUBLIME</t>
  </si>
  <si>
    <t>RONYPETERSON1020@GMAIL.COM</t>
  </si>
  <si>
    <t>(62) 996952063</t>
  </si>
  <si>
    <t>LARISSA CRISTINA ROGERIO DE LIMA</t>
  </si>
  <si>
    <t>6515403</t>
  </si>
  <si>
    <t>70578596199</t>
  </si>
  <si>
    <t>74477384</t>
  </si>
  <si>
    <t>R BS 12, 12. QD 6 L 12</t>
  </si>
  <si>
    <t>SAO DOMINGOS</t>
  </si>
  <si>
    <t>LARIXACRIS@GMAIL.COM</t>
  </si>
  <si>
    <t>(62) 982786567</t>
  </si>
  <si>
    <t>ANDRESSA VIEIRA PULUCENO</t>
  </si>
  <si>
    <t>02623423164</t>
  </si>
  <si>
    <t>75380685</t>
  </si>
  <si>
    <t>RUA PEDRO ROQUE DE BRITO, SEM NÚMERO. QD. 30 LT. 08 CASA 01</t>
  </si>
  <si>
    <t>SETOR DOS BANDEIRANTES</t>
  </si>
  <si>
    <t>ANDRESSAPULUCENO@GMAIL.COM</t>
  </si>
  <si>
    <t>(62) 994975761</t>
  </si>
  <si>
    <t>JULIANNY ARRUDA RODRIGUES</t>
  </si>
  <si>
    <t>6692821</t>
  </si>
  <si>
    <t>70754285197</t>
  </si>
  <si>
    <t>74391150</t>
  </si>
  <si>
    <t>RUA DESEMBARGADOR EMÍLIO FLEURY DE BRITO, 02. QUADRA 11</t>
  </si>
  <si>
    <t>JURARRUDAA@OUTLOOK.COM</t>
  </si>
  <si>
    <t>(62) 35760287</t>
  </si>
  <si>
    <t>(62) 986265084</t>
  </si>
  <si>
    <t>CAMBURY</t>
  </si>
  <si>
    <t>REJANE MICHELE SILVA SOUZA</t>
  </si>
  <si>
    <t>88922324104</t>
  </si>
  <si>
    <t>74535440</t>
  </si>
  <si>
    <t>RUA 254, 207. QD.27, LT27</t>
  </si>
  <si>
    <t>SETOR COIMBRA</t>
  </si>
  <si>
    <t>REJANEMICHELESOUZA@GMAIL.COM</t>
  </si>
  <si>
    <t>(62) 981780771</t>
  </si>
  <si>
    <t>UNICAMBURY</t>
  </si>
  <si>
    <t>HELEN OLIVEIRA FACHINELLI CAVALCANTE</t>
  </si>
  <si>
    <t>6837666</t>
  </si>
  <si>
    <t>06400075119</t>
  </si>
  <si>
    <t>74715060</t>
  </si>
  <si>
    <t>RUA BAGÉ, 105. Q.51 L25</t>
  </si>
  <si>
    <t>HELENFACHINELLI@GMAIL.COM</t>
  </si>
  <si>
    <t>(62) 98105896</t>
  </si>
  <si>
    <t>(62) 981058965</t>
  </si>
  <si>
    <t>ANA CLARA ROMUALDO CARVALHO</t>
  </si>
  <si>
    <t>01876612193</t>
  </si>
  <si>
    <t>ALAMEDA DAS ROSAS, 647. APTO 2400</t>
  </si>
  <si>
    <t>ANA.CLARARC443@GMAIL.COM</t>
  </si>
  <si>
    <t>(62) 999017060</t>
  </si>
  <si>
    <t>BEATRIZ FREIRE BANDEIRA DE ALMEIDA</t>
  </si>
  <si>
    <t>70512135126</t>
  </si>
  <si>
    <t>74543350</t>
  </si>
  <si>
    <t>RUA P 21, 241. CASA 1</t>
  </si>
  <si>
    <t>BIIAFREIRE@ICLOUD.COM</t>
  </si>
  <si>
    <t>(62) 982275738</t>
  </si>
  <si>
    <t>GABRIELLA FRANCA CANDIDA DE ALMEIDA</t>
  </si>
  <si>
    <t>5475433</t>
  </si>
  <si>
    <t>03604247160</t>
  </si>
  <si>
    <t>RUA C 158, 1256. RESIDENCIAL ALTAMIR CAMARGO, APT 702</t>
  </si>
  <si>
    <t>GABRIELLAFRANCAC@GMAIL.COM</t>
  </si>
  <si>
    <t>(62) 991492282</t>
  </si>
  <si>
    <t>THAYS COELHO FONSECA</t>
  </si>
  <si>
    <t>4037505</t>
  </si>
  <si>
    <t>99458667100</t>
  </si>
  <si>
    <t>74474315</t>
  </si>
  <si>
    <t>RUA RB 6, 00. QD 21 LOTE 27</t>
  </si>
  <si>
    <t>RESIDENCIAL RECANTO DO BOSQUE</t>
  </si>
  <si>
    <t>THAYSCOELHOADM30@GMAIL.COM</t>
  </si>
  <si>
    <t>(62) 39987870</t>
  </si>
  <si>
    <t>(62) 983320945</t>
  </si>
  <si>
    <t>JOYCE CRISTINA CALIXTO DE SOUSA</t>
  </si>
  <si>
    <t>71188794108</t>
  </si>
  <si>
    <t>75250242</t>
  </si>
  <si>
    <t>RUA JARDIM BOTÂNICO, QUADRA 18. CASA 01</t>
  </si>
  <si>
    <t>RESIDENCIAL JARDIM CANEDO II</t>
  </si>
  <si>
    <t>JOYCECRISTINASOUZ4@GMAIL.COM</t>
  </si>
  <si>
    <t>(62) 995644751</t>
  </si>
  <si>
    <t>ELIZA DA SILVA SANTOS</t>
  </si>
  <si>
    <t>5416255</t>
  </si>
  <si>
    <t>70165764180</t>
  </si>
  <si>
    <t>74075100</t>
  </si>
  <si>
    <t>AVENIDA TOCANTINS, 1114. ED. RIO CLARO DE JATAÍ, APT. 504</t>
  </si>
  <si>
    <t>ELIZA_SANTOS@DISCENTE.UFG.BR</t>
  </si>
  <si>
    <t>(62) 91295804</t>
  </si>
  <si>
    <t>(62) 996049270</t>
  </si>
  <si>
    <t>BARBARAH DANNIELE PINHEIRO TAVARES</t>
  </si>
  <si>
    <t>02794580108</t>
  </si>
  <si>
    <t>74890764</t>
  </si>
  <si>
    <t>RUA VN08, 13. CASA 36 SALTO DE CORUMBÁ</t>
  </si>
  <si>
    <t>BARBARAHDANNIELEPT@GMAIL.COM</t>
  </si>
  <si>
    <t>(62) 20201360</t>
  </si>
  <si>
    <t>(62) 993095805</t>
  </si>
  <si>
    <t>MIRIAM RIBEIRO FERREIRA</t>
  </si>
  <si>
    <t>6695303</t>
  </si>
  <si>
    <t>06911947189</t>
  </si>
  <si>
    <t>RUA 239, 469. QD 88, LT 22</t>
  </si>
  <si>
    <t>MINHAN.AMOR@GMAIL.COM</t>
  </si>
  <si>
    <t>(62) 984661685</t>
  </si>
  <si>
    <t>ALICE PEIXOTO VIANA</t>
  </si>
  <si>
    <t>6061038</t>
  </si>
  <si>
    <t>04812684137</t>
  </si>
  <si>
    <t>74681600</t>
  </si>
  <si>
    <t>RUA DONA FIRMINA, S/N. CASA 04</t>
  </si>
  <si>
    <t>FAZENDA PETRÓPOLIS - RESIDENCIAL MONTE VERDE</t>
  </si>
  <si>
    <t>ALICEPVIANA@GMAIL.COM</t>
  </si>
  <si>
    <t>(62) 982158201</t>
  </si>
  <si>
    <t>YASHYLA RODRIGUES DIAS</t>
  </si>
  <si>
    <t>4487467</t>
  </si>
  <si>
    <t>01537578170</t>
  </si>
  <si>
    <t>RUA 254, 310. CASA 1</t>
  </si>
  <si>
    <t>YASHYLA.DIAS@GMAIL.COM</t>
  </si>
  <si>
    <t>(62) 32913237</t>
  </si>
  <si>
    <t>(62) 981495415</t>
  </si>
  <si>
    <t>CENTRO UNIVERSITÁRIO ALVES FARIAS - UNIALFA</t>
  </si>
  <si>
    <t>MARIA ISABELLA PINHEIRO DUTRA</t>
  </si>
  <si>
    <t>03989223143</t>
  </si>
  <si>
    <t>RUA T 37, 3479. APT 302</t>
  </si>
  <si>
    <t>PSIMIPD@HOTMAIL.COM</t>
  </si>
  <si>
    <t>(62) 99689626</t>
  </si>
  <si>
    <t>(62) 996896264</t>
  </si>
  <si>
    <t>JACIARA SANTANA DOS SANTOS</t>
  </si>
  <si>
    <t>08629734140</t>
  </si>
  <si>
    <t>74110110</t>
  </si>
  <si>
    <t>RUA 9 A, 198. CONDOMÍNIO ED. ITAPARICA</t>
  </si>
  <si>
    <t>SANTTOS.JACIARA@GMAIL.COM</t>
  </si>
  <si>
    <t>(62) 994957492</t>
  </si>
  <si>
    <t>ELISANGELA NUNES GONÇALVES</t>
  </si>
  <si>
    <t>85129585100</t>
  </si>
  <si>
    <t>74594087</t>
  </si>
  <si>
    <t>RUA VF 15, 0. QD 16 LT12</t>
  </si>
  <si>
    <t>ELISANGELASANTOS1205@GMAIL.COM</t>
  </si>
  <si>
    <t>(62) 85682397</t>
  </si>
  <si>
    <t>(62) 985682397</t>
  </si>
  <si>
    <t>SERVIÇO SOCIAL</t>
  </si>
  <si>
    <t>PAULO SÉRGIO DE OLIVEIRA MACHADO</t>
  </si>
  <si>
    <t>4092814</t>
  </si>
  <si>
    <t>96620641172</t>
  </si>
  <si>
    <t>74393670</t>
  </si>
  <si>
    <t>RUA ALPHA11, 165. QD. 09 LT. 03</t>
  </si>
  <si>
    <t>LOTEAMENTO ALPHAVILLE RESIDENCIAL</t>
  </si>
  <si>
    <t>PAULOS_DEO_MACHADO@OUTLOOK.COM</t>
  </si>
  <si>
    <t>(62) 32968818</t>
  </si>
  <si>
    <t>(62) 993995899</t>
  </si>
  <si>
    <t>LUDIELEN RIBEIRO DE OLIVEIRA</t>
  </si>
  <si>
    <t>4919265</t>
  </si>
  <si>
    <t>02275717110</t>
  </si>
  <si>
    <t>74455227</t>
  </si>
  <si>
    <t>RUA HUMAITÁ, S/N. QD 71 LT1/22</t>
  </si>
  <si>
    <t>LUDIELENRIBEIRO@HOTMAIL.COM</t>
  </si>
  <si>
    <t>(62) 82334310</t>
  </si>
  <si>
    <t>(62) 982334310</t>
  </si>
  <si>
    <t>ARQUITETURA</t>
  </si>
  <si>
    <t>MARCOS ROBERTO NEVES DE OLIVEIRA</t>
  </si>
  <si>
    <t>3859663</t>
  </si>
  <si>
    <t>94428409168</t>
  </si>
  <si>
    <t>75388661</t>
  </si>
  <si>
    <t>RUA IPIRANGA, 31. CASA 01</t>
  </si>
  <si>
    <t>MARCOSRNO@HOTMAIL.COM</t>
  </si>
  <si>
    <t>(62) 996521791</t>
  </si>
  <si>
    <t>LARA GABRIELLY TIERRE HONORIO</t>
  </si>
  <si>
    <t>75314541149</t>
  </si>
  <si>
    <t>74850410</t>
  </si>
  <si>
    <t>RUA COUTO MAGALHÃES, 01. Q26 L7</t>
  </si>
  <si>
    <t>LARATIERRE03@GMAIL.COM</t>
  </si>
  <si>
    <t>(62) 32827052</t>
  </si>
  <si>
    <t>(62) 996642885</t>
  </si>
  <si>
    <t>REGIANE CAVALCANTE DOS SANTOS</t>
  </si>
  <si>
    <t>7172538</t>
  </si>
  <si>
    <t>71205200169</t>
  </si>
  <si>
    <t>75250475</t>
  </si>
  <si>
    <t>RUA S 31A, SN. Q 20 LT04</t>
  </si>
  <si>
    <t>CONJUNTO MORADA DO MORRO</t>
  </si>
  <si>
    <t>REGIANECAVALCANTE245@GMAIL.COM</t>
  </si>
  <si>
    <t>(62) 992303449</t>
  </si>
  <si>
    <t>CENTRO UNIVERSITÁRIO UNIARAGUAIA</t>
  </si>
  <si>
    <t>SÂMELLA SOARES FORTALEZA</t>
  </si>
  <si>
    <t>6774203</t>
  </si>
  <si>
    <t>70826350100</t>
  </si>
  <si>
    <t>74480430</t>
  </si>
  <si>
    <t>RUA DA DIVISA, 00. CHÁCARA 06</t>
  </si>
  <si>
    <t>SAMELLLA.SF@GMAIL.COM</t>
  </si>
  <si>
    <t>(62) 95592059</t>
  </si>
  <si>
    <t>(62) 995592059</t>
  </si>
  <si>
    <t>GOIANIRA - GO</t>
  </si>
  <si>
    <t>INGRID SOUZA SOARES</t>
  </si>
  <si>
    <t>5101331</t>
  </si>
  <si>
    <t>03361565103</t>
  </si>
  <si>
    <t>75360578</t>
  </si>
  <si>
    <t>RUA RODRIGUES NASCIMENTO QD 03 LT 11, S\N.</t>
  </si>
  <si>
    <t>RESIDENCIAL PORTO SEGURO</t>
  </si>
  <si>
    <t>INDISOUZA8411@GMAIL.COM</t>
  </si>
  <si>
    <t>(62) 984112827</t>
  </si>
  <si>
    <t>DANIEL BAUER SCHAITL</t>
  </si>
  <si>
    <t>05494056155</t>
  </si>
  <si>
    <t>74690222</t>
  </si>
  <si>
    <t>RUA MB 3, 16. CASA DE MURO E DE PORTÃO AZUL</t>
  </si>
  <si>
    <t>RESIDENCIAL MORADA DO BOSQUE</t>
  </si>
  <si>
    <t>DANIEL_SCHAITL@DISCENTE.UFG.BR</t>
  </si>
  <si>
    <t>(62) 35653067</t>
  </si>
  <si>
    <t>(62) 997003066</t>
  </si>
  <si>
    <t>UNIVERSIDADE FEDERAL DE GOIÁS (UFG)</t>
  </si>
  <si>
    <t>GOIÁS - GO</t>
  </si>
  <si>
    <t>LANA CRISTINA DA SILVA MONTEIRO</t>
  </si>
  <si>
    <t>06578988130</t>
  </si>
  <si>
    <t>76600000</t>
  </si>
  <si>
    <t>GOIÁS</t>
  </si>
  <si>
    <t>RUA 7, QUADRA 1, LOTE 2, 0. AO LAGO DO GÁS</t>
  </si>
  <si>
    <t>VILA SERRA DOURADA</t>
  </si>
  <si>
    <t>LANA_MONTEIRO@DISCENTE.UFG.BR</t>
  </si>
  <si>
    <t>(62) 85605932</t>
  </si>
  <si>
    <t>(62) 985605932</t>
  </si>
  <si>
    <t>ORION ALVES DE CASTRO NETO</t>
  </si>
  <si>
    <t>06487693138</t>
  </si>
  <si>
    <t>ABADIA DE GOIÁS</t>
  </si>
  <si>
    <t>AVENIDA DARIO DE PAIVA SAMPAIO, SEM NÚMERO. GOIÁS- GO, EM FRENTE AO POSTO SOTA, GO- 070</t>
  </si>
  <si>
    <t>ORIONNETO@DISCENTE.UFG.BR</t>
  </si>
  <si>
    <t>(62) 33711718</t>
  </si>
  <si>
    <t>(62) 991381317</t>
  </si>
  <si>
    <t>UNIVERSIDADE FEDERAL DE GOIÁS - REGIONAL GOIÁS</t>
  </si>
  <si>
    <t>ANNA LYSSA FERREIRA CABALINE</t>
  </si>
  <si>
    <t>05798113108</t>
  </si>
  <si>
    <t>RUA DO BARREIRINHO, QD 00, L. 00, 000.</t>
  </si>
  <si>
    <t>AREIÃO</t>
  </si>
  <si>
    <t>ANNALYSSACABALINE@GMAIL.COM</t>
  </si>
  <si>
    <t>(62) 991821227</t>
  </si>
  <si>
    <t>UNIVERSIDADE FEDERAL DE GOIÁS - CAMPUS GOIÁS</t>
  </si>
  <si>
    <t>LARA KAROLYNE SOUZA OLIVEIRA</t>
  </si>
  <si>
    <t>70694661104</t>
  </si>
  <si>
    <t>BECO TAQUARA , 05. CASA ROSE</t>
  </si>
  <si>
    <t>LARAKAROLYNESOUOLI@OUTLOOK.COM</t>
  </si>
  <si>
    <t>(62) 33751819</t>
  </si>
  <si>
    <t>(62) 998348943</t>
  </si>
  <si>
    <t>LUIZ EDUARDO QUINTÃO GUIMARÃES DOURADO TAVEIRA</t>
  </si>
  <si>
    <t>7009772</t>
  </si>
  <si>
    <t>04920069111</t>
  </si>
  <si>
    <t>RUA MOREIRA, 54.</t>
  </si>
  <si>
    <t>LUIZEDU.TAVEIRA@GMAIL.COM</t>
  </si>
  <si>
    <t>(62) 999798926</t>
  </si>
  <si>
    <t>CEPI JOAQUIM MARIA DE GODOY</t>
  </si>
  <si>
    <t>LUIS HENRIQUE DE NAZARÉ NORONHA</t>
  </si>
  <si>
    <t>70964820161</t>
  </si>
  <si>
    <t>RUA 2 QD16 LT05 JARDIM VILA BOA, SN. MARCENARIA DO SANTANA</t>
  </si>
  <si>
    <t>LUISNORONHA@DISCENTE.UFG.BR</t>
  </si>
  <si>
    <t>(62) 33714346</t>
  </si>
  <si>
    <t>(62) 999900424</t>
  </si>
  <si>
    <t>KALLYANE CAMPOS SOUZA</t>
  </si>
  <si>
    <t>7063523</t>
  </si>
  <si>
    <t>07024297166</t>
  </si>
  <si>
    <t>RUA AEROPORTO QD. 01 LT. 01, 00. PRÓXIMO A PRAÇA DO AEROPORTO, CASA VERDE, ESQUINA.</t>
  </si>
  <si>
    <t>KALLYANECAMPOS00@GMAIL.COM</t>
  </si>
  <si>
    <t>(62) 993373863</t>
  </si>
  <si>
    <t>GEOVANE AUGUSTO DE MATTOS GONÇALO CUNHA</t>
  </si>
  <si>
    <t>6577390</t>
  </si>
  <si>
    <t>06939921150</t>
  </si>
  <si>
    <t>RUA JOÃO XXIII, QUADRA 14, 20. LOTE 09</t>
  </si>
  <si>
    <t>VILA ROMANA</t>
  </si>
  <si>
    <t>GEOVANE.558@HOTMAIL.COM</t>
  </si>
  <si>
    <t>(62) 985308905</t>
  </si>
  <si>
    <t>FERNANDA OLIVEIRA NASCIMENTO</t>
  </si>
  <si>
    <t>5842101</t>
  </si>
  <si>
    <t>08233982180</t>
  </si>
  <si>
    <t>AVENIDA SÃO JORGE, 33. VILA SÃO VICENTE DE PAULA</t>
  </si>
  <si>
    <t>JOAO FRANCISCO</t>
  </si>
  <si>
    <t>FERNANDA.OLIVEIRA@DISCENTE.UFG.BR</t>
  </si>
  <si>
    <t>(62) 993115280</t>
  </si>
  <si>
    <t>MARIANA DOANNY DE PAULA</t>
  </si>
  <si>
    <t>6776484</t>
  </si>
  <si>
    <t>70915151103</t>
  </si>
  <si>
    <t>74683330</t>
  </si>
  <si>
    <t>RUA GB 34 34 QD 57 LT 9 A, 9. QUADRA 57 LOTE 9 CASA A</t>
  </si>
  <si>
    <t>JARDIM GUANABARA III</t>
  </si>
  <si>
    <t>MARIDOANNY30@GMAIL.COM</t>
  </si>
  <si>
    <t>(62) 999038729</t>
  </si>
  <si>
    <t>BRENO DA SILVA FERREIRA</t>
  </si>
  <si>
    <t>7195060</t>
  </si>
  <si>
    <t>71153910179</t>
  </si>
  <si>
    <t>74550050</t>
  </si>
  <si>
    <t>RUA C500, 166. QD 9 LT 11</t>
  </si>
  <si>
    <t>SETOR CENTRO OESTE</t>
  </si>
  <si>
    <t>BRENOSILVAFERREIRA07@HOTMAIL.COM</t>
  </si>
  <si>
    <t>(62) 96789386</t>
  </si>
  <si>
    <t>(62) 996789386</t>
  </si>
  <si>
    <t>ELIZAMAR FERREIRA DA SILVA</t>
  </si>
  <si>
    <t>01404936114</t>
  </si>
  <si>
    <t>74533190</t>
  </si>
  <si>
    <t>RUA 270, 37.</t>
  </si>
  <si>
    <t>ELIZAMAR2812@HOTMAIL.COM</t>
  </si>
  <si>
    <t>(62) 982445453</t>
  </si>
  <si>
    <t>STHEFANNY PEREIRA NUNES</t>
  </si>
  <si>
    <t>71200753143</t>
  </si>
  <si>
    <t>75600000</t>
  </si>
  <si>
    <t>GOIATUBA</t>
  </si>
  <si>
    <t>RUA CÂNDIDO LUIZ DE CASTILHO, 16.</t>
  </si>
  <si>
    <t>STHEFANNYPEREIRANUNES@GMAIL.COM</t>
  </si>
  <si>
    <t>(64) 984250249</t>
  </si>
  <si>
    <t>UNICERRADO - CENTRO UNIVERSITÁRIO DE GOIATUBA</t>
  </si>
  <si>
    <t>GOIATUBA - GO</t>
  </si>
  <si>
    <t>RHAYANE PEREIRA CASTILHO MEDEIROS</t>
  </si>
  <si>
    <t>6745973</t>
  </si>
  <si>
    <t>05659357121</t>
  </si>
  <si>
    <t>RUA TANCREDO NEVES Q3 LT13, QD3 LT13. SC</t>
  </si>
  <si>
    <t>BURITI PARK</t>
  </si>
  <si>
    <t>RHAYANEPCMEDEIROS@HOTMAIL.COM</t>
  </si>
  <si>
    <t>(64) 984386669</t>
  </si>
  <si>
    <t>UNICERRADO GOIATUBA</t>
  </si>
  <si>
    <t>JHEMILY RAISSA PIEDADE MATIAS SILVA</t>
  </si>
  <si>
    <t>6478539</t>
  </si>
  <si>
    <t>06424529110</t>
  </si>
  <si>
    <t>VIELA JK, 26.</t>
  </si>
  <si>
    <t>VILA ROCHA</t>
  </si>
  <si>
    <t>JHEMILY.RAISSA@GMAIL.COM</t>
  </si>
  <si>
    <t>(64) 984436222</t>
  </si>
  <si>
    <t>UNICERRADO-CENTRO UNIVERSITÁRIO DE GOIATUBA</t>
  </si>
  <si>
    <t>FELIPE DE FREITAS GAUDERETO</t>
  </si>
  <si>
    <t>05223330102</t>
  </si>
  <si>
    <t>RUA CALIFÓRNIA , 380. PERTO DO CONDOMÍNIO</t>
  </si>
  <si>
    <t>FELIPEFGAUDERETO@GMAIL.COM</t>
  </si>
  <si>
    <t>(64) 992172183</t>
  </si>
  <si>
    <t>VERÔNICA EDUARDA SILVA FERREIRA MOREIRA</t>
  </si>
  <si>
    <t>6536785</t>
  </si>
  <si>
    <t>70509680135</t>
  </si>
  <si>
    <t>RUA ALAMEDA DOS EUCALIPTOS, 0. QUADRA 2, LOTE 2, CASA 2</t>
  </si>
  <si>
    <t>VILA GRIMPAS</t>
  </si>
  <si>
    <t>VERONICAEDUARDASILVA28@GMAIL.COM</t>
  </si>
  <si>
    <t>(62) 993334884</t>
  </si>
  <si>
    <t>CENTRO UNIVERSITÁRIO FACULDADE SUL AMERICANA</t>
  </si>
  <si>
    <t>HIDROLÂNDIA - GO</t>
  </si>
  <si>
    <t>LUANA MACIEL DE ARAUJO SILVA BARBOSA</t>
  </si>
  <si>
    <t>6383524</t>
  </si>
  <si>
    <t>70455269114</t>
  </si>
  <si>
    <t>JOAQUIM PIRS DE MIRANDA, SN. QD 39 LT2-A</t>
  </si>
  <si>
    <t>LUANNAMACIEL26033@GMAIL.COM</t>
  </si>
  <si>
    <t>(62) 981997702</t>
  </si>
  <si>
    <t>THAISE DE SENA CARDOSO</t>
  </si>
  <si>
    <t>05444975114</t>
  </si>
  <si>
    <t>RUA BARBARA RIBEIRO DE SOUSA, 0. QUADRA 02 LOTE 01</t>
  </si>
  <si>
    <t>RESIDENCIAL SANTA BARBARA</t>
  </si>
  <si>
    <t>THAISE_SENA18@HOTMAIL.COM</t>
  </si>
  <si>
    <t>(62) 35532201</t>
  </si>
  <si>
    <t>(62) 986057210</t>
  </si>
  <si>
    <t>ALBERT LINO LEÃO</t>
  </si>
  <si>
    <t>70951003143</t>
  </si>
  <si>
    <t>AV. VIRMONDES DE LIMA, 413. Q. AP-2, L. 5-L</t>
  </si>
  <si>
    <t>NAZARÉ</t>
  </si>
  <si>
    <t>ALBERTLEAO_ADV@OUTLOOK.COM.BR</t>
  </si>
  <si>
    <t>(62) 993028147</t>
  </si>
  <si>
    <t>POLIANA NASCIMENTO SOUSA</t>
  </si>
  <si>
    <t>70715531140</t>
  </si>
  <si>
    <t>73920000</t>
  </si>
  <si>
    <t>IACIARA</t>
  </si>
  <si>
    <t>RUA JORGE JOSÉ BONFIM, S/N. QD38 LT12</t>
  </si>
  <si>
    <t>POLIANASOUSA3443@GMAIL.COM</t>
  </si>
  <si>
    <t>(62) 998519655</t>
  </si>
  <si>
    <t>INSTITUTO FEDERAL GOIANO</t>
  </si>
  <si>
    <t>IACIARA - GO</t>
  </si>
  <si>
    <t>GUSTAVO FERNANDES PEREIRA</t>
  </si>
  <si>
    <t>01736074113</t>
  </si>
  <si>
    <t>75403649</t>
  </si>
  <si>
    <t>RUA WALDEMAR DE PAULA SILVEIRA, S/N. QUADRA 02 LOTE 01 A</t>
  </si>
  <si>
    <t>RESIDENCIAL ANA LUIZA</t>
  </si>
  <si>
    <t>GUSTAVOFERNANDESRESERVA@GMAIL.COM</t>
  </si>
  <si>
    <t>(62) 992753661</t>
  </si>
  <si>
    <t>INHUMAS - GO</t>
  </si>
  <si>
    <t>KAROLINE SOARES LINO</t>
  </si>
  <si>
    <t>6600934</t>
  </si>
  <si>
    <t>70129051152</t>
  </si>
  <si>
    <t>75407302</t>
  </si>
  <si>
    <t>AVENIDA PAU BRASIL, 0. QD. 22, LT. 14</t>
  </si>
  <si>
    <t>JARDIM RAIO DE SOL 2ª ETAPA</t>
  </si>
  <si>
    <t>KAROLSOARESM@ICLOUD.COM</t>
  </si>
  <si>
    <t>(62) 35111629</t>
  </si>
  <si>
    <t>(94) 984336997</t>
  </si>
  <si>
    <t>PUC - GOIÁS</t>
  </si>
  <si>
    <t>ANA ALMEIDA CARVALHO</t>
  </si>
  <si>
    <t>7016451</t>
  </si>
  <si>
    <t>71055628118</t>
  </si>
  <si>
    <t>75403577</t>
  </si>
  <si>
    <t>AVENIDA ARAGUAIA, 73. QD 13 LT 14</t>
  </si>
  <si>
    <t>VILA LUCIMAR</t>
  </si>
  <si>
    <t>ANAACARVALHO06@GMAIL.COM</t>
  </si>
  <si>
    <t>(62) 984784156</t>
  </si>
  <si>
    <t>YASMIN VITTORIA CRISTINA SILVA SANTIAGO</t>
  </si>
  <si>
    <t>6866289</t>
  </si>
  <si>
    <t>70897110137</t>
  </si>
  <si>
    <t>75407390</t>
  </si>
  <si>
    <t>RUA DO ANGICO, 1. QUADRA 12 LOTE 05</t>
  </si>
  <si>
    <t>SETOR SALEIRO</t>
  </si>
  <si>
    <t>YASMINCRISTINA237@GMAIL.COM</t>
  </si>
  <si>
    <t>(62) 85355415</t>
  </si>
  <si>
    <t>(62) 985355415</t>
  </si>
  <si>
    <t>GABRIEL ANTONIO OLIVEIRA</t>
  </si>
  <si>
    <t>7177133</t>
  </si>
  <si>
    <t>06462211164</t>
  </si>
  <si>
    <t>75780000</t>
  </si>
  <si>
    <t>IPAMERI</t>
  </si>
  <si>
    <t>RUA S R 10, 42. CASA</t>
  </si>
  <si>
    <t>PARQUE SAN REMO</t>
  </si>
  <si>
    <t>GAAHOLIVEIRA45@GMAIL.COM</t>
  </si>
  <si>
    <t>(64) 34913327</t>
  </si>
  <si>
    <t>(64) 999311006</t>
  </si>
  <si>
    <t>IPAMERI - GO</t>
  </si>
  <si>
    <t>ANA BEATRIZ DA SILVA PEIXOTO</t>
  </si>
  <si>
    <t>04377408119</t>
  </si>
  <si>
    <t>RUA JOSEFA BONACH , 0. QUADRA Y, LOTE 234-C</t>
  </si>
  <si>
    <t>VILA PEIXOTO</t>
  </si>
  <si>
    <t>ANABEATRIZDASILVAPEIXOTO@HOTMAIL.COM</t>
  </si>
  <si>
    <t>(64) 992825783</t>
  </si>
  <si>
    <t>UNA-CATALÃO</t>
  </si>
  <si>
    <t>ANDRÉ LUIS MARTINS PAIVA</t>
  </si>
  <si>
    <t>70872087131</t>
  </si>
  <si>
    <t>76200000</t>
  </si>
  <si>
    <t>IPORÁ</t>
  </si>
  <si>
    <t>AV. SÃO PAULO, 521.</t>
  </si>
  <si>
    <t>MATO GROSSO</t>
  </si>
  <si>
    <t>ANDREPAIVA1412@GMAIL.COM</t>
  </si>
  <si>
    <t>(64) 36742059</t>
  </si>
  <si>
    <t>(64) 984193527</t>
  </si>
  <si>
    <t>IPORÁ - GO</t>
  </si>
  <si>
    <t>ANA LUISA DINIZ MAGALHÃES</t>
  </si>
  <si>
    <t>04856319116</t>
  </si>
  <si>
    <t>RUA SÃO JOSÉ, 0. QD.26, LT.459</t>
  </si>
  <si>
    <t>JARDIM MONTE ALTO</t>
  </si>
  <si>
    <t>ANALUISADINIZM@GMAIL.COM</t>
  </si>
  <si>
    <t>(64) 98171609</t>
  </si>
  <si>
    <t>(64) 981716099</t>
  </si>
  <si>
    <t>UNIVERSIDADE ESTADUAL DE GOIÁS- UNI- IPORÁ</t>
  </si>
  <si>
    <t>HIAGO AUGUSTO SILVA MATIAS</t>
  </si>
  <si>
    <t>7170178</t>
  </si>
  <si>
    <t>08625463118</t>
  </si>
  <si>
    <t>RUA BAHIA, 32. LOJA</t>
  </si>
  <si>
    <t>HIAGO13MATIAS13@HOTMAIL.COM</t>
  </si>
  <si>
    <t>(64) 36744688</t>
  </si>
  <si>
    <t>(64) 984128798</t>
  </si>
  <si>
    <t>DANIELLE SANTOS BARBOSA</t>
  </si>
  <si>
    <t>05072109135</t>
  </si>
  <si>
    <t>AVENIDA LAMBARI, QUADRA 27, LOTE 377., 2000. CASA</t>
  </si>
  <si>
    <t>DANISB1403@GMAIL.COM</t>
  </si>
  <si>
    <t>(64) 92243819</t>
  </si>
  <si>
    <t>(64) 992243819</t>
  </si>
  <si>
    <t>ANA LAURA DINIZ MAGALHÃES</t>
  </si>
  <si>
    <t>04856320122</t>
  </si>
  <si>
    <t>RUA SÃO JOSÉ, 0. QD. 26 LT. 459</t>
  </si>
  <si>
    <t>ANALAURADINIZM@GMAIL.COM</t>
  </si>
  <si>
    <t>(64) 984017621</t>
  </si>
  <si>
    <t>UNIVERSIDADE ESTADUAL DE GOIÁS, UNI-IPORÁ</t>
  </si>
  <si>
    <t>DOGLLAS PEREIRA BRITO</t>
  </si>
  <si>
    <t>04008458140</t>
  </si>
  <si>
    <t>AV. R2 ESQ. C/ SERRA DAS ARRARAS QD 02 LT 39, 991. APARTAMENTO 02</t>
  </si>
  <si>
    <t>JARDIM ARCO ÍRIS</t>
  </si>
  <si>
    <t>DOGLLAS4@GMAIL.COM</t>
  </si>
  <si>
    <t>(66) 992545270</t>
  </si>
  <si>
    <t>UNIVERSIDADE ESTADUAL DE GOIÁS (UEG)</t>
  </si>
  <si>
    <t>JULIANA PIRES PAES</t>
  </si>
  <si>
    <t>06681155138</t>
  </si>
  <si>
    <t>AVENIDA PERNAMBUCO, 1261. PORTÃO BRANCO MURO LARANJA</t>
  </si>
  <si>
    <t>JULLIANAPAES14@GMAIL.COM</t>
  </si>
  <si>
    <t>(64) 984428846</t>
  </si>
  <si>
    <t>UNIVERSIDADE ESTADUAL DE GOIÁS- IPORA</t>
  </si>
  <si>
    <t>ANA BEATRIZ ROCHA SILVA</t>
  </si>
  <si>
    <t>04723696105</t>
  </si>
  <si>
    <t>RUA CABUL, QUADRA 44 LOTE 664, 44.</t>
  </si>
  <si>
    <t>ANAROCHA1302@GMAIL.COM</t>
  </si>
  <si>
    <t>(64) 99657461</t>
  </si>
  <si>
    <t>(64) 992029497</t>
  </si>
  <si>
    <t>BRUNA CÁSSIA FERNANDES CARVALHO</t>
  </si>
  <si>
    <t>06871797181</t>
  </si>
  <si>
    <t>RUA E, 01. QUADRA 13</t>
  </si>
  <si>
    <t>VILA PADRE CÍCERO</t>
  </si>
  <si>
    <t>BRUNINHACARVALHO2002@GMAIL.COM</t>
  </si>
  <si>
    <t>(64) 993294795</t>
  </si>
  <si>
    <t>FAI- FACULDADE DE IPORÁ</t>
  </si>
  <si>
    <t>THAYANE KAROLINE COSTA PIRES</t>
  </si>
  <si>
    <t>06867884199</t>
  </si>
  <si>
    <t>AVENIDA BUENOS AIRES , SN. Q.38 L.525</t>
  </si>
  <si>
    <t>THAYANEKAROLINE86@GMAIL.COM</t>
  </si>
  <si>
    <t>(64) 36742208</t>
  </si>
  <si>
    <t>(64) 984599138</t>
  </si>
  <si>
    <t>ISTEFANI SOUSA GUEDES</t>
  </si>
  <si>
    <t>08044018107</t>
  </si>
  <si>
    <t>RUA SERRA GRANDE , 3.</t>
  </si>
  <si>
    <t>ISTEFANIGUEDES15@GMAIL.COM</t>
  </si>
  <si>
    <t>(64) 999843019</t>
  </si>
  <si>
    <t>FAI FACULDADE DE IPORA</t>
  </si>
  <si>
    <t>DIONATAN VIEIRA DE ALMEIDA</t>
  </si>
  <si>
    <t>70558387110</t>
  </si>
  <si>
    <t>RUA BLUMENAU QUADRA 05 LOTE 23, S/N.</t>
  </si>
  <si>
    <t>ÁGUAS CLARAS</t>
  </si>
  <si>
    <t>DIONATANVIEIRA78@GMAIL.COM</t>
  </si>
  <si>
    <t>(64) 993046411</t>
  </si>
  <si>
    <t>ISRAELÂNDIA - GO</t>
  </si>
  <si>
    <t>KELLY MARIA ARAÚJO RIBEIRO</t>
  </si>
  <si>
    <t>07614142152</t>
  </si>
  <si>
    <t>76630000</t>
  </si>
  <si>
    <t>ITABERAÍ</t>
  </si>
  <si>
    <t>RUA RIO DAS PEDRAS, 306. Q. 5, L. 4</t>
  </si>
  <si>
    <t>VILA CAMARGO</t>
  </si>
  <si>
    <t>MARIAKELLY586@GMAIL.COM</t>
  </si>
  <si>
    <t>(62) 999098361</t>
  </si>
  <si>
    <t>UUNIVERSIDADE FEDERAL DE GOIÁS - CAMPUS GOIÁS</t>
  </si>
  <si>
    <t>ITABERAÍ - GO</t>
  </si>
  <si>
    <t>WHANDER RADANIO DE S FILHO</t>
  </si>
  <si>
    <t>571251</t>
  </si>
  <si>
    <t>04410352130</t>
  </si>
  <si>
    <t>RUA 17 QD34 L2, SN. AO LADO DA QUADRA DE SPORT</t>
  </si>
  <si>
    <t>JD CABRAL</t>
  </si>
  <si>
    <t>WHANDERADANIO@GMAIL.COM</t>
  </si>
  <si>
    <t>(62) 999921453</t>
  </si>
  <si>
    <t>FELIPE SOARES MENDES</t>
  </si>
  <si>
    <t>08303737139</t>
  </si>
  <si>
    <t>RUA S18 Q29 LOTE 24, 29. .</t>
  </si>
  <si>
    <t>FELIPEMENDESFM969282@GMAIL.COM</t>
  </si>
  <si>
    <t>(62) 993356542</t>
  </si>
  <si>
    <t>FAC MAIS INHUMAS</t>
  </si>
  <si>
    <t>ANNA CLARA PEREIRA ZACARIAS</t>
  </si>
  <si>
    <t>70861205103</t>
  </si>
  <si>
    <t>76660000</t>
  </si>
  <si>
    <t>ITAGUARU</t>
  </si>
  <si>
    <t>AVENIDA MANOEL ABADIA DE LIMA, 09. SEM COMPLEMENTO</t>
  </si>
  <si>
    <t>ANNINHAZACARIAS@GMAIL.COM</t>
  </si>
  <si>
    <t>(62) 91424893</t>
  </si>
  <si>
    <t>(62) 994640881</t>
  </si>
  <si>
    <t>ITAGUARU - GO</t>
  </si>
  <si>
    <t>NATÁLIA SOUSA CARVALHO</t>
  </si>
  <si>
    <t>08760036176</t>
  </si>
  <si>
    <t>76360000</t>
  </si>
  <si>
    <t>ITAPACI</t>
  </si>
  <si>
    <t>RUA CARMOZINA MENDANHA QUADRA 8 LOTE 10, 10. EM FRENTE DO SUPERMERCADO ROCHA</t>
  </si>
  <si>
    <t>LAGO AZUL</t>
  </si>
  <si>
    <t>NATALIASOUSCAR@GMAIL.COM</t>
  </si>
  <si>
    <t>(62) 85206574</t>
  </si>
  <si>
    <t>(62) 984944277</t>
  </si>
  <si>
    <t>ITAPACI - GO</t>
  </si>
  <si>
    <t>JOSEFA FLORÊNCIA DE SOUSA</t>
  </si>
  <si>
    <t>08615815399</t>
  </si>
  <si>
    <t>RUA VER RAIMUNDO HOLANDA , S/N. Q 8, L 11</t>
  </si>
  <si>
    <t>SETOR PRESIDENTE</t>
  </si>
  <si>
    <t>FLORENCIASOUSA313@GMAIL.COM</t>
  </si>
  <si>
    <t>(62) 99188394</t>
  </si>
  <si>
    <t>(89) 981376471</t>
  </si>
  <si>
    <t>POLIANA ALMEIDA DO CARMO</t>
  </si>
  <si>
    <t>06792037109</t>
  </si>
  <si>
    <t>76374000</t>
  </si>
  <si>
    <t>GUARINOS</t>
  </si>
  <si>
    <t>RUA VO-7, S/N. Q.05, L.21</t>
  </si>
  <si>
    <t> BAIRRO RESIDENCIAL</t>
  </si>
  <si>
    <t>POLYALMEIDA2014@HOTMAIL.COM</t>
  </si>
  <si>
    <t>(62) 986043176</t>
  </si>
  <si>
    <t>UNIEVANGÉLICA CAMPUS CERES</t>
  </si>
  <si>
    <t>KATHLEEN SOUSA SILVA</t>
  </si>
  <si>
    <t>08121721164</t>
  </si>
  <si>
    <t>AVENIDA 01; QD 23; LG 07;, 12.</t>
  </si>
  <si>
    <t>JARDIM TROPICAL</t>
  </si>
  <si>
    <t>KATHLEENSOUSASILVA2@GMAIL.COM</t>
  </si>
  <si>
    <t>(62) 996575630</t>
  </si>
  <si>
    <t>UNIVERSIDADE EVANGÉLICA DE GOIÁS- UNIEVANGÉLICA DE CERES</t>
  </si>
  <si>
    <t>FABRICIOBARBOSA CAMPOS SILVA</t>
  </si>
  <si>
    <t>06487046108</t>
  </si>
  <si>
    <t>RUA IRACI JOSÉ TEIXEIRA, 00. QD 01 LT 03</t>
  </si>
  <si>
    <t>VILA SANTANA</t>
  </si>
  <si>
    <t>FABRICIO_CAMPOS98@OUTLOOK.COM</t>
  </si>
  <si>
    <t>(62) 993647922</t>
  </si>
  <si>
    <t>TAYLINE LUIZA ROCHA MORAIS</t>
  </si>
  <si>
    <t>70635158108</t>
  </si>
  <si>
    <t>RUA JOSÉ FELICIANO , S/N. AO LADO DA CLINICA DE ESTÉTICA VANESSA PARREIRA</t>
  </si>
  <si>
    <t>JARDIM AMERICA</t>
  </si>
  <si>
    <t>LUIZATAYLINE62@GMAIL.COM</t>
  </si>
  <si>
    <t>(62) 982569356</t>
  </si>
  <si>
    <t>IGOR NOGUEIRA DE OLIVEIRA</t>
  </si>
  <si>
    <t>07238783150</t>
  </si>
  <si>
    <t>76290000</t>
  </si>
  <si>
    <t>ITAPIRAPUÃ</t>
  </si>
  <si>
    <t>AV. SÃO JOÃO , 28.</t>
  </si>
  <si>
    <t>IGORNOGUEIRAOL997@GMAIL.COM</t>
  </si>
  <si>
    <t>(62) 984657983</t>
  </si>
  <si>
    <t>FAJ</t>
  </si>
  <si>
    <t>ITAPIRAPUÃ - GO</t>
  </si>
  <si>
    <t>KAYKE SANTOS GONTIJO</t>
  </si>
  <si>
    <t>6319524</t>
  </si>
  <si>
    <t>02355652104</t>
  </si>
  <si>
    <t>76680000</t>
  </si>
  <si>
    <t>ITAPURANGA</t>
  </si>
  <si>
    <t>RUA 49, 338.</t>
  </si>
  <si>
    <t>VILA BARRINHA</t>
  </si>
  <si>
    <t>DORCELIMARIA@HOTMAIL.COM</t>
  </si>
  <si>
    <t>(62) 984391545</t>
  </si>
  <si>
    <t>ITAPURANGA - GO</t>
  </si>
  <si>
    <t>IZABELLA PATRÍCIA FERRAZ MAGALHÃES</t>
  </si>
  <si>
    <t>07232237189</t>
  </si>
  <si>
    <t>RUA PEDRO SIFUENTES MACHADO, 725.</t>
  </si>
  <si>
    <t>IZABELLAFERRAZ138@GMAIL.COM</t>
  </si>
  <si>
    <t>(62) 84005070</t>
  </si>
  <si>
    <t>(62) 999403139</t>
  </si>
  <si>
    <t>UNIVERSIDADE EVANGÉLICA DE GOIÁS - CAMPUS RUBIATABA</t>
  </si>
  <si>
    <t>THAUANE DUARTE DE ALMEIDA</t>
  </si>
  <si>
    <t>71144416140</t>
  </si>
  <si>
    <t>RUA 2 QD. F LT.12, 0.</t>
  </si>
  <si>
    <t>PARQUE ALVORADA</t>
  </si>
  <si>
    <t>THAUANEDUARTE33@HOTMAIL.COM</t>
  </si>
  <si>
    <t>(62) 998153439</t>
  </si>
  <si>
    <t>HALEF CARRILHO SILVA FRANCO</t>
  </si>
  <si>
    <t>6765607</t>
  </si>
  <si>
    <t>07425443112</t>
  </si>
  <si>
    <t>RUA 50 A, SETOR CENTRAL, QUADRA 43, LOTE 01-A, 01.</t>
  </si>
  <si>
    <t>HALEFCARRILHO16@GMAIL.COM</t>
  </si>
  <si>
    <t>(62) 996815060</t>
  </si>
  <si>
    <t>UNIVERSIDADE EVANGÉLICA DE CERES</t>
  </si>
  <si>
    <t>MARIA EDUARDA BARROSO MARQUES</t>
  </si>
  <si>
    <t>70793256178</t>
  </si>
  <si>
    <t>75513538</t>
  </si>
  <si>
    <t>ITUMBIARA</t>
  </si>
  <si>
    <t>RUA BELA VISTA, 370.</t>
  </si>
  <si>
    <t>AFONSO PENA</t>
  </si>
  <si>
    <t>MARIAEDUARDABARROSO108@GMAIL.COM</t>
  </si>
  <si>
    <t>(64) 34318316</t>
  </si>
  <si>
    <t>(64) 981661920</t>
  </si>
  <si>
    <t>ULBRA</t>
  </si>
  <si>
    <t>ITUMBIARA - GO</t>
  </si>
  <si>
    <t>ANA LAURA DO NASCIMENTO DAMIÃO</t>
  </si>
  <si>
    <t>70451015118</t>
  </si>
  <si>
    <t>75526300</t>
  </si>
  <si>
    <t>RUA JOSÉ MARTINS CORREIA, 300. CASA</t>
  </si>
  <si>
    <t>PARANAÍBA</t>
  </si>
  <si>
    <t>ANALAURANASCIMENTO.AN@GMAIL.COM</t>
  </si>
  <si>
    <t>(64) 993365125</t>
  </si>
  <si>
    <t>UNIFASC</t>
  </si>
  <si>
    <t>JESIEL DOS SANTOS BORGES</t>
  </si>
  <si>
    <t>70630642150</t>
  </si>
  <si>
    <t>75535035</t>
  </si>
  <si>
    <t>AVENIDA EQUADOR, 378. CASA</t>
  </si>
  <si>
    <t>DONA MAROLINA</t>
  </si>
  <si>
    <t>JESIELMUSICO90@GMAIL.COM</t>
  </si>
  <si>
    <t>(64) 996770606</t>
  </si>
  <si>
    <t>YASMIN OLIVEIRA RIBEIRO</t>
  </si>
  <si>
    <t>70310012180</t>
  </si>
  <si>
    <t>75513500</t>
  </si>
  <si>
    <t>RUA GENERAL OSÓRIO, 215. APARTAMENTO 101</t>
  </si>
  <si>
    <t>YASOLIVEIRA210@GMAIL.COM</t>
  </si>
  <si>
    <t>(64) 992830152</t>
  </si>
  <si>
    <t>UNIVERSIDADE LUTERANA DO BRASIL - ULBRA</t>
  </si>
  <si>
    <t>JOZIENE PALHARES ELÓI</t>
  </si>
  <si>
    <t>3898740</t>
  </si>
  <si>
    <t>98094017104</t>
  </si>
  <si>
    <t>75532220</t>
  </si>
  <si>
    <t>AVENIDA PAPA PAULO IV, 215.</t>
  </si>
  <si>
    <t>NOVO HORIZONTE</t>
  </si>
  <si>
    <t>JOZIENE.PALHARES@OUTLOOK.COM</t>
  </si>
  <si>
    <t>(64) 992263506</t>
  </si>
  <si>
    <t>EDITORA E DISTRIBUIDORA EDUCACIONAL S.A</t>
  </si>
  <si>
    <t>ANA JÚLIA REIS MOREIRA</t>
  </si>
  <si>
    <t>70695374176</t>
  </si>
  <si>
    <t>RUA DAS TULIPAS QUADRA 47 LOTE 10B , 37.</t>
  </si>
  <si>
    <t>JARDIM ANA EDITH</t>
  </si>
  <si>
    <t>REISMOREIRAANAJULIA@GMAIL.COM</t>
  </si>
  <si>
    <t>(62) 985090578</t>
  </si>
  <si>
    <t>FACULDADE EVANGÉLICA GOIANÉSIA</t>
  </si>
  <si>
    <t>JARAGUÁ - GO</t>
  </si>
  <si>
    <t>GHABRYEL ARCANJO DE JESUS BAILÃO SANTOS</t>
  </si>
  <si>
    <t>71071664174</t>
  </si>
  <si>
    <t>RUA DAS GOIABEIRAS, 511. QD5 LT11</t>
  </si>
  <si>
    <t>JARDIM ESPERANÇA</t>
  </si>
  <si>
    <t>GHABRYELARCANJO21@GMAIL.COM</t>
  </si>
  <si>
    <t>(62) 984733097</t>
  </si>
  <si>
    <t>LARISSA AVELINO MACHADO GOMES</t>
  </si>
  <si>
    <t>70454037120</t>
  </si>
  <si>
    <t>RUA NATÉRCIO SOARES DE CASTRO, S/N. QUADRA 03 LOTE 21</t>
  </si>
  <si>
    <t>VILA NATALINA</t>
  </si>
  <si>
    <t>LARISSAAV92@GMAIL.COM</t>
  </si>
  <si>
    <t>(62) 985010178</t>
  </si>
  <si>
    <t>RITA DE CASSIA RANGEL MELO</t>
  </si>
  <si>
    <t>70356227138</t>
  </si>
  <si>
    <t>RUA 02, 60.</t>
  </si>
  <si>
    <t>RITADECASSIARANGELM@HOTMAIL.COM</t>
  </si>
  <si>
    <t>(62) 985011575</t>
  </si>
  <si>
    <t>MARIA PAULA SILVA BARBOSA</t>
  </si>
  <si>
    <t>09039571406</t>
  </si>
  <si>
    <t>75800087</t>
  </si>
  <si>
    <t>JATAÍ</t>
  </si>
  <si>
    <t>RUA MINAS GERAIS, 12.</t>
  </si>
  <si>
    <t>VILA SANTA MARIA</t>
  </si>
  <si>
    <t>MPSILVABARBOSA@GMAIL.COM</t>
  </si>
  <si>
    <t>(64) 999466661</t>
  </si>
  <si>
    <t>UNIVERSIDADE FEDERAL DE JATAÍ</t>
  </si>
  <si>
    <t>JATAÍ - GO</t>
  </si>
  <si>
    <t>LÍVIA SILVA MENDES E SANTOS</t>
  </si>
  <si>
    <t>05197920173</t>
  </si>
  <si>
    <t>75800132</t>
  </si>
  <si>
    <t>AVENIDA DORIVAL DE CARVALHO, 1336. APT.12</t>
  </si>
  <si>
    <t>LIVIASMSANTOS@GMAIL.COM</t>
  </si>
  <si>
    <t>(64) 984361234</t>
  </si>
  <si>
    <t>NATHALIA GONZALEZ SCHELTINGA</t>
  </si>
  <si>
    <t>1830521</t>
  </si>
  <si>
    <t>05671697158</t>
  </si>
  <si>
    <t>75804066</t>
  </si>
  <si>
    <t>RUA SANTOS DUMONT, 1562.</t>
  </si>
  <si>
    <t>SAMUEL GRAHAN</t>
  </si>
  <si>
    <t>NATHIGONSHEL@HOTMAIL.COM</t>
  </si>
  <si>
    <t>(67) 981588814</t>
  </si>
  <si>
    <t>LETICIA MELO OLIVEIRA</t>
  </si>
  <si>
    <t>5625516</t>
  </si>
  <si>
    <t>03992176142</t>
  </si>
  <si>
    <t>RUA SANTOS DUMONT, 1418. APARTAMENTO 401</t>
  </si>
  <si>
    <t>LETICIAMELOOLIVEIRA74@GMAIL.COM</t>
  </si>
  <si>
    <t>(64) 36312324</t>
  </si>
  <si>
    <t>(64) 996061015</t>
  </si>
  <si>
    <t>CESUT</t>
  </si>
  <si>
    <t>ANA BEATRIZ DE LIMA BARBOSA</t>
  </si>
  <si>
    <t>05528751128</t>
  </si>
  <si>
    <t>75805105</t>
  </si>
  <si>
    <t>RUA VISTA ALEGRE, 879. CASA 12</t>
  </si>
  <si>
    <t>SETOR PLANALTO</t>
  </si>
  <si>
    <t>ANABEATRIZDLBARBOSA@GMAIL.COM</t>
  </si>
  <si>
    <t>(64) 996189781</t>
  </si>
  <si>
    <t>ANA LAURA PAIVA CARNEIRO</t>
  </si>
  <si>
    <t>6913116</t>
  </si>
  <si>
    <t>07869054178</t>
  </si>
  <si>
    <t>75802261</t>
  </si>
  <si>
    <t>485 RUA CANTIMIRO MARTINS COSTA, 485. QD 24 L 28</t>
  </si>
  <si>
    <t>SERRA AZUL</t>
  </si>
  <si>
    <t>PAIVAA216@GMAIL.COM</t>
  </si>
  <si>
    <t>(64) 99934226</t>
  </si>
  <si>
    <t>(64) 999342263</t>
  </si>
  <si>
    <t>ANA SÔNIA GOMES DOS SANTOS</t>
  </si>
  <si>
    <t>71163383147</t>
  </si>
  <si>
    <t>75806090</t>
  </si>
  <si>
    <t>RUA 20, 236. Q. 030 L. 411</t>
  </si>
  <si>
    <t>SANTA TEREZINHA</t>
  </si>
  <si>
    <t>ANASONIAGS@GMAIL.COM</t>
  </si>
  <si>
    <t>(64) 999094693</t>
  </si>
  <si>
    <t>JOSE SEVERINO ADRIANO NETO</t>
  </si>
  <si>
    <t>70428119174</t>
  </si>
  <si>
    <t>75800055</t>
  </si>
  <si>
    <t>RUA BENTO PANIAGO, 441. APTO 2003 TORRE B</t>
  </si>
  <si>
    <t>JOSENE3TO@GMAIL.COM</t>
  </si>
  <si>
    <t>(64) 996089269</t>
  </si>
  <si>
    <t>UNIVERSIDADE FEDERAL DE JATAI</t>
  </si>
  <si>
    <t>LUCAS THIAGO DUARTE LUCENA</t>
  </si>
  <si>
    <t>73440450104</t>
  </si>
  <si>
    <t>75800058</t>
  </si>
  <si>
    <t>RUA RUI BARBOSA, 999. CASA</t>
  </si>
  <si>
    <t>LTD_LUCENA@HOTMAIL.COM</t>
  </si>
  <si>
    <t>(61) 986521554</t>
  </si>
  <si>
    <t>JOÃO PEDRO DE GODOY GOES</t>
  </si>
  <si>
    <t>52611955867</t>
  </si>
  <si>
    <t>RUA VISTA ALEGRE, 879. CASA 18</t>
  </si>
  <si>
    <t>JOAOPEDROGGOES@HOTMAIL.COM</t>
  </si>
  <si>
    <t>(62) 33752464</t>
  </si>
  <si>
    <t>(11) 975178245</t>
  </si>
  <si>
    <t>ISABEL DE TASSIA FONTES SOUZA</t>
  </si>
  <si>
    <t>05242612100</t>
  </si>
  <si>
    <t>75800406</t>
  </si>
  <si>
    <t>RUA CAIAPONIA, 173.</t>
  </si>
  <si>
    <t>VILA PROGRESSO</t>
  </si>
  <si>
    <t>ISABELDETASSIA@GMAIL.COM</t>
  </si>
  <si>
    <t>(64) 999578280</t>
  </si>
  <si>
    <t>PAULO HENRIQUE D ASSUNÇÃO NASCIMENTO</t>
  </si>
  <si>
    <t>70830404198</t>
  </si>
  <si>
    <t>75804592</t>
  </si>
  <si>
    <t>RUA 4, 257. RUA 4</t>
  </si>
  <si>
    <t>RESIDENCIAL MORADA DO SOL</t>
  </si>
  <si>
    <t>HENRIQUEPAULOSJDR2023@GMAIL.COM</t>
  </si>
  <si>
    <t>(64) 984413994</t>
  </si>
  <si>
    <t>BÁRBARA SILVA AMORIM</t>
  </si>
  <si>
    <t>70216503108</t>
  </si>
  <si>
    <t>75800114</t>
  </si>
  <si>
    <t>RUA MIGUEL DE ASSIS, 815.</t>
  </si>
  <si>
    <t>BARBARASILVAAMORIM14@GMAIL.COM</t>
  </si>
  <si>
    <t>(64) 993193707</t>
  </si>
  <si>
    <t>ANDRESSA SILVA RUA</t>
  </si>
  <si>
    <t>70460862146</t>
  </si>
  <si>
    <t>75805710</t>
  </si>
  <si>
    <t>RUA PS 12, 145.</t>
  </si>
  <si>
    <t>RESIDENCIAL PORTAL DO SOL - 1ª ETAPA</t>
  </si>
  <si>
    <t>ANDRESSARUA.13@GMAIL.COM</t>
  </si>
  <si>
    <t>(64) 996165060</t>
  </si>
  <si>
    <t>JAQUELINE PEREIRA DOS SANTOS</t>
  </si>
  <si>
    <t>15703226600</t>
  </si>
  <si>
    <t>RUA MIGUEL DE ASSIS, 1054. CASA</t>
  </si>
  <si>
    <t>JAQUELINEIEQ123@GMAIL.COM</t>
  </si>
  <si>
    <t>(38) 97389725</t>
  </si>
  <si>
    <t>(38) 997389725</t>
  </si>
  <si>
    <t>UNIVERSITÁRIO FEDERAL DE JATAÍ</t>
  </si>
  <si>
    <t>RODOLFO KALIEL FERNANDES DE CASTRO MORAES</t>
  </si>
  <si>
    <t>09076608512</t>
  </si>
  <si>
    <t>75805020</t>
  </si>
  <si>
    <t>RUA JOAQUIM CAETANO, 970. KITNET 04</t>
  </si>
  <si>
    <t>KALIELRODOLFO2021@OUTLOOK.COM</t>
  </si>
  <si>
    <t>(77) 999129487</t>
  </si>
  <si>
    <t>ÃNGELA SOUZA DE JESUS</t>
  </si>
  <si>
    <t>70390249181</t>
  </si>
  <si>
    <t>75807744</t>
  </si>
  <si>
    <t>RUA 07, CIDADE JARDIM II, S/N, S/N. Q 21 L 25</t>
  </si>
  <si>
    <t>CONJUNTO CIDADE JARDIM II</t>
  </si>
  <si>
    <t>SOUZA_JESUS@DISCENTE.UFJ.EDU.BR</t>
  </si>
  <si>
    <t>(64) 99616650</t>
  </si>
  <si>
    <t>(64) 996166501</t>
  </si>
  <si>
    <t>GHEOVANA SOARES OLIVEIRA</t>
  </si>
  <si>
    <t>70811128113</t>
  </si>
  <si>
    <t>75804140</t>
  </si>
  <si>
    <t>ALAMEDA RURALISTA, 70. CASA</t>
  </si>
  <si>
    <t>SETOR GRANJEIRO</t>
  </si>
  <si>
    <t>GHOVANASOARES1348@GMAIL.COM</t>
  </si>
  <si>
    <t>(62) 96619543</t>
  </si>
  <si>
    <t>(62) 996619543</t>
  </si>
  <si>
    <t>IURY SOUZA</t>
  </si>
  <si>
    <t>70853482160</t>
  </si>
  <si>
    <t>75801290</t>
  </si>
  <si>
    <t>RUA 8, SN. QD 22 LT 12, CASA 267</t>
  </si>
  <si>
    <t>VILA SOFIA</t>
  </si>
  <si>
    <t>IURYS3034@GMAIL.COM</t>
  </si>
  <si>
    <t>(62) 98433414</t>
  </si>
  <si>
    <t>(62) 984334143</t>
  </si>
  <si>
    <t>ERIVANIA DE ALMEIDA XAVIER</t>
  </si>
  <si>
    <t>07662720446</t>
  </si>
  <si>
    <t>75805715</t>
  </si>
  <si>
    <t>RUA PS 14 QD 49 LOTE 10 , 404. CASA</t>
  </si>
  <si>
    <t>ERIVANIAXAVIER08@GMAIL.COM</t>
  </si>
  <si>
    <t>(64) 993023831</t>
  </si>
  <si>
    <t>UNICESUMAR</t>
  </si>
  <si>
    <t>BIANCA CAROLINE LUZ SOUZA</t>
  </si>
  <si>
    <t>06326621151</t>
  </si>
  <si>
    <t>75610000</t>
  </si>
  <si>
    <t>JOVIÂNIA</t>
  </si>
  <si>
    <t>AVENIDA CELESTINO FILHO , 168. PERTO DO HOSPITAL</t>
  </si>
  <si>
    <t>NOVO LOTEAMENTO</t>
  </si>
  <si>
    <t>BIANCACLSOUZA24@GMAIL.COM</t>
  </si>
  <si>
    <t>(64) 34081775</t>
  </si>
  <si>
    <t>(64) 981461251</t>
  </si>
  <si>
    <t>JOVIÂNIA - GO</t>
  </si>
  <si>
    <t>ANNA LAURA SAMPAIO BONTEMPO TEIXEIRA</t>
  </si>
  <si>
    <t>10397929102</t>
  </si>
  <si>
    <t>76270000</t>
  </si>
  <si>
    <t>JUSSARA</t>
  </si>
  <si>
    <t>AVENIDA JOSÉ BONIFÁCIO , 274.</t>
  </si>
  <si>
    <t>LAURAANNA692@GMAIL.COM</t>
  </si>
  <si>
    <t>(62) 85071430</t>
  </si>
  <si>
    <t>(62) 986500450</t>
  </si>
  <si>
    <t>FACULDADE DE JUSSARA FAJ</t>
  </si>
  <si>
    <t>JUSSARA - GO</t>
  </si>
  <si>
    <t>GABRIEL MENEZES PEREIRA</t>
  </si>
  <si>
    <t>23071400</t>
  </si>
  <si>
    <t>02697709177</t>
  </si>
  <si>
    <t>QUADRA 10 , LOTE 15.</t>
  </si>
  <si>
    <t>RESIDENCIAL VALE DO ARAGUAIA</t>
  </si>
  <si>
    <t>GABRIMENEZES77@GMAIL.COM</t>
  </si>
  <si>
    <t>(66) 99965503</t>
  </si>
  <si>
    <t>(66) 999655033</t>
  </si>
  <si>
    <t>MARIA FERNANDA PEIXOTO OLIVEIRA MENDONÇA</t>
  </si>
  <si>
    <t>71210971178</t>
  </si>
  <si>
    <t>AVENIDA MARECHAL RONDON, 734. APARTAMENTO</t>
  </si>
  <si>
    <t>MARIAFERNANDA.1@ICLOUD.COM</t>
  </si>
  <si>
    <t>(62) 982517725</t>
  </si>
  <si>
    <t>FACULDADE DE JUSSARA</t>
  </si>
  <si>
    <t>JÉSSICA PEREIRA DA FONSECA</t>
  </si>
  <si>
    <t>7459718</t>
  </si>
  <si>
    <t>10032393156</t>
  </si>
  <si>
    <t>RUA: BEBEDOURO QUADRA: 01 LOTE: 06, S/N. PRÓXIMO AO COMERCIAL ALMEIDA.</t>
  </si>
  <si>
    <t>SETOR: BOA SORTE</t>
  </si>
  <si>
    <t>JESSIKARODRIGUEA123@GMAIL.COM</t>
  </si>
  <si>
    <t>(62) 84206469</t>
  </si>
  <si>
    <t>FAJ - FACULDADE DE JUSSARA - CENTRO DE CIENCIAS DE JUSSARA LTDA</t>
  </si>
  <si>
    <t>VANESSA SILVA GOULART</t>
  </si>
  <si>
    <t>08500490160</t>
  </si>
  <si>
    <t>AVENIDA MARECHAL RONDON, QUADRA 02 LOTE 10 , .. DUAS CASAS DEPOIS DO HOTEL CARVALHO</t>
  </si>
  <si>
    <t>VANESSA.GOULART29S@GMAIL.COM</t>
  </si>
  <si>
    <t>(62) 81666427</t>
  </si>
  <si>
    <t>FAJ- FACULDADE DE JUSSARA</t>
  </si>
  <si>
    <t>ORLANDO MATHEUS SILVA LIMA</t>
  </si>
  <si>
    <t>06333366102</t>
  </si>
  <si>
    <t>RUA MB 02, QD 06 LT 05, S/N. RESIDÊNCIA</t>
  </si>
  <si>
    <t>MANSÕES DO BOSQUE</t>
  </si>
  <si>
    <t>ORLANDOMATHEUS046@GMAIL.COM</t>
  </si>
  <si>
    <t>(62) 91492614</t>
  </si>
  <si>
    <t>(62) 984974133</t>
  </si>
  <si>
    <t>ISABELLA AGUIAR MARTINS</t>
  </si>
  <si>
    <t>08803321152</t>
  </si>
  <si>
    <t>RUA JC 7, 0. ÚLTIMA CASA</t>
  </si>
  <si>
    <t>ISABELLA_AGUIAR2002@HOTMAIL.COM</t>
  </si>
  <si>
    <t>(62) 986008911</t>
  </si>
  <si>
    <t>GIOVANNA SAMPAIO B. TEIXEIRA</t>
  </si>
  <si>
    <t>10397911157</t>
  </si>
  <si>
    <t>RUA JOSÉ BONIFÁCIO, 274.</t>
  </si>
  <si>
    <t>SAMPAIOGIOVANNA78@GMAIL.COM</t>
  </si>
  <si>
    <t>(62) 981350626</t>
  </si>
  <si>
    <t>DANIELLE DE LIMA LOPES</t>
  </si>
  <si>
    <t>05738303393</t>
  </si>
  <si>
    <t>75190000</t>
  </si>
  <si>
    <t>LEOPOLDO DE BULHÕES</t>
  </si>
  <si>
    <t>RUA CENTRAL , 22A. QUADRA 05</t>
  </si>
  <si>
    <t>FRANCA_D@HOTMAIL.COM</t>
  </si>
  <si>
    <t>(85) 998208329</t>
  </si>
  <si>
    <t>LEOPOLDO DE BULHÕES - GO</t>
  </si>
  <si>
    <t>ÁGUIDA MOREIRA RIBEIRO DE JESUS</t>
  </si>
  <si>
    <t>06613001104</t>
  </si>
  <si>
    <t>72821260</t>
  </si>
  <si>
    <t>LUZIÂNIA</t>
  </si>
  <si>
    <t>QUADRA QUADRA 279, 0. LOTE 14 CASA 02</t>
  </si>
  <si>
    <t>PARQUE ESTRELA DALVA IV</t>
  </si>
  <si>
    <t>AGUIDAMR90@GMAIL.COM</t>
  </si>
  <si>
    <t>(61) 94551685</t>
  </si>
  <si>
    <t>(61) 96312749</t>
  </si>
  <si>
    <t>GRAN FACULDADE</t>
  </si>
  <si>
    <t>LUZIÂNIA - GO</t>
  </si>
  <si>
    <t>VERÔNIKA EDUARDA DA SILVA REZENDE</t>
  </si>
  <si>
    <t>05902532124</t>
  </si>
  <si>
    <t>72800285</t>
  </si>
  <si>
    <t>RUA JOAQUIM ALVES MEIRELES, 411. CASA 3</t>
  </si>
  <si>
    <t>EDUARDAVERONIKA1@GMAIL.COM</t>
  </si>
  <si>
    <t>(61) 999812858</t>
  </si>
  <si>
    <t>THYAGO GOMES DOS SANTOS</t>
  </si>
  <si>
    <t>05475394105</t>
  </si>
  <si>
    <t>72804130</t>
  </si>
  <si>
    <t>RUA VISCONDE DE ARAGUAIA, 24. QUADRA 68 LOTE 24</t>
  </si>
  <si>
    <t>PARQUE ESTRELA DALVA I</t>
  </si>
  <si>
    <t>THYAGOCOD123@GMAIL.COM</t>
  </si>
  <si>
    <t>(61) 999867547</t>
  </si>
  <si>
    <t>CAIO CESAR FONSECA DIAS</t>
  </si>
  <si>
    <t>6405790</t>
  </si>
  <si>
    <t>06508515101</t>
  </si>
  <si>
    <t>72811360</t>
  </si>
  <si>
    <t>RUA OURO FINO, 0. QUADRA 29 LOTE 17</t>
  </si>
  <si>
    <t>ENGENHEIRO JOFRE PARADA</t>
  </si>
  <si>
    <t>CAIOCESAR965@GMAIL.COM</t>
  </si>
  <si>
    <t>(61) 982680908</t>
  </si>
  <si>
    <t>CENTRO UNIVERSITARIO DE BRASILIA - CEUB</t>
  </si>
  <si>
    <t>JOÃO PAULO VIEIRA DE SOUZA</t>
  </si>
  <si>
    <t>70547212178</t>
  </si>
  <si>
    <t>72812180</t>
  </si>
  <si>
    <t>RUA DO JUBILEU, 11. APTO 301</t>
  </si>
  <si>
    <t>ROSÁRIO</t>
  </si>
  <si>
    <t>VJOAOPAULO5@GMAIL.COM</t>
  </si>
  <si>
    <t>(61) 991040537</t>
  </si>
  <si>
    <t>UNIDESC – CENTRO UNIVERSITÁRIO DE DESENVOLVIMENTO DO CENTRO OESTE</t>
  </si>
  <si>
    <t>ELLEN SOARES DE JESUS CARVALHO</t>
  </si>
  <si>
    <t>06720856154</t>
  </si>
  <si>
    <t>72805355</t>
  </si>
  <si>
    <t>RUA CUMARÍ, 01. QD 56 LT 09</t>
  </si>
  <si>
    <t>SÃO CAETANO</t>
  </si>
  <si>
    <t>ELLENSOARESDEJESUSCARVALHO@GMAIL.COM</t>
  </si>
  <si>
    <t>(61) 99436860</t>
  </si>
  <si>
    <t>(61) 999436860</t>
  </si>
  <si>
    <t>NILLA ALVES BABILONIO</t>
  </si>
  <si>
    <t>70975131109</t>
  </si>
  <si>
    <t>72803440</t>
  </si>
  <si>
    <t>RUA OLÍMPIO FERREIRA CORTE, 01. QD 40 LT 10</t>
  </si>
  <si>
    <t>NILLAALVES40@GMAIL.COM</t>
  </si>
  <si>
    <t>(61) 998096803</t>
  </si>
  <si>
    <t>CENTRO UNIVERSITARIO DO DISTRITO FEDERAL UDF</t>
  </si>
  <si>
    <t>THAIS OLIVEIRA DOURADO</t>
  </si>
  <si>
    <t>6082891</t>
  </si>
  <si>
    <t>04212536145</t>
  </si>
  <si>
    <t>72803400</t>
  </si>
  <si>
    <t>RUA 21 , 18. QUADRA 10</t>
  </si>
  <si>
    <t>THAISODOURADO@GMAIL.COM</t>
  </si>
  <si>
    <t>(61) 998368042</t>
  </si>
  <si>
    <t>AMANDA MACÊDO FILGUEIRAS</t>
  </si>
  <si>
    <t>3587273</t>
  </si>
  <si>
    <t>70993094120</t>
  </si>
  <si>
    <t>72852680</t>
  </si>
  <si>
    <t>QUADRA QUADRA 40, 00013. RUA 15</t>
  </si>
  <si>
    <t>JARDIM UMUARAMA SETOR 2</t>
  </si>
  <si>
    <t>AMANDAMACEDO2023@OUTLOOK.COM</t>
  </si>
  <si>
    <t>(61) 998662421</t>
  </si>
  <si>
    <t>ANTONY FELIPE SAMPAIO DA SILVA</t>
  </si>
  <si>
    <t>70243210167</t>
  </si>
  <si>
    <t>72804280</t>
  </si>
  <si>
    <t>RUA LEOLINCE, 00. QUADRA 16 LOTE 30</t>
  </si>
  <si>
    <t>ANTONYFELIPESAMPAIO@GMAIL.COM</t>
  </si>
  <si>
    <t>(61) 994150080</t>
  </si>
  <si>
    <t>LARISSA OLIVEIRA BORGES SOUZA</t>
  </si>
  <si>
    <t>3196827</t>
  </si>
  <si>
    <t>07583918111</t>
  </si>
  <si>
    <t>72813110</t>
  </si>
  <si>
    <t>RUA AMAZONAS, 02.</t>
  </si>
  <si>
    <t>RESIDENCIAL ALTO DAS CARAÍBAS</t>
  </si>
  <si>
    <t>LARISSAOBS21@GMAIL.COM</t>
  </si>
  <si>
    <t>(61) 999585722</t>
  </si>
  <si>
    <t>PITAGORAS</t>
  </si>
  <si>
    <t>ISADORA LOHANNE BARBOSA FERREIRA</t>
  </si>
  <si>
    <t>3768844</t>
  </si>
  <si>
    <t>07474546124</t>
  </si>
  <si>
    <t>72811310</t>
  </si>
  <si>
    <t>RUA PRATEADA, 33. QUADRA 28</t>
  </si>
  <si>
    <t>ISADORALOHANNE51@GMAIL.COM</t>
  </si>
  <si>
    <t>(61) 30842145</t>
  </si>
  <si>
    <t>(61) 996080428</t>
  </si>
  <si>
    <t>KARINY DIAS FERNANDES NETTO</t>
  </si>
  <si>
    <t>6666559</t>
  </si>
  <si>
    <t>70720669189</t>
  </si>
  <si>
    <t>72814600</t>
  </si>
  <si>
    <t>RUA 16, 0. AO LADO DA ESCOLA ESMAR GONÇALVES</t>
  </si>
  <si>
    <t>SETOR MANDU II</t>
  </si>
  <si>
    <t>KAKADIASF13@GMAIL.COM</t>
  </si>
  <si>
    <t>(61) 995657728</t>
  </si>
  <si>
    <t>ITALO DA SILVA ARAUJO</t>
  </si>
  <si>
    <t>3344545</t>
  </si>
  <si>
    <t>70514301147</t>
  </si>
  <si>
    <t>72870354</t>
  </si>
  <si>
    <t>RUA 7, 32. QD 02 CASA</t>
  </si>
  <si>
    <t>MORADA NOBRE</t>
  </si>
  <si>
    <t>ARAUJOSITALO@GMAIL.COM</t>
  </si>
  <si>
    <t>(61) 996847481</t>
  </si>
  <si>
    <t>CENTRO UNIVERSITÁRIO DO PLANALTO CENTRAL APPARECIDO DOS SANTOS</t>
  </si>
  <si>
    <t>GEOVANNA VITÓRIA MARTINS DE SOUSA</t>
  </si>
  <si>
    <t>4429997</t>
  </si>
  <si>
    <t>61465004378</t>
  </si>
  <si>
    <t>72852486</t>
  </si>
  <si>
    <t>RUA RP7, 4. BLOCO A, APARTAMENTO 304, QUADRA 4</t>
  </si>
  <si>
    <t>LOTEAMENTO RAQUEL PIMENTEL</t>
  </si>
  <si>
    <t>VICK09457@GMAIL.COM</t>
  </si>
  <si>
    <t>(61) 994174802</t>
  </si>
  <si>
    <t>FACULDADE ANHANGUERA VALPARAÍSO-GO</t>
  </si>
  <si>
    <t>AMANDA ARAUJO ANDRADE</t>
  </si>
  <si>
    <t>07266036194</t>
  </si>
  <si>
    <t>72850625</t>
  </si>
  <si>
    <t>RUA BOM PASTOR, 102. QUADRA 25 LOTE 11</t>
  </si>
  <si>
    <t>JARDIM ZULEIKA</t>
  </si>
  <si>
    <t>AMANDAARAUJO6532@GMAIL.COM</t>
  </si>
  <si>
    <t>(61) 995542160</t>
  </si>
  <si>
    <t>MILENA ALVES MENDES</t>
  </si>
  <si>
    <t>7478438</t>
  </si>
  <si>
    <t>08734024131</t>
  </si>
  <si>
    <t>75930000</t>
  </si>
  <si>
    <t>MAURILÂNDIA</t>
  </si>
  <si>
    <t>RUA JOÃO CARLOS CRUZ, 694. PRÓXIMO A PREFEITURA</t>
  </si>
  <si>
    <t>LORENA</t>
  </si>
  <si>
    <t>MILENAPINK01@GMAIL.COM</t>
  </si>
  <si>
    <t>(64) 993279613</t>
  </si>
  <si>
    <t>FACULDADE QUIRINÓPOLIS</t>
  </si>
  <si>
    <t>MAURILÂNDIA - GO</t>
  </si>
  <si>
    <t>MARCELO APARECIDO DE OLIVEIRA FILHO</t>
  </si>
  <si>
    <t>75312786187</t>
  </si>
  <si>
    <t>RUA ANTONIO INACIO DA SILVA, 315.</t>
  </si>
  <si>
    <t>MARCELO.A.O.FILHO@ACADEMICO.UNIRV.EDU.BR</t>
  </si>
  <si>
    <t>(64) 993068753</t>
  </si>
  <si>
    <t>UNIRV</t>
  </si>
  <si>
    <t>LAURA SANTOS MORAES</t>
  </si>
  <si>
    <t>27410900</t>
  </si>
  <si>
    <t>06141217109</t>
  </si>
  <si>
    <t>75832007</t>
  </si>
  <si>
    <t>MINEIROS</t>
  </si>
  <si>
    <t>RUA DOIS, 00. RESIDENCIAL GM</t>
  </si>
  <si>
    <t>MUNDINHO</t>
  </si>
  <si>
    <t>LARASANTOS307@GMAIL.COM</t>
  </si>
  <si>
    <t>(66) 996949688</t>
  </si>
  <si>
    <t>FACULDADE MORGANA POTRICH</t>
  </si>
  <si>
    <t>MINEIROS - GO</t>
  </si>
  <si>
    <t>VITORIA ALVES FERREIRA</t>
  </si>
  <si>
    <t>5134220</t>
  </si>
  <si>
    <t>02213328129</t>
  </si>
  <si>
    <t>75831184</t>
  </si>
  <si>
    <t>RUA JOÃO CRUVINEL, SN. QD 18, LT 07</t>
  </si>
  <si>
    <t>RESIDENCIAL ALVINA PANIAGO</t>
  </si>
  <si>
    <t>VITORIA.MINEIROS@GMAIL.COM</t>
  </si>
  <si>
    <t>(64) 999890173</t>
  </si>
  <si>
    <t>CENTRO DE ENSINO SUPERIOR MORGANA PROTRICH FAMP</t>
  </si>
  <si>
    <t>EDUARDA BATISTA SOARES</t>
  </si>
  <si>
    <t>06981782111</t>
  </si>
  <si>
    <t>75832184</t>
  </si>
  <si>
    <t>RUA W 9, 103. RESIDENCIAL TOCANTINS BLOCO 02</t>
  </si>
  <si>
    <t>SETOR JARDIM GOIÁS II</t>
  </si>
  <si>
    <t>EDUARDASOARESALBUQUER@GMAIL.COM</t>
  </si>
  <si>
    <t>(62) 33721564</t>
  </si>
  <si>
    <t>(62) 998032093</t>
  </si>
  <si>
    <t>FAMP - FACULDADE MORGANA POTRICH</t>
  </si>
  <si>
    <t>VITÓRIA SANTOS NUNES</t>
  </si>
  <si>
    <t>04494803138</t>
  </si>
  <si>
    <t>75834011</t>
  </si>
  <si>
    <t>RUA GUARARAPES, 0. CASA 10</t>
  </si>
  <si>
    <t>SETOR IORIS</t>
  </si>
  <si>
    <t>VITNUNES3@GMAIL.COM</t>
  </si>
  <si>
    <t>(66) 997103545</t>
  </si>
  <si>
    <t>UNIFIMES</t>
  </si>
  <si>
    <t>WELDER RIBEIRO SOUZA JUNIOR</t>
  </si>
  <si>
    <t>05788387108</t>
  </si>
  <si>
    <t>75830221</t>
  </si>
  <si>
    <t>AVENIDA PRIMEIRA AVENIDA, 56.</t>
  </si>
  <si>
    <t>WELDERMOR@GMAIL.COM</t>
  </si>
  <si>
    <t>(65) 99003524</t>
  </si>
  <si>
    <t>(65) 999003524</t>
  </si>
  <si>
    <t>JOÃO VITOR COELHO LAUERMANN</t>
  </si>
  <si>
    <t>1828320</t>
  </si>
  <si>
    <t>04237597105</t>
  </si>
  <si>
    <t>75831118</t>
  </si>
  <si>
    <t>AVENIDA CONTORNO, 00. QUADRA 08 LOTE 30</t>
  </si>
  <si>
    <t>SETOR PARQUE SÃO JOSÉ</t>
  </si>
  <si>
    <t>JVCLAUERMANN@GMAIL.COM</t>
  </si>
  <si>
    <t>(64) 996457481</t>
  </si>
  <si>
    <t>RAISSY PAMELA MARTINS SOUSA</t>
  </si>
  <si>
    <t>5952259</t>
  </si>
  <si>
    <t>70782464114</t>
  </si>
  <si>
    <t>75834345</t>
  </si>
  <si>
    <t>RUA QUINZE, 6. QD 22 L 6</t>
  </si>
  <si>
    <t>RESIDENCIAL DONA ALCIRA DE REZENDE</t>
  </si>
  <si>
    <t>RAYSSAASOUZZAA@GMAIL.COM</t>
  </si>
  <si>
    <t>(64) 36612123</t>
  </si>
  <si>
    <t>(64) 999747580</t>
  </si>
  <si>
    <t>REMANEJADO</t>
  </si>
  <si>
    <t>MARIA EDUARDA RIBEIRO CARVALHO</t>
  </si>
  <si>
    <t>71239134185</t>
  </si>
  <si>
    <t>75830122</t>
  </si>
  <si>
    <t>RUA QUINZE, 113.</t>
  </si>
  <si>
    <t>MECARVALHO2002@GMAIL.COM</t>
  </si>
  <si>
    <t>(64) 99924983</t>
  </si>
  <si>
    <t>(64) 999249831</t>
  </si>
  <si>
    <t>KARINA DE OLIVEIRA ROZA</t>
  </si>
  <si>
    <t>07352847170</t>
  </si>
  <si>
    <t>78785000</t>
  </si>
  <si>
    <t>ALTO TAQUARI</t>
  </si>
  <si>
    <t>RUA RINALDO ADOLFO SALTER, 228. AO LADO DA BICICLETARIA PEDAL DE OURO</t>
  </si>
  <si>
    <t>13 PONTOS</t>
  </si>
  <si>
    <t>KO187450@GMAIL.COM</t>
  </si>
  <si>
    <t>(66) 99925045</t>
  </si>
  <si>
    <t>(66) 999250453</t>
  </si>
  <si>
    <t>FACULDADE MORGANA POTRICH - FAMP</t>
  </si>
  <si>
    <t>MARIA JOSÉ GOMES DE OLIVEIRA</t>
  </si>
  <si>
    <t>06644059325</t>
  </si>
  <si>
    <t>75837772</t>
  </si>
  <si>
    <t>RUA DAS PALMEIRAS, 00. QD27 LT 05</t>
  </si>
  <si>
    <t>SETOR JOSÉ DE OLIVEIRA MARTINS</t>
  </si>
  <si>
    <t>MG365815@GMAIL.COM</t>
  </si>
  <si>
    <t>(64) 99746093</t>
  </si>
  <si>
    <t>(64) 999746093</t>
  </si>
  <si>
    <t>UNIFIMES MINEIROS GO</t>
  </si>
  <si>
    <t>EDUARDO REZENDE SILVA</t>
  </si>
  <si>
    <t>07784982127</t>
  </si>
  <si>
    <t>75830315</t>
  </si>
  <si>
    <t>RUA JOSÉ CAVALCANTE DE SOUSA, S/N.</t>
  </si>
  <si>
    <t>SETOR BOA VISTA</t>
  </si>
  <si>
    <t>EDUARDODUDSREZENDSILV@GMAIL.COM</t>
  </si>
  <si>
    <t>(64) 99956301</t>
  </si>
  <si>
    <t>(64) 999563013</t>
  </si>
  <si>
    <t>COLÉGIO ÁGAPE</t>
  </si>
  <si>
    <t>MARIAH CAETANO AQUINO</t>
  </si>
  <si>
    <t>03808997109</t>
  </si>
  <si>
    <t>75833134</t>
  </si>
  <si>
    <t>AVENIDA VINTE TRÊS, S/N. PRÓXIMO À FIMES</t>
  </si>
  <si>
    <t>MARIAH.CA13@HOTMAIL.COM</t>
  </si>
  <si>
    <t>(64) 30204020</t>
  </si>
  <si>
    <t>(66) 984059757</t>
  </si>
  <si>
    <t>UNIFIMES - MINEIROS</t>
  </si>
  <si>
    <t>LAURA CRISTINA FILGUEIRA DA SILVA</t>
  </si>
  <si>
    <t>70905020154</t>
  </si>
  <si>
    <t>75830382</t>
  </si>
  <si>
    <t>RUA 3, 00. PRÓXIMO A CASA DO PESCADOR</t>
  </si>
  <si>
    <t>SETOR TANINHO</t>
  </si>
  <si>
    <t>LAURACRISTINAFILGUEIRA16@GMAIL.COM</t>
  </si>
  <si>
    <t>(64) 99968904</t>
  </si>
  <si>
    <t>(64) 999689045</t>
  </si>
  <si>
    <t>CENTRO UNIVERSITÁRIO DE MINEIROS UNIFIMES</t>
  </si>
  <si>
    <t>IASMIM JULIA VIEIRA NUNES</t>
  </si>
  <si>
    <t>6108802</t>
  </si>
  <si>
    <t>70190464100</t>
  </si>
  <si>
    <t>75650000</t>
  </si>
  <si>
    <t>MORRINHOS</t>
  </si>
  <si>
    <t>RUA BV09, 1. QD 05, LT 14</t>
  </si>
  <si>
    <t>IASMIMJVNUNES30@ALUNOS.UNICERRADO.EDU.BR</t>
  </si>
  <si>
    <t>(64) 992162014</t>
  </si>
  <si>
    <t>CENTRO UNIVERSITÁRIO DE GOIATUBA</t>
  </si>
  <si>
    <t>MORRINHOS - GO</t>
  </si>
  <si>
    <t>ANDRÉA FRANCISCA ARAUJO</t>
  </si>
  <si>
    <t>03286175129</t>
  </si>
  <si>
    <t>RUA 08 DE AGOSTO QD 08 LT 12, 0.</t>
  </si>
  <si>
    <t>ARCA DE NOÉ</t>
  </si>
  <si>
    <t>ANDREAFRANCISCA-ALFA@HOTMAIL.COM</t>
  </si>
  <si>
    <t>(64) 992767163</t>
  </si>
  <si>
    <t>GLENDA JULIANA FERNANDES DE ALMEIDA</t>
  </si>
  <si>
    <t>70395259177</t>
  </si>
  <si>
    <t>AVENIDA DO CAFE , 0.</t>
  </si>
  <si>
    <t>GENOVEVA ALVES</t>
  </si>
  <si>
    <t>GLENDA.FERNANDES177@GMAIL.COM</t>
  </si>
  <si>
    <t>(62) 994492575</t>
  </si>
  <si>
    <t>ALINE LIMA DE FREITAS</t>
  </si>
  <si>
    <t>70740599194</t>
  </si>
  <si>
    <t>RUA 7 QUADRA 6 , LOTE 16A.</t>
  </si>
  <si>
    <t>ALINELIMADEFREITAS27@GMAIL.COM</t>
  </si>
  <si>
    <t>(64) 993274223</t>
  </si>
  <si>
    <t>MARISSA BRINCK PEREIRA</t>
  </si>
  <si>
    <t>70145772128</t>
  </si>
  <si>
    <t>RUA J3, 100. APTO 401 BLOCO A</t>
  </si>
  <si>
    <t>RESIDENCIAL JARINA PARK</t>
  </si>
  <si>
    <t>MARISSABRINCK@GMAIL.COM</t>
  </si>
  <si>
    <t>(64) 34319316</t>
  </si>
  <si>
    <t>(64) 996667781</t>
  </si>
  <si>
    <t>LAURA ELISA RIBEIRO PELOZO</t>
  </si>
  <si>
    <t>70931904137</t>
  </si>
  <si>
    <t>RUA JG 8, QD. K, LTS. 16 E 17, -. -</t>
  </si>
  <si>
    <t>LAURA.ELISA@OUTLOOK.COM</t>
  </si>
  <si>
    <t>(64) 992346884</t>
  </si>
  <si>
    <t>LUIZ HENRIQUE FERREIRA DOS SANTOS</t>
  </si>
  <si>
    <t>05146898111</t>
  </si>
  <si>
    <t>RUA NOVARA, QUADRA 65, LOTE 11, S/N.</t>
  </si>
  <si>
    <t>JARDIM ROMANO</t>
  </si>
  <si>
    <t>HENRIQUELUIZGUERRA@GMAIL.COM</t>
  </si>
  <si>
    <t>(64) 984185598</t>
  </si>
  <si>
    <t>GABRIELA FERNANDES GOMES</t>
  </si>
  <si>
    <t>04308297109</t>
  </si>
  <si>
    <t>RUA 9 QUADRA 21 LOTE 17, 17. 1ª ETAPA</t>
  </si>
  <si>
    <t>SANTOS DUMONT</t>
  </si>
  <si>
    <t>GABRIELAFERNANDESGMS@GMAIL.COM</t>
  </si>
  <si>
    <t>(64) 34162727</t>
  </si>
  <si>
    <t>(64) 993041972</t>
  </si>
  <si>
    <t>BRUNO HENRIQUE CUNHA FREITAS</t>
  </si>
  <si>
    <t>01208222104</t>
  </si>
  <si>
    <t>RUA PORTO ALEGRE , 565. CENTRO</t>
  </si>
  <si>
    <t>BRUNORONALDO007@HOTMAIL.COM.BR</t>
  </si>
  <si>
    <t>(64) 34131561</t>
  </si>
  <si>
    <t>(64) 992291832</t>
  </si>
  <si>
    <t>UNICERRADO- GOIATUBA</t>
  </si>
  <si>
    <t>JHULLYAN CRISTINE</t>
  </si>
  <si>
    <t>04272857126</t>
  </si>
  <si>
    <t>RUA CR1, 187.</t>
  </si>
  <si>
    <t>SETOR CRISTO</t>
  </si>
  <si>
    <t>JHULLYANCRISTINE17@GMAIL.COM</t>
  </si>
  <si>
    <t>(64) 999335730</t>
  </si>
  <si>
    <t>ADRIELLY FERNANDES LEMES</t>
  </si>
  <si>
    <t>03955104141</t>
  </si>
  <si>
    <t>RUA MV 02 QD 10 LT 19, 19. CASA</t>
  </si>
  <si>
    <t>MONTE VERDE</t>
  </si>
  <si>
    <t>ADRIELLYFERNANDESLEMES731@GMAIL.COM</t>
  </si>
  <si>
    <t>(64) 93432017</t>
  </si>
  <si>
    <t>(64) 993432017</t>
  </si>
  <si>
    <t>THÁLLYTA VIEIRA DA SILVA</t>
  </si>
  <si>
    <t>70851169198</t>
  </si>
  <si>
    <t>76150000</t>
  </si>
  <si>
    <t>MOSSÂMEDES</t>
  </si>
  <si>
    <t>AVENIDA TOMAZ GOMEZ DOS SANTOS, 01. MIRRANDOPOLIS</t>
  </si>
  <si>
    <t>MIRANDÓPOLIS</t>
  </si>
  <si>
    <t>THALLYTAVIEIRA468@GMAIL.COM</t>
  </si>
  <si>
    <t>(62) 986240147</t>
  </si>
  <si>
    <t>SÃO LUIZ DE MONTES BELOS</t>
  </si>
  <si>
    <t>MOSSÂMEDES - GO</t>
  </si>
  <si>
    <t>LARIANE GOMES DOS SANTOS</t>
  </si>
  <si>
    <t>05670607139</t>
  </si>
  <si>
    <t>76700000</t>
  </si>
  <si>
    <t>MOZARLÂNDIA</t>
  </si>
  <si>
    <t>RUA MINAS GERAIS QD29 LT18, 00. CASA</t>
  </si>
  <si>
    <t>CENTRAL</t>
  </si>
  <si>
    <t>LARYGDS@GMAIL.COM</t>
  </si>
  <si>
    <t>(62) 996725134</t>
  </si>
  <si>
    <t>MOZARLÂNDIA - GO</t>
  </si>
  <si>
    <t>JOÃO VICTOR DE OLIVEIRA</t>
  </si>
  <si>
    <t>05459670152</t>
  </si>
  <si>
    <t>76180000</t>
  </si>
  <si>
    <t>NAZÁRIO</t>
  </si>
  <si>
    <t>RUA 1 QUADRA 2 LOTE 7 , 0.</t>
  </si>
  <si>
    <t>PARAISO</t>
  </si>
  <si>
    <t>JV998486826@GMAIL.COM</t>
  </si>
  <si>
    <t>(62) 98486826</t>
  </si>
  <si>
    <t>(62) 998486826</t>
  </si>
  <si>
    <t>IAESUP INSTITUTO APHONSIANO DE ENSINO SUPERIOR</t>
  </si>
  <si>
    <t>NAZÁRIO - GO</t>
  </si>
  <si>
    <t>ANA CLARA FIDELIS DE OLIVEIRA</t>
  </si>
  <si>
    <t>6869655</t>
  </si>
  <si>
    <t>70899708170</t>
  </si>
  <si>
    <t>RUA PEDRO PINTO MENDONÇA Q 1 LT 08, 207.</t>
  </si>
  <si>
    <t>VILA MUTIRÃO</t>
  </si>
  <si>
    <t>ANACLARAFIDELIS814@GMAIL.COM</t>
  </si>
  <si>
    <t>(62) 995092851</t>
  </si>
  <si>
    <t>NERÓPOLIS - GO</t>
  </si>
  <si>
    <t>CAIQUE RICARDO XAVIER DA SILVA</t>
  </si>
  <si>
    <t>08266504148</t>
  </si>
  <si>
    <t>RUA JOÃO PEDRO JUNQUEIRA, 00. QUADRA 56 LOTE 12</t>
  </si>
  <si>
    <t>CAIQUERXDS17@GMAIL.COM</t>
  </si>
  <si>
    <t>(62) 981028274</t>
  </si>
  <si>
    <t>ANA KAROLINE FRANCO MAGALHÃES</t>
  </si>
  <si>
    <t>71068077107</t>
  </si>
  <si>
    <t>RUA 15 QUADRA H LOTE 15, 190. CASA 1</t>
  </si>
  <si>
    <t>PARQUE DAS AMÉRICAS</t>
  </si>
  <si>
    <t>ANAKAROLINEFRANCCO@GMAIL.COM</t>
  </si>
  <si>
    <t>(62) 985332162</t>
  </si>
  <si>
    <t>MATHEUS DE MATOS MUNIZ</t>
  </si>
  <si>
    <t>01683614186</t>
  </si>
  <si>
    <t>76420000</t>
  </si>
  <si>
    <t>NIQUELÂNDIA</t>
  </si>
  <si>
    <t>RUA CARLOS GOMES, 0. QD. 72, LT. 11</t>
  </si>
  <si>
    <t>BELO HORIZONTE</t>
  </si>
  <si>
    <t>ZMATHEUSZIM@GMAIL.COM</t>
  </si>
  <si>
    <t>(62) 85909958</t>
  </si>
  <si>
    <t>(62) 996815181</t>
  </si>
  <si>
    <t>FACULDADE EVANGÉLICA DE GOINÉSIA</t>
  </si>
  <si>
    <t>NIQUELÂNDIA - GO</t>
  </si>
  <si>
    <t>KARLA CRISTINA GERENCIANO DE SOUZA</t>
  </si>
  <si>
    <t>6778452</t>
  </si>
  <si>
    <t>07489553130</t>
  </si>
  <si>
    <t>RUA ANA NERY, S/N. Q.14, L.02</t>
  </si>
  <si>
    <t>EVEREST</t>
  </si>
  <si>
    <t>GERANCIANOKARLA@GMAIL.COM</t>
  </si>
  <si>
    <t>(62) 998017193</t>
  </si>
  <si>
    <t>FACULDADE SERRA DA MESA - FASEM</t>
  </si>
  <si>
    <t>BEATRIZ MORAIS SANTANA</t>
  </si>
  <si>
    <t>08424944135</t>
  </si>
  <si>
    <t>FAZENDA ASSENTAMENTO CONCEIÇÃO, 00.</t>
  </si>
  <si>
    <t>ZONA RURAL</t>
  </si>
  <si>
    <t>MORAISBIAHGB@GMAIL.COM</t>
  </si>
  <si>
    <t>(62) 998336375</t>
  </si>
  <si>
    <t>FACULDADE SERRA DA MESA</t>
  </si>
  <si>
    <t>LUANA EVANGELISTA VIEIRA</t>
  </si>
  <si>
    <t>03608721150</t>
  </si>
  <si>
    <t>RUA ALTO PARAÍSO QD14 LT 05 , 00.</t>
  </si>
  <si>
    <t>MARACANA</t>
  </si>
  <si>
    <t>LUANAEVANGELISTAVIEIRA@GMAIL.COM</t>
  </si>
  <si>
    <t>(62) 99964674</t>
  </si>
  <si>
    <t>FASEM FACULDADE SERRA DA MESA</t>
  </si>
  <si>
    <t>PEDRO GUILHERME GONCALVES LIMA</t>
  </si>
  <si>
    <t>07676876125</t>
  </si>
  <si>
    <t>AV TEODORO CAMELO QD 03 LT 10, SN.</t>
  </si>
  <si>
    <t>SOARES</t>
  </si>
  <si>
    <t>PG_SO10@HOTMAIL.COM</t>
  </si>
  <si>
    <t>(62) 999034227</t>
  </si>
  <si>
    <t>FASEM- FACULDADE SERRA DA MESA</t>
  </si>
  <si>
    <t>DÁLETTE JORDANA ALVES DA SILVA</t>
  </si>
  <si>
    <t>05245314126</t>
  </si>
  <si>
    <t>76520000</t>
  </si>
  <si>
    <t>NOVA CRIXÁS</t>
  </si>
  <si>
    <t>RUA SALVADOR GARCIA, 0. QUADRA 7, LOTE 11</t>
  </si>
  <si>
    <t>ÁGUA BRANCA</t>
  </si>
  <si>
    <t>DJAASILVA@YAHOO.COM</t>
  </si>
  <si>
    <t>(62) 999749702</t>
  </si>
  <si>
    <t>FUNDAÇÃO EDUCACIONAL DE ANICUNS</t>
  </si>
  <si>
    <t>NOVA CRIXÁS - GO</t>
  </si>
  <si>
    <t>PALOMA LOURRANY ALVES SILVA</t>
  </si>
  <si>
    <t>6028591</t>
  </si>
  <si>
    <t>05253908129</t>
  </si>
  <si>
    <t>72865005</t>
  </si>
  <si>
    <t>NOVO GAMA</t>
  </si>
  <si>
    <t>QUADRA QUADRA 5, LOTE 07. 19</t>
  </si>
  <si>
    <t>JARDIM LAGO AZUL</t>
  </si>
  <si>
    <t>PALOMALVESPLAS@GMAIL.COM</t>
  </si>
  <si>
    <t>(61) 99235821</t>
  </si>
  <si>
    <t>(61) 992358217</t>
  </si>
  <si>
    <t>NOVO GAMA - GO</t>
  </si>
  <si>
    <t>ANA JÚLIA REIS FERREIRA</t>
  </si>
  <si>
    <t>3726088</t>
  </si>
  <si>
    <t>07294243166</t>
  </si>
  <si>
    <t>72865172</t>
  </si>
  <si>
    <t>QUADRA QUADRA 172, 08. RUA 53</t>
  </si>
  <si>
    <t>ANAJULIAREIS2019@GMAIL.COM</t>
  </si>
  <si>
    <t>(61) 91000348</t>
  </si>
  <si>
    <t>(61) 995709496</t>
  </si>
  <si>
    <t>LORRANY HOLANDA DOS SANTOS</t>
  </si>
  <si>
    <t>3696169</t>
  </si>
  <si>
    <t>07167330132</t>
  </si>
  <si>
    <t>72860104</t>
  </si>
  <si>
    <t>CONJUNTO 12 HC RUA 4, 41.</t>
  </si>
  <si>
    <t>NÚCLEO HABITACIONAL NOVO GAMA</t>
  </si>
  <si>
    <t>HOANDALORRANY@GMAIL.COM</t>
  </si>
  <si>
    <t>(61) 993325661</t>
  </si>
  <si>
    <t>FILIPE ALVES DE FRANCA</t>
  </si>
  <si>
    <t>3955274</t>
  </si>
  <si>
    <t>05670570111</t>
  </si>
  <si>
    <t>72860175</t>
  </si>
  <si>
    <t>CONJUNTO 01 HI RUA 25, 31.</t>
  </si>
  <si>
    <t>FILIPEALFRANCA83@GMAIL.COM</t>
  </si>
  <si>
    <t>(61) 85604645</t>
  </si>
  <si>
    <t>(61) 85092914</t>
  </si>
  <si>
    <t>FACULDADE BRASÍLIA</t>
  </si>
  <si>
    <t>ANDRESSA RODRIGUES FORTES</t>
  </si>
  <si>
    <t>06351216117</t>
  </si>
  <si>
    <t>72503610</t>
  </si>
  <si>
    <t>QUADRA QR 303 CONJUNTO J, 13.</t>
  </si>
  <si>
    <t>SANTA MARIA</t>
  </si>
  <si>
    <t>ANDRESSAFORTES75@GMAIL.COM</t>
  </si>
  <si>
    <t>(61) 30123944</t>
  </si>
  <si>
    <t>(61) 993904388</t>
  </si>
  <si>
    <t>CENTRO UNIVERSITÁRIO DO PLANALTO APPARECIDO DOS SANTOS</t>
  </si>
  <si>
    <t>ANA LUISA CAIXETA DE SOUSA</t>
  </si>
  <si>
    <t>08120416155</t>
  </si>
  <si>
    <t>75280000</t>
  </si>
  <si>
    <t>ORIZONA</t>
  </si>
  <si>
    <t>AVENIDA EGERINEU TEIXEIRA , 31.</t>
  </si>
  <si>
    <t>ANALUISACAIXETA3@GMAIL.COM</t>
  </si>
  <si>
    <t>(64) 34741604</t>
  </si>
  <si>
    <t>(64) 999540119</t>
  </si>
  <si>
    <t>ORIZONA - GO</t>
  </si>
  <si>
    <t>THAÍS GONÇALVES EVANGELISTA</t>
  </si>
  <si>
    <t>07469727175</t>
  </si>
  <si>
    <t>RUA 3, 1.</t>
  </si>
  <si>
    <t>SANTA LUZIA</t>
  </si>
  <si>
    <t>TAISG4289@GMAIL.COM</t>
  </si>
  <si>
    <t>(64) 96455726</t>
  </si>
  <si>
    <t>(64) 996455726</t>
  </si>
  <si>
    <t>EDUARDO NASCIMENTO REZENDE</t>
  </si>
  <si>
    <t>03841548164</t>
  </si>
  <si>
    <t>RUA 7A QUADRA 65A , 07. CASA, PORTÃO CINZA</t>
  </si>
  <si>
    <t>REZENDEDULLE@GMAIL.COM</t>
  </si>
  <si>
    <t>(64) 993194857</t>
  </si>
  <si>
    <t>UNIVERSIDADE ESTADUDAL DE GOIAS</t>
  </si>
  <si>
    <t>DEBORAH DE SOUSA OLIVEIRA</t>
  </si>
  <si>
    <t>06359594102</t>
  </si>
  <si>
    <t>RUA 7, S/N. QUADRA 10 LOTE 19</t>
  </si>
  <si>
    <t>CINELÂNDIA</t>
  </si>
  <si>
    <t>DBORAHSOUSAOLIVEIRA@YAHOO.COM</t>
  </si>
  <si>
    <t>(64) 999097414</t>
  </si>
  <si>
    <t>LARYSSA ALVES PEREIRA GONÇALVES</t>
  </si>
  <si>
    <t>70169775100</t>
  </si>
  <si>
    <t>76190000</t>
  </si>
  <si>
    <t>PALMEIRAS DE GOIÁS</t>
  </si>
  <si>
    <t>RUA MAJOR SINFRONIO SETOR JACANA Q.02 L.15 , 000. EM FRENTE A LOJA POLO REFRIGERAÇÃO</t>
  </si>
  <si>
    <t>SETOR JACANA</t>
  </si>
  <si>
    <t>LARYSSAAPG@GMAIL.COM</t>
  </si>
  <si>
    <t>(64) 91814097</t>
  </si>
  <si>
    <t>(64) 999178461</t>
  </si>
  <si>
    <t>UEG PALMEIRAS DE GOIAS</t>
  </si>
  <si>
    <t>PALMEIRAS DE GOIÁS - GO</t>
  </si>
  <si>
    <t>GENIVALDA SANTOS DA SILVA</t>
  </si>
  <si>
    <t>12275967400</t>
  </si>
  <si>
    <t>RUA D 4, QUADRA 112 LOTE 09 , 01. CASA VERDE</t>
  </si>
  <si>
    <t>SETOR MARTINHO</t>
  </si>
  <si>
    <t>GENIVALDA@ALUNO.UEG.BR</t>
  </si>
  <si>
    <t>(64) 99311454</t>
  </si>
  <si>
    <t>(64) 999089827</t>
  </si>
  <si>
    <t>IZABELA MATEUS MOURA</t>
  </si>
  <si>
    <t>02421709199</t>
  </si>
  <si>
    <t>RUA 13 QDR. 28 LT. 20-D, S/N. CASA CINZA</t>
  </si>
  <si>
    <t>JARDIM DAS OLIVEIRAS</t>
  </si>
  <si>
    <t>IZABELA.MAT.MOURA@GMAIL.COM</t>
  </si>
  <si>
    <t>(64) 999576239</t>
  </si>
  <si>
    <t>LETÍCIA ANGELICA LEAL</t>
  </si>
  <si>
    <t>4500123</t>
  </si>
  <si>
    <t>01652670114</t>
  </si>
  <si>
    <t>RUA SALOMÃO LOPES QD 02 LT 04, S/N.</t>
  </si>
  <si>
    <t>CONDOMÍNIO RESIDENCIAL ALDEIA DO LAGO</t>
  </si>
  <si>
    <t>LETICIAALEAL.PSI@GMAIL.COM</t>
  </si>
  <si>
    <t>(64) 999619822</t>
  </si>
  <si>
    <t>FABIANNY KRISTTINE FREIRE DE QUEIROZ</t>
  </si>
  <si>
    <t>6213448</t>
  </si>
  <si>
    <t>04449292154</t>
  </si>
  <si>
    <t>RUA SANTOS DUMMONT QD13 LT 06, 0000. AO LADO DO LAVAJATO</t>
  </si>
  <si>
    <t>GOIANINHA</t>
  </si>
  <si>
    <t>FABIANNYKRISTT15@GMAIL.COM</t>
  </si>
  <si>
    <t>(62) 83182475</t>
  </si>
  <si>
    <t>(62) 996825330</t>
  </si>
  <si>
    <t>UNIVERSIDADE ESTADUAL DE GOIÁS - PALMEIRAS DE GOIÁS</t>
  </si>
  <si>
    <t>TIAGO AUGUSTO DA SILVA SOUZA</t>
  </si>
  <si>
    <t>71284662152</t>
  </si>
  <si>
    <t>RUA D-20 QUADRA 149 LOTE 12-B, S/N. RUA DO ESTABELECIMENTO PRIMER EVENTOS</t>
  </si>
  <si>
    <t>AUGUSTOTIAGO336@GMAIL.COM</t>
  </si>
  <si>
    <t>(64) 999869921</t>
  </si>
  <si>
    <t>MAISA LOPES PEDROSO</t>
  </si>
  <si>
    <t>70278272126</t>
  </si>
  <si>
    <t>75990000</t>
  </si>
  <si>
    <t>PALMINÓPOLIS</t>
  </si>
  <si>
    <t>AVENIDA TAVARES , S/N . QD 01 LT 02</t>
  </si>
  <si>
    <t>POR DO SOL</t>
  </si>
  <si>
    <t>MAISA.LOOPES68@OUTLOOK.COM</t>
  </si>
  <si>
    <t>(64) 993316095</t>
  </si>
  <si>
    <t>PARAÚNA - GO</t>
  </si>
  <si>
    <t>ALINE DIAS DOS SANTOS</t>
  </si>
  <si>
    <t>7057817</t>
  </si>
  <si>
    <t>71097861104</t>
  </si>
  <si>
    <t>75640000</t>
  </si>
  <si>
    <t>PIRACANJUBA</t>
  </si>
  <si>
    <t>VIELA TELES, 0. QD.4 LT.7A CASA 02</t>
  </si>
  <si>
    <t>SANTOSALINEDIAS@GMAIL.COM</t>
  </si>
  <si>
    <t>(64) 34056545</t>
  </si>
  <si>
    <t>(64) 993239226</t>
  </si>
  <si>
    <t>CENTRO DE ENSINO SUPERIOR FACULDADE FAP</t>
  </si>
  <si>
    <t>PIRACANJUBA - GO</t>
  </si>
  <si>
    <t>VINÍCIUS GONÇALVES BASTOS MELO</t>
  </si>
  <si>
    <t>70964100150</t>
  </si>
  <si>
    <t>AVENIDA BEIJA FLOR, 1. QD9 LT13</t>
  </si>
  <si>
    <t>SEBASTIAO DE OLIVEIRA</t>
  </si>
  <si>
    <t>VBASTOS58@GMAIL.COM</t>
  </si>
  <si>
    <t>(64) 93336060</t>
  </si>
  <si>
    <t>(64) 92712882</t>
  </si>
  <si>
    <t>FACULDADE DE PIRACANJUBA - FAP</t>
  </si>
  <si>
    <t>FILIPE CORRÊA ALVARENGA</t>
  </si>
  <si>
    <t>71396599150</t>
  </si>
  <si>
    <t>CONDOMÍNIO FOGAÇA, 0. RECANTO ALVARENGA</t>
  </si>
  <si>
    <t>FILIPEALVARENGA370@GMAIL.COM</t>
  </si>
  <si>
    <t>(62) 998430225</t>
  </si>
  <si>
    <t>PIRENÓPOLIS - GO</t>
  </si>
  <si>
    <t>GISELY SILVA FERNANDES</t>
  </si>
  <si>
    <t>06516501190</t>
  </si>
  <si>
    <t>RUA 1 QUADRA 3 LOTE 11 , 0. CASA BRANCA EM FRETE AO COMPLEXO DO CENTRO</t>
  </si>
  <si>
    <t>GISELYFERNADES1@GMAILCOM</t>
  </si>
  <si>
    <t>(62) 93415837</t>
  </si>
  <si>
    <t>(62) 993415837</t>
  </si>
  <si>
    <t>RAYSA MUNDIM DE PINA</t>
  </si>
  <si>
    <t>05192220165</t>
  </si>
  <si>
    <t>RUA 09, 16. RUA 09 QUADRA 16 LOTE 2</t>
  </si>
  <si>
    <t>RESIDENCIAL LUCIANO PEIXOTO</t>
  </si>
  <si>
    <t>RAYSAPINA@HOTMAIL.COM</t>
  </si>
  <si>
    <t>(62) 98578600</t>
  </si>
  <si>
    <t>(62) 985786006</t>
  </si>
  <si>
    <t>FAMA</t>
  </si>
  <si>
    <t>ÁKILLA RÚBIA DOS SANTOS PEREIRA.</t>
  </si>
  <si>
    <t>71076338135</t>
  </si>
  <si>
    <t>RUA JOSE DORNELES JAIME VILA VULPINA ROSA GODINHO, Q1 L6.</t>
  </si>
  <si>
    <t>ALTO DA LAPA</t>
  </si>
  <si>
    <t>AKILLAARUBIA@GMAIL.COM</t>
  </si>
  <si>
    <t>(62) 993913122</t>
  </si>
  <si>
    <t>UNIEVANGÉLICA- UNIVERSIDADE EVANGELICA DE GOIÁS</t>
  </si>
  <si>
    <t>AMANDA DE OLIVEIRA</t>
  </si>
  <si>
    <t>71126789194</t>
  </si>
  <si>
    <t>75200000</t>
  </si>
  <si>
    <t>PIRES DO RIO</t>
  </si>
  <si>
    <t>RUA SÃO PAULO APÓSTOLO, 00. QUADRA 2 LOTE 12</t>
  </si>
  <si>
    <t>ARISTEU FERREIRA</t>
  </si>
  <si>
    <t>AMANDADEOLIVEIRA112@GMAIL.COM</t>
  </si>
  <si>
    <t>(64) 996425260</t>
  </si>
  <si>
    <t>FASUG FACULDADE DO SULDESTE GOIANO</t>
  </si>
  <si>
    <t>PIRES DO RIO - GO</t>
  </si>
  <si>
    <t>BRUNA DE OLIVEIRA PAES</t>
  </si>
  <si>
    <t>04510683197</t>
  </si>
  <si>
    <t>RUA ADIB FAIAD, 75. CASA 2</t>
  </si>
  <si>
    <t>SAMPAIO</t>
  </si>
  <si>
    <t>BRUNADEOLIVEIRAPAES3@GMAIL.COM</t>
  </si>
  <si>
    <t>(64) 999877242</t>
  </si>
  <si>
    <t>DAVI CAIXÊTA NUNES FERREIRA</t>
  </si>
  <si>
    <t>08902749169</t>
  </si>
  <si>
    <t>RUA JUAREZ SILVA, 0. RUA DA PREFORTE E 3 CASAS ACIMA DO ARROZ EXPOENTE</t>
  </si>
  <si>
    <t>CAIXETANUNESD@GMAIL.COM</t>
  </si>
  <si>
    <t>(64) 992930627</t>
  </si>
  <si>
    <t>UEG PIRES DO RIO</t>
  </si>
  <si>
    <t>ANA CAROLINE MOURA DE LIMA</t>
  </si>
  <si>
    <t>6792104</t>
  </si>
  <si>
    <t>07474922126</t>
  </si>
  <si>
    <t>RUA BENEDITO SAMPAIO Q04 , 43 D3. CASA DE ESQUINA EM FRENTE LINHA DE TREM DE FERRO</t>
  </si>
  <si>
    <t>MOSAICO</t>
  </si>
  <si>
    <t>ANNACAROLINNESTC@GMAIL.COM</t>
  </si>
  <si>
    <t>(64) 992486997</t>
  </si>
  <si>
    <t>PAULO LUCAS SILVA RAMOS</t>
  </si>
  <si>
    <t>6954425</t>
  </si>
  <si>
    <t>07707402197</t>
  </si>
  <si>
    <t>JOAQUIM LABORÃO, 18.</t>
  </si>
  <si>
    <t>SANTA CECÍLIA</t>
  </si>
  <si>
    <t>PAULOLUCAS.RAMOS@GMAIL.COM</t>
  </si>
  <si>
    <t>(64) 34612844</t>
  </si>
  <si>
    <t>(64) 996760839</t>
  </si>
  <si>
    <t>MAYARA DE OLIVEIRA PAES</t>
  </si>
  <si>
    <t>04510671180</t>
  </si>
  <si>
    <t>RUA ADIB FAIAD, 75.</t>
  </si>
  <si>
    <t>SÃO JOÃO</t>
  </si>
  <si>
    <t>MAYARADEOLIVEIRAPAES@GMAIL.COM</t>
  </si>
  <si>
    <t>(64) 996121448</t>
  </si>
  <si>
    <t>BRUNO DE JESUS FRANÇA</t>
  </si>
  <si>
    <t>06447205140</t>
  </si>
  <si>
    <t>RUA 06, QUADRA 02, LOTE 03, S/N, 02. 2A CASA</t>
  </si>
  <si>
    <t>ELIZA GALLE</t>
  </si>
  <si>
    <t>BRUNODJF17@GMAIL.COM</t>
  </si>
  <si>
    <t>(64) 93367255</t>
  </si>
  <si>
    <t>(64) 993367255</t>
  </si>
  <si>
    <t>UEG - UNU PIRES DO RIO</t>
  </si>
  <si>
    <t>JULIA MACEDO MOTA</t>
  </si>
  <si>
    <t>10300691580</t>
  </si>
  <si>
    <t>RUA JOSÉ MARIANO DE FARIAS QD 39 LOTE 06, 0. PERTO DA PECUÁRIA</t>
  </si>
  <si>
    <t>JULIAMOTA984@GMAIL.COM</t>
  </si>
  <si>
    <t>(77) 981426612</t>
  </si>
  <si>
    <t>UNIVERSIDADE ESTADUAL DO GOIÁS</t>
  </si>
  <si>
    <t>CINTIA MAYARA BESSA DA SILVA</t>
  </si>
  <si>
    <t>18664771</t>
  </si>
  <si>
    <t>08542730690</t>
  </si>
  <si>
    <t>AVENIDA DAS ACACIAS, Q06, LT 02, SN.</t>
  </si>
  <si>
    <t>SONHO VERDE</t>
  </si>
  <si>
    <t>CINTIABESSA2@GMAIL.COM</t>
  </si>
  <si>
    <t>(64) 992281103</t>
  </si>
  <si>
    <t>JAIR ANTONIO DE CARVALHO</t>
  </si>
  <si>
    <t>6512712</t>
  </si>
  <si>
    <t>01534338179</t>
  </si>
  <si>
    <t>RUA PACÍFICO INOCÊNCIO DE OLIVEIRA, SN. Q 11 LT 11</t>
  </si>
  <si>
    <t>JAAYCARVALHO@GMAIL.COM</t>
  </si>
  <si>
    <t>(62) 991936806</t>
  </si>
  <si>
    <t>RAFAELA CRISTINA DIAS FRANÇA</t>
  </si>
  <si>
    <t>6627721</t>
  </si>
  <si>
    <t>70576969141</t>
  </si>
  <si>
    <t>75790000</t>
  </si>
  <si>
    <t>URUTAÍ</t>
  </si>
  <si>
    <t>AVENIDA PRIMEIRO DE MAIO, 12.</t>
  </si>
  <si>
    <t>RAFAEELAFRANCA@OUTLOOK.COM</t>
  </si>
  <si>
    <t>(64) 992858317</t>
  </si>
  <si>
    <t>FASUG</t>
  </si>
  <si>
    <t>JHULLY SOARES BANDEIRA</t>
  </si>
  <si>
    <t>06522498170</t>
  </si>
  <si>
    <t>AVENIDA LINO SAMPAIO, 37. AP 2</t>
  </si>
  <si>
    <t>JHULLYSOARESB@GMAIL.COM</t>
  </si>
  <si>
    <t>(64) 993225181</t>
  </si>
  <si>
    <t>FACULDADE DO SUDESTE GOIANO</t>
  </si>
  <si>
    <t>WEVERTHON DE OLIVEIRA NASCIMENTO</t>
  </si>
  <si>
    <t>06481343186</t>
  </si>
  <si>
    <t>PROFESSOR ZACARIAS, 36. A</t>
  </si>
  <si>
    <t>COLEGIAL</t>
  </si>
  <si>
    <t>THONPDR@GMAIL.COM</t>
  </si>
  <si>
    <t>(64) 34616314</t>
  </si>
  <si>
    <t>(64) 992377286</t>
  </si>
  <si>
    <t>UNIVERSDIDADE ESTADUAL DE GOIAS</t>
  </si>
  <si>
    <t>ANDRESSA MENDES DE SOUZA</t>
  </si>
  <si>
    <t>09314638154</t>
  </si>
  <si>
    <t>RUA JOAQUIM ALVES, 01. CASA DE MURO E PORTÃO MARROM</t>
  </si>
  <si>
    <t>ZULMIRA LEITE SANTINONE</t>
  </si>
  <si>
    <t>AM4498500@GMAIL.COM</t>
  </si>
  <si>
    <t>(64) 992153609</t>
  </si>
  <si>
    <t>MARIANA MENDES DE SOUZA SILVA</t>
  </si>
  <si>
    <t>09147656123</t>
  </si>
  <si>
    <t>RUA JOSÉ ALEXANDRE DE REZENDE , 03. RUA DO HOSPITAL</t>
  </si>
  <si>
    <t>MENDESMARIANA390@GMAIL.COM</t>
  </si>
  <si>
    <t>(64) 992778456</t>
  </si>
  <si>
    <t>UILZA AMORIM</t>
  </si>
  <si>
    <t>02210654157</t>
  </si>
  <si>
    <t>RUA PACÍFICO INOCÊNCIO DE OLIVEIRA QUADRA 18 LOTE 02 , 02. QUADRA 18</t>
  </si>
  <si>
    <t>UILZABELA.8@GMAIL.COM</t>
  </si>
  <si>
    <t>(64) 992713723</t>
  </si>
  <si>
    <t>THAÍS MEIRA DOS SANTOS</t>
  </si>
  <si>
    <t>06968061503</t>
  </si>
  <si>
    <t>RUA HENRIQUE FREITAS , 09. CASA</t>
  </si>
  <si>
    <t>CONTATOTHAISMEIRA@GMAIL.COM</t>
  </si>
  <si>
    <t>(64) 992879118</t>
  </si>
  <si>
    <t>YARA SERAFIM RODRIGUES OLIVEIRA</t>
  </si>
  <si>
    <t>70847641198</t>
  </si>
  <si>
    <t>RUA NH6 QUADRA 13 LOTE 16 , 0.</t>
  </si>
  <si>
    <t>YRSSRF@GMAIL.COM</t>
  </si>
  <si>
    <t>(64) 992643402</t>
  </si>
  <si>
    <t>ROSELY RODRIGUES BANDEIRA</t>
  </si>
  <si>
    <t>2833803</t>
  </si>
  <si>
    <t>04320259106</t>
  </si>
  <si>
    <t>73752036</t>
  </si>
  <si>
    <t>QUADRA 2 MR 8, 36.</t>
  </si>
  <si>
    <t>ROSELYRODRIGUES03@GMAIL.COM</t>
  </si>
  <si>
    <t>(61) 994392835</t>
  </si>
  <si>
    <t>FACITEB- FACULDADE CIENCIAS TECNOLOGICAS DE BRASILIA - ANHANGUERA</t>
  </si>
  <si>
    <t>PLANALTINA - GO</t>
  </si>
  <si>
    <t>KELLY CRISTINA FERREIRA MARTINS</t>
  </si>
  <si>
    <t>7029421</t>
  </si>
  <si>
    <t>70932251102</t>
  </si>
  <si>
    <t>73752078</t>
  </si>
  <si>
    <t>QUADRA 5 MR 4, 32. QUADRA 5, MR 4 CASA 32 SETOR LESTE</t>
  </si>
  <si>
    <t>KELLYCRISTINAFERREIRA007@GMAIL.COM</t>
  </si>
  <si>
    <t>(61) 994352319</t>
  </si>
  <si>
    <t>INSTITUTO DE EDUCAÇÃO SUPERIOR DE BRASÍLIA</t>
  </si>
  <si>
    <t>JANETE TEODORA DA SILVA</t>
  </si>
  <si>
    <t>4111909</t>
  </si>
  <si>
    <t>08308396151</t>
  </si>
  <si>
    <t>73753012</t>
  </si>
  <si>
    <t>QUADRA 1 MC, 09. ABAIXO DO COMPLEXO 03</t>
  </si>
  <si>
    <t>JANETETEODORA2020@GMAIL.COM</t>
  </si>
  <si>
    <t>(61) 993067773</t>
  </si>
  <si>
    <t>CENTRO UNIVERSITÁRIO DE BRASÍLIA</t>
  </si>
  <si>
    <t>JEAN CARLOS FERREIRA LOPES</t>
  </si>
  <si>
    <t>2959997</t>
  </si>
  <si>
    <t>06628483142</t>
  </si>
  <si>
    <t>73010702</t>
  </si>
  <si>
    <t>QUADRA CENTRAL CONJUNTO B, 505. EDIFÍCIO DI CAVALCANTI</t>
  </si>
  <si>
    <t>SOBRADINHO</t>
  </si>
  <si>
    <t>JEANCARLOSFLOPES@HOTMAIL.COM</t>
  </si>
  <si>
    <t>(61) 99552170</t>
  </si>
  <si>
    <t>(61) 995534170</t>
  </si>
  <si>
    <t>PROJEÇÃO</t>
  </si>
  <si>
    <t>NUBIA REIS DE SOUSA SILVA</t>
  </si>
  <si>
    <t>02369637161</t>
  </si>
  <si>
    <t>75620000</t>
  </si>
  <si>
    <t>PONTALINA</t>
  </si>
  <si>
    <t>RUA 06, SN. QD 03 LT 13</t>
  </si>
  <si>
    <t>JARDIM FREI WALTER</t>
  </si>
  <si>
    <t>REISNUBIA256@GMAIL.COM</t>
  </si>
  <si>
    <t>(64) 992449464</t>
  </si>
  <si>
    <t>PONTALINA - GO</t>
  </si>
  <si>
    <t>LARISSA RODRIGUES GARCIA</t>
  </si>
  <si>
    <t>07559857108</t>
  </si>
  <si>
    <t>RUA SAO JOAO , 00. QUADRA 06, LOTE 07</t>
  </si>
  <si>
    <t>ALEGRETINHO</t>
  </si>
  <si>
    <t>LARISSAGARCIAPNN@GMAIL.COM</t>
  </si>
  <si>
    <t>(64) 992315258</t>
  </si>
  <si>
    <t>LARISSE GARCIA FERREIRA</t>
  </si>
  <si>
    <t>70966801105</t>
  </si>
  <si>
    <t>RUA 2, S/N. QD B LT 3</t>
  </si>
  <si>
    <t>BOA VISTA</t>
  </si>
  <si>
    <t>LARISSEGFERREIRA@GMAIL.COM</t>
  </si>
  <si>
    <t>(64) 92436247</t>
  </si>
  <si>
    <t>(64) 992732709</t>
  </si>
  <si>
    <t>ANA LAURA CARDOSO FREITAS ALMEIDA</t>
  </si>
  <si>
    <t>6522041</t>
  </si>
  <si>
    <t>70833721100</t>
  </si>
  <si>
    <t>76550000</t>
  </si>
  <si>
    <t>PORANGATU</t>
  </si>
  <si>
    <t>RUA 8, 44.</t>
  </si>
  <si>
    <t>VILA OPERÁRIA</t>
  </si>
  <si>
    <t>ANA.LAURAFREITASALMEIDA@GMAIL.COM</t>
  </si>
  <si>
    <t>(62) 984669211</t>
  </si>
  <si>
    <t>FACULDADE LIBER DE PORANGATU</t>
  </si>
  <si>
    <t>PORANGATU - GO</t>
  </si>
  <si>
    <t>LUCAS FERREIRA SILVA</t>
  </si>
  <si>
    <t>05780670137</t>
  </si>
  <si>
    <t>RUA CUIABÁ, 248. TOCA DO PEIXE</t>
  </si>
  <si>
    <t>JARDIM BRASILIA</t>
  </si>
  <si>
    <t>BLACKSTORE1000@GMAIL.COM</t>
  </si>
  <si>
    <t>(62) 992029838</t>
  </si>
  <si>
    <t>UNIBRAS DO NORTE GOIANO</t>
  </si>
  <si>
    <t>MELYSSA MARTINS CUNHA</t>
  </si>
  <si>
    <t>06178242239</t>
  </si>
  <si>
    <t>RUA GOIÁS , 22.</t>
  </si>
  <si>
    <t>MELYSSAMARTINSCUNHA@GMAIL.COM</t>
  </si>
  <si>
    <t>(62) 99436068</t>
  </si>
  <si>
    <t>(62) 999438068</t>
  </si>
  <si>
    <t>CURSANDO ENSINO SUPERIOR</t>
  </si>
  <si>
    <t>MARIA CAROLINA DE MELO</t>
  </si>
  <si>
    <t>1470541</t>
  </si>
  <si>
    <t>10385255608</t>
  </si>
  <si>
    <t>RUA 4A, 23. QD2 LT7 N23</t>
  </si>
  <si>
    <t>VILA DORNIL</t>
  </si>
  <si>
    <t>CAROLINAMELO2E@GMAIL.COM</t>
  </si>
  <si>
    <t>(62) 985088272</t>
  </si>
  <si>
    <t>FACULDADE UNIBRAS DO NORTE GOIANO</t>
  </si>
  <si>
    <t>ANDRIELLE ANDRADE DOS SANTOS</t>
  </si>
  <si>
    <t>70702158194</t>
  </si>
  <si>
    <t>AVENIDA GOIÂNIA Q. 35 LT. 01 , 00.</t>
  </si>
  <si>
    <t>JARDIM BRASÍLIA</t>
  </si>
  <si>
    <t>ANDRIELLEANDRADEH16@GMAIL.COM</t>
  </si>
  <si>
    <t>(62) 84691467</t>
  </si>
  <si>
    <t>FACULDADE LÍBER DE PORANGATU</t>
  </si>
  <si>
    <t>MARIA EDUARDA PIRES TAVARES</t>
  </si>
  <si>
    <t>7481669</t>
  </si>
  <si>
    <t>07709173136</t>
  </si>
  <si>
    <t>75550000</t>
  </si>
  <si>
    <t>INACIOLÂNDIA</t>
  </si>
  <si>
    <t>AV JOSE MARINHO RODRIGUES Q 28, 67. RUA SEM SAIDA</t>
  </si>
  <si>
    <t>JOSE INACIO</t>
  </si>
  <si>
    <t>MARIAEDPTAVARES@GMAIL.COM</t>
  </si>
  <si>
    <t>(64) 92003986</t>
  </si>
  <si>
    <t>(64) 992666354</t>
  </si>
  <si>
    <t>FAQUI - FACULDADE QUIRINÓPOLIS</t>
  </si>
  <si>
    <t>QUIRINÓPOLIS - GO</t>
  </si>
  <si>
    <t>GIOVANNA QUEIROZ SOUTO</t>
  </si>
  <si>
    <t>7215889</t>
  </si>
  <si>
    <t>04779052181</t>
  </si>
  <si>
    <t>75865000</t>
  </si>
  <si>
    <t>GOUVELÂNDIA</t>
  </si>
  <si>
    <t>AVENIDA ABILIO RODRIGUES DA CUNHA, 80.</t>
  </si>
  <si>
    <t>GIOVANNAQSOUTO15@GMAIL.COM</t>
  </si>
  <si>
    <t>(64) 984236220</t>
  </si>
  <si>
    <t>ANA CLARA SILVA MENDES</t>
  </si>
  <si>
    <t>71119312116</t>
  </si>
  <si>
    <t>75860000</t>
  </si>
  <si>
    <t>QUIRINÓPOLIS</t>
  </si>
  <si>
    <t>RUA 10, 17.</t>
  </si>
  <si>
    <t>ELDORADO</t>
  </si>
  <si>
    <t>CLARAMENDESOFICIAL@GMAIL.COM</t>
  </si>
  <si>
    <t>(64) 984252118</t>
  </si>
  <si>
    <t>CID 10 M79. 7</t>
  </si>
  <si>
    <t>FAQUI</t>
  </si>
  <si>
    <t>BIANCA MESQUITA GONÇALVES</t>
  </si>
  <si>
    <t>6376852</t>
  </si>
  <si>
    <t>05362274112</t>
  </si>
  <si>
    <t>RUA 8, 35. ONICIO RESENDE</t>
  </si>
  <si>
    <t>BIANCA.02.09.05@GMAIL.COM</t>
  </si>
  <si>
    <t>(64) 984618128</t>
  </si>
  <si>
    <t>FAQUI FACULDADE DE QUIRINOPOLIS</t>
  </si>
  <si>
    <t>GUSTAVO TAKAHASHI GOUVEIA</t>
  </si>
  <si>
    <t>6195701</t>
  </si>
  <si>
    <t>05366871107</t>
  </si>
  <si>
    <t>75920000</t>
  </si>
  <si>
    <t>SANTA HELENA DE GOIÁS</t>
  </si>
  <si>
    <t>RUA ANTONIO MARTINS PARREIRA, 210.</t>
  </si>
  <si>
    <t>GUSTAVO.T.GOUVEIA@HOTMAIL.COM</t>
  </si>
  <si>
    <t>(64) 992839559</t>
  </si>
  <si>
    <t>RIO VERDE - GO</t>
  </si>
  <si>
    <t>ISABELA MARCELINO BIASI</t>
  </si>
  <si>
    <t>MG-22.980.843</t>
  </si>
  <si>
    <t>70602580609</t>
  </si>
  <si>
    <t>ESTADOS UNIDOS</t>
  </si>
  <si>
    <t>75908330</t>
  </si>
  <si>
    <t>RIO VERDE</t>
  </si>
  <si>
    <t>RUA 126, S/N. QD 24 LT 07 CASA 02</t>
  </si>
  <si>
    <t>ISABELABIASI02@GMAIL.COM</t>
  </si>
  <si>
    <t>(34) 32383809</t>
  </si>
  <si>
    <t>(64) 992714536</t>
  </si>
  <si>
    <t>JEOVANA MORAIS SILVA</t>
  </si>
  <si>
    <t>6790809</t>
  </si>
  <si>
    <t>71058791141</t>
  </si>
  <si>
    <t>75901750</t>
  </si>
  <si>
    <t>RUA ANA GOMES, 83. CASA DA ESQUINA LOTE 01 E 02 QD:6</t>
  </si>
  <si>
    <t>VILA OLINDA</t>
  </si>
  <si>
    <t>JEOVANAMORAIS2002@GMAIL.COM</t>
  </si>
  <si>
    <t>(62) 993291615</t>
  </si>
  <si>
    <t>CAROLINA FERREIRA MACHADO DE OLIVEIRA</t>
  </si>
  <si>
    <t>7462774</t>
  </si>
  <si>
    <t>12500595935</t>
  </si>
  <si>
    <t>75909707</t>
  </si>
  <si>
    <t>RUA RC 17, S/N. QD 13 LT 05</t>
  </si>
  <si>
    <t>RESIDENCIAL CANAÃ</t>
  </si>
  <si>
    <t>CAROLINAFERREIRARC@GMAIL.COM</t>
  </si>
  <si>
    <t>(64) 992913957</t>
  </si>
  <si>
    <t>MAÍRA MARQUES GOMES</t>
  </si>
  <si>
    <t>08409178133</t>
  </si>
  <si>
    <t>75909655</t>
  </si>
  <si>
    <t>RUA RC 14, 000.</t>
  </si>
  <si>
    <t>MAIRAMG0304@GMAIL.COM</t>
  </si>
  <si>
    <t>(64) 36225535</t>
  </si>
  <si>
    <t>(64) 981109722</t>
  </si>
  <si>
    <t>ESTEFANI DE OLIVEIRA DA ROCHA</t>
  </si>
  <si>
    <t>4710409</t>
  </si>
  <si>
    <t>01463362161</t>
  </si>
  <si>
    <t>75910045</t>
  </si>
  <si>
    <t>RUA PEROBA, 01. QUE 59 LT 1009</t>
  </si>
  <si>
    <t>RESIDENCIAL VENEZA</t>
  </si>
  <si>
    <t>ESTEFANIOLIVEIRAROCHA@GMAIL.COM</t>
  </si>
  <si>
    <t>(64) 99955208</t>
  </si>
  <si>
    <t>(64) 999176315</t>
  </si>
  <si>
    <t>FACULDADE OBJETIVO</t>
  </si>
  <si>
    <t>ANNA GABRIELLA RIBEIRO DOS SANTOS</t>
  </si>
  <si>
    <t>6310179</t>
  </si>
  <si>
    <t>70374561109</t>
  </si>
  <si>
    <t>75909070</t>
  </si>
  <si>
    <t>RUA HONÓRIO LEÃO, 650. QUADRA 71 LOTE 05 CASA C</t>
  </si>
  <si>
    <t>SETOR MORADA DO SOL</t>
  </si>
  <si>
    <t>ANNABIELLA83@GMAIL.COM</t>
  </si>
  <si>
    <t>(64) 992325234</t>
  </si>
  <si>
    <t>KARINE CABAL DIAS</t>
  </si>
  <si>
    <t>7023690</t>
  </si>
  <si>
    <t>70995199132</t>
  </si>
  <si>
    <t>75904170</t>
  </si>
  <si>
    <t>RUA BAHIA, 00. QUADRA 88 LOTE 06, SEM NUMERO</t>
  </si>
  <si>
    <t>MARTINS</t>
  </si>
  <si>
    <t>KARINECABRALOOH25@GMAIL.COM</t>
  </si>
  <si>
    <t>(64) 984311394</t>
  </si>
  <si>
    <t>GABRIEL HENRIQUE SILVA ROHRER RIBEIRO</t>
  </si>
  <si>
    <t>6745898</t>
  </si>
  <si>
    <t>03778774174</t>
  </si>
  <si>
    <t>RUA FRANCISCA PIRES DE JESUS, 192. Q 39</t>
  </si>
  <si>
    <t>GABRIELROHRERR@GMAIL.COM</t>
  </si>
  <si>
    <t>(64) 36472206</t>
  </si>
  <si>
    <t>(64) 993280483</t>
  </si>
  <si>
    <t>HEMILLY SILVA CUNHA</t>
  </si>
  <si>
    <t>06753323112</t>
  </si>
  <si>
    <t>75912212</t>
  </si>
  <si>
    <t>RUA 17, S/N. QD 16 LT 18</t>
  </si>
  <si>
    <t>HEMILLYSILVACUNHA@GMAIL.COM</t>
  </si>
  <si>
    <t>(64) 981368826</t>
  </si>
  <si>
    <t>FAR - FACULDADE ALMEIDA RODRIGUES</t>
  </si>
  <si>
    <t>IZADORA SABINO MEDEIROS</t>
  </si>
  <si>
    <t>02792382155</t>
  </si>
  <si>
    <t>75906550</t>
  </si>
  <si>
    <t>RUA MARIA CRISTINA, 00. CASA DE ESQUINA</t>
  </si>
  <si>
    <t>JARDIM ADRIANA</t>
  </si>
  <si>
    <t>IZADORASABINOMEDEIROSRV@GMAIL.COM</t>
  </si>
  <si>
    <t>(64) 36211683</t>
  </si>
  <si>
    <t>(64) 999950116</t>
  </si>
  <si>
    <t>MARIA CLARA CAMPOS FERREIRA</t>
  </si>
  <si>
    <t>03549628170</t>
  </si>
  <si>
    <t>75906160</t>
  </si>
  <si>
    <t>RUA 13, 684. QD.35A LT.3</t>
  </si>
  <si>
    <t>VILA AMÁLIA</t>
  </si>
  <si>
    <t>CLARACAMPOSRV@GMAIL.COM</t>
  </si>
  <si>
    <t>(64) 93461303</t>
  </si>
  <si>
    <t>(64) 992238116</t>
  </si>
  <si>
    <t>DAVID BRUNO SOUSA COSTA</t>
  </si>
  <si>
    <t>5230718</t>
  </si>
  <si>
    <t>02652082116</t>
  </si>
  <si>
    <t>75905340</t>
  </si>
  <si>
    <t>RUA CASTRO ALVES, 16. APTO 02</t>
  </si>
  <si>
    <t>DAVYDRV@GMAIL.COM</t>
  </si>
  <si>
    <t>(64) 36213318</t>
  </si>
  <si>
    <t>(64) 993378310</t>
  </si>
  <si>
    <t>INSTITUTO DE ENSINO SUPERIOR DE RIO VERDE</t>
  </si>
  <si>
    <t>JHELYTHA ALVES DE JESUS</t>
  </si>
  <si>
    <t>6612960</t>
  </si>
  <si>
    <t>70224284177</t>
  </si>
  <si>
    <t>75903380</t>
  </si>
  <si>
    <t>RUA OSÓRIO COELHO DE MORAES, 2645. QD57 LT11</t>
  </si>
  <si>
    <t>JHELYTHAALVES22@GMAIL.COM</t>
  </si>
  <si>
    <t>(64) 92504677</t>
  </si>
  <si>
    <t>(64) 992509913</t>
  </si>
  <si>
    <t>FACULDADE UNIBRAS</t>
  </si>
  <si>
    <t>ANA LUIZA PINHEIRO AGOSTINHO MENDONÇA RIBEIRO</t>
  </si>
  <si>
    <t>70510634133</t>
  </si>
  <si>
    <t>75909290</t>
  </si>
  <si>
    <t>RUA U-002, 51. RÊS. ARARAS APTO 104</t>
  </si>
  <si>
    <t>SETOR UNIVERSITÁRIO</t>
  </si>
  <si>
    <t>ANNALLUP@HOTMAIL.COM</t>
  </si>
  <si>
    <t>(62) 93723549</t>
  </si>
  <si>
    <t>(62) 993723549</t>
  </si>
  <si>
    <t>ALANE SOARES CARVALHO</t>
  </si>
  <si>
    <t>04383431151</t>
  </si>
  <si>
    <t>75903370</t>
  </si>
  <si>
    <t>RUA AUGUSTA BASTOS, 1980 A. EM FRENTE AO UPA, AO LADO DA FARMACIA DO APOSENTAD</t>
  </si>
  <si>
    <t>ALANE.AMRTICANAS@GMAIL.COM</t>
  </si>
  <si>
    <t>(64) 84010043</t>
  </si>
  <si>
    <t>(64) 984434637</t>
  </si>
  <si>
    <t>FACULDADE FAR</t>
  </si>
  <si>
    <t>ABRAÃO TEODORO RODRIGUES DA COSTA</t>
  </si>
  <si>
    <t>7651782</t>
  </si>
  <si>
    <t>06815342140</t>
  </si>
  <si>
    <t>75901245</t>
  </si>
  <si>
    <t>RUA NILO PEÇANHA, 660. CASA CINZA</t>
  </si>
  <si>
    <t>ABRAAOTE65@GMAIL.COM</t>
  </si>
  <si>
    <t>(61) 99168216</t>
  </si>
  <si>
    <t>(61) 991682186</t>
  </si>
  <si>
    <t>TALIA MARCELINO DA SILVA</t>
  </si>
  <si>
    <t>6222434</t>
  </si>
  <si>
    <t>71211163164</t>
  </si>
  <si>
    <t>RUA ALVARINDO ELIAS DE OLIVEIRA, 118. Q. 37</t>
  </si>
  <si>
    <t>BAIRRO ARANTES</t>
  </si>
  <si>
    <t>TALIA.M.SILVA@ACADEMICO.UNIRV.EDU.BR</t>
  </si>
  <si>
    <t>(64) 993197359</t>
  </si>
  <si>
    <t>UNIVERSIDADE DE RIO VERDE - UNIRV</t>
  </si>
  <si>
    <t>MARIA VITÓRIA ROCHA</t>
  </si>
  <si>
    <t>70219544174</t>
  </si>
  <si>
    <t>75904690</t>
  </si>
  <si>
    <t>RUA PEDRO ÁLVARES CABRAL, 306. QUADRA 08 LOTE 05</t>
  </si>
  <si>
    <t>SANTO AGOSTINHO</t>
  </si>
  <si>
    <t>VITORIAROCHA6087@GMAIL.COM</t>
  </si>
  <si>
    <t>(64) 32136765</t>
  </si>
  <si>
    <t>(64) 993025828</t>
  </si>
  <si>
    <t>KATHUSI BERGAMASCHI</t>
  </si>
  <si>
    <t>70592484122</t>
  </si>
  <si>
    <t>RUA U-002, 0. Q22 L16</t>
  </si>
  <si>
    <t>KATHUSIBERGAMASCHI634@GMAIL.COM</t>
  </si>
  <si>
    <t>(64) 992869664</t>
  </si>
  <si>
    <t>VALDIR ADEMAR GUARESCHI NETO</t>
  </si>
  <si>
    <t>6220989</t>
  </si>
  <si>
    <t>05375512122</t>
  </si>
  <si>
    <t>75909091</t>
  </si>
  <si>
    <t>RUA LAZARO NAVES DE CARVALHO, 201. AO LADO DA XEROX ''FAÇA AQUI''</t>
  </si>
  <si>
    <t>CONJUNTO MORADA DO SOL</t>
  </si>
  <si>
    <t>PSI.VALDIRADEMARGNETO@GMAIL.COM</t>
  </si>
  <si>
    <t>(64) 992476862</t>
  </si>
  <si>
    <t>BRUNA FAGUNDES ROSA</t>
  </si>
  <si>
    <t>43839167833</t>
  </si>
  <si>
    <t>75907630</t>
  </si>
  <si>
    <t>RUA FRANCISCO SEABRA GUIMARÃES, 71. QUADRA 06 LOTE 04</t>
  </si>
  <si>
    <t>JARDIM ELEONORA</t>
  </si>
  <si>
    <t>BRUNAFGN@OUTLOOK.COM</t>
  </si>
  <si>
    <t>(64) 36220181</t>
  </si>
  <si>
    <t>(64) 992690930</t>
  </si>
  <si>
    <t>GEOVANA ANDRADE SILVA</t>
  </si>
  <si>
    <t>01744628165</t>
  </si>
  <si>
    <t>75909784</t>
  </si>
  <si>
    <t>RUA SERAFIM LEÃO VIEIRA, 95A. QUADRA 07 LOTE 94A</t>
  </si>
  <si>
    <t>RESIDENCIAL INTERLAGOS</t>
  </si>
  <si>
    <t>GEOVANAANDRADE470@GMAIL.COM</t>
  </si>
  <si>
    <t>(64) 992491977</t>
  </si>
  <si>
    <t>MARIA RITA DE PAULA ANDRADE</t>
  </si>
  <si>
    <t>7011698</t>
  </si>
  <si>
    <t>01948364107</t>
  </si>
  <si>
    <t>75902550</t>
  </si>
  <si>
    <t>RUA ANTÔNIO BERNADINO DE ATAIDES, 817.</t>
  </si>
  <si>
    <t>MARIA.RITADPAULA20@GMAIL.COM</t>
  </si>
  <si>
    <t>(64) 992025377</t>
  </si>
  <si>
    <t>THIFANY CHAVES DE SOUZA</t>
  </si>
  <si>
    <t>04994289190</t>
  </si>
  <si>
    <t>75909456</t>
  </si>
  <si>
    <t>AVENIDA JK, 1. EDIFICIO GRAN VISON</t>
  </si>
  <si>
    <t>RESIDENCIAL TOCANTINS</t>
  </si>
  <si>
    <t>TCHAVESSOUZA2017@HOTMAIL.COM</t>
  </si>
  <si>
    <t>(64) 36152089</t>
  </si>
  <si>
    <t>(64) 984459947</t>
  </si>
  <si>
    <t>WITOR EMANUEL DO CARMO SILVA</t>
  </si>
  <si>
    <t>5906455</t>
  </si>
  <si>
    <t>70049721194</t>
  </si>
  <si>
    <t>75904760</t>
  </si>
  <si>
    <t>RUA JOSÉ DOMINGOS DE ARAÚJO, 0. QUADRA 64 LOTE 27</t>
  </si>
  <si>
    <t>WITOREMANUEL@HOTMAIL.COM</t>
  </si>
  <si>
    <t>(64) 21230027</t>
  </si>
  <si>
    <t>(64) 993385202</t>
  </si>
  <si>
    <t>LUANNA PINHEIRO MONTEIRO</t>
  </si>
  <si>
    <t>6340534</t>
  </si>
  <si>
    <t>06401841117</t>
  </si>
  <si>
    <t>76350000</t>
  </si>
  <si>
    <t>RUBIATABA</t>
  </si>
  <si>
    <t>AVENIDA AROEIRA, 56. Q 56 LT 8</t>
  </si>
  <si>
    <t>LPINHEIROMONTEIRO@GMAIL.COM</t>
  </si>
  <si>
    <t>(62) 33122746</t>
  </si>
  <si>
    <t>(62) 998243077</t>
  </si>
  <si>
    <t>RUBIATABA - GO</t>
  </si>
  <si>
    <t>ANDREIA LIMA OLIVEIRA</t>
  </si>
  <si>
    <t>06560529100</t>
  </si>
  <si>
    <t>RUA CAFÉ, 271. QD.74 LT.43</t>
  </si>
  <si>
    <t>LIMAANDREIA512@GMAIL.COM</t>
  </si>
  <si>
    <t>(62) 96352703</t>
  </si>
  <si>
    <t>(62) 985726897</t>
  </si>
  <si>
    <t>NICOLI RODRIGUES BORBA</t>
  </si>
  <si>
    <t>70619572124</t>
  </si>
  <si>
    <t>RUA DAS PETÚNIAS Q.23 L.18, 698. ESQUINA COM A RUA JAÓ</t>
  </si>
  <si>
    <t>SETOR JARDINS</t>
  </si>
  <si>
    <t>NICOLIRB609@GMAIL.COM</t>
  </si>
  <si>
    <t>(62) 96328705</t>
  </si>
  <si>
    <t>(62) 996328705</t>
  </si>
  <si>
    <t>GABRIELE FERREIRA CARDOSO</t>
  </si>
  <si>
    <t>70806085118</t>
  </si>
  <si>
    <t>RUA PEROBA QUADRA 54 LOTE 07 APARTAMENTO 02, 47. KIT NET</t>
  </si>
  <si>
    <t>SETOR CENTRO</t>
  </si>
  <si>
    <t>GABRIELEFERREIRACARDOSO@UTLOOK.COM</t>
  </si>
  <si>
    <t>(62) 996899276</t>
  </si>
  <si>
    <t>GABRYELE SOARES LIMA</t>
  </si>
  <si>
    <t>6567493</t>
  </si>
  <si>
    <t>07620234144</t>
  </si>
  <si>
    <t>ZONA RURAL, 101. FAZENDA CÓRREGO GRANDE</t>
  </si>
  <si>
    <t>FAZENDA CÓRREGO GRANDE</t>
  </si>
  <si>
    <t>GABRYELE.SOARES.14@GMAIL.COM</t>
  </si>
  <si>
    <t>(62) 993814435</t>
  </si>
  <si>
    <t>FELIPE RODRIGUES DE CARVALHO</t>
  </si>
  <si>
    <t>07403939107</t>
  </si>
  <si>
    <t>RUA MUMBUCA , 67. ATRÁS DO COLÉGIO PEDRO ALVARES DE MOURA</t>
  </si>
  <si>
    <t>FELIP07F@GMAIL.COM</t>
  </si>
  <si>
    <t>(62) 93069747</t>
  </si>
  <si>
    <t>(62) 993069747</t>
  </si>
  <si>
    <t>ANDRESSA GABRIELLY ARRIEL QUEIROZ</t>
  </si>
  <si>
    <t>71291585141</t>
  </si>
  <si>
    <t>RUA CEDRINA, 78.</t>
  </si>
  <si>
    <t>ANDRESSAARRIELQUEIROZ@HOTMAIL.COM</t>
  </si>
  <si>
    <t>(62) 998451738</t>
  </si>
  <si>
    <t>LUANA SANTOS NEVES VALERIANO</t>
  </si>
  <si>
    <t>70830702105</t>
  </si>
  <si>
    <t>76160000</t>
  </si>
  <si>
    <t>SANCLERLÂNDIA</t>
  </si>
  <si>
    <t>AV 5 DE JANEIRO , QN LT10. ESQUINA COM A RUA 04</t>
  </si>
  <si>
    <t>LUANASANTOSNEVES03@HOTMAIL.COM</t>
  </si>
  <si>
    <t>(64) 993347327</t>
  </si>
  <si>
    <t>UNIBRASÍLIA</t>
  </si>
  <si>
    <t>SANCLERLÂNDIA - GO</t>
  </si>
  <si>
    <t>MARCOS VINÍCIOS TAVARES ESPÍNDOLA</t>
  </si>
  <si>
    <t>71370018150</t>
  </si>
  <si>
    <t>75220000</t>
  </si>
  <si>
    <t>SANTA CRUZ DE GOIÁS</t>
  </si>
  <si>
    <t>RUA ANTÔNIO FERREIRA MACHADO, 0. PRÓXIMO AO MERCADO SÃO JOÃO</t>
  </si>
  <si>
    <t>MARCOSVTESPINDOLA@GMAIL.COM</t>
  </si>
  <si>
    <t>(64) 993389876</t>
  </si>
  <si>
    <t>SANTA CRUZ DE GOIÁS - GO</t>
  </si>
  <si>
    <t>NAYKA MILLENE SILVA REZENDE ABDALA</t>
  </si>
  <si>
    <t>06728034102</t>
  </si>
  <si>
    <t>RUA DELFINA C MENDONÇA, S/N. SANTO ANTÔNIO DA ESPERANÇA, Q.1, L.15</t>
  </si>
  <si>
    <t>NAYKAMSR@ICLOUD.COM</t>
  </si>
  <si>
    <t>(64) 993369977</t>
  </si>
  <si>
    <t>UNIVERSIDADE ESTADUAL DE GOIÁS-PIRES DO RIO</t>
  </si>
  <si>
    <t>JOAO LUCAS DE CARVALHO</t>
  </si>
  <si>
    <t>70958221154</t>
  </si>
  <si>
    <t>75210000</t>
  </si>
  <si>
    <t>PALMELO</t>
  </si>
  <si>
    <t>RUA VIRGULINO GONÇALVES, 147. RUA ACIMA DO POSTO</t>
  </si>
  <si>
    <t>JOAOLUCASPDR1@GMAIL.COM</t>
  </si>
  <si>
    <t>(64) 992961497</t>
  </si>
  <si>
    <t>ELIZANNY GABRIELLY LIMA SIMÕES</t>
  </si>
  <si>
    <t>04551024147</t>
  </si>
  <si>
    <t>76500000</t>
  </si>
  <si>
    <t>SANTA TEREZINHA DE GOIÁS</t>
  </si>
  <si>
    <t>AVENIDA JOSÉ ELIAS SOBRINHO, S/N. PRÓXIMO AO QUARTEL DA PM</t>
  </si>
  <si>
    <t>ELIZANNYGABRIELLY@GMAIL.COM</t>
  </si>
  <si>
    <t>(62) 996975796</t>
  </si>
  <si>
    <t>UNIVERSIDADE EVANGÉLICA DE GOIÁS - UNIEVANGÉLICA CÂMPUS RUBIATABA</t>
  </si>
  <si>
    <t>SANTA TEREZINHA DE GOIÁS - GO</t>
  </si>
  <si>
    <t>ANA LIDIA MENDONÇA DA SILVA</t>
  </si>
  <si>
    <t>04593806135</t>
  </si>
  <si>
    <t>RUA BOA VONTADE, 218. Q278 L22</t>
  </si>
  <si>
    <t>SETOR SÃO PAULO</t>
  </si>
  <si>
    <t>ANALIDIAM76@GMAIL.COM</t>
  </si>
  <si>
    <t>(62) 99807630</t>
  </si>
  <si>
    <t>(62) 999807630</t>
  </si>
  <si>
    <t>MARIANA RODRIGUES LINS</t>
  </si>
  <si>
    <t>3370184</t>
  </si>
  <si>
    <t>07169289148</t>
  </si>
  <si>
    <t>72669000</t>
  </si>
  <si>
    <t>CONDOMINIO RESIDENCIAL SAO FRANCISCO 01 QUADRA 03 CONJUNTO B CASA 01, 3. ÁGUA QUENTE</t>
  </si>
  <si>
    <t>RECANTO DAS EMAS</t>
  </si>
  <si>
    <t>MARIANA.LINSF@GMAIL.COM</t>
  </si>
  <si>
    <t>(61) 33595266</t>
  </si>
  <si>
    <t>(61) 985285097</t>
  </si>
  <si>
    <t>UNI PROCESSUS</t>
  </si>
  <si>
    <t>SANTO ANTÔNIO DO DESCOBERTO - GO</t>
  </si>
  <si>
    <t>SERGIO BUENO ALVES DE LIMA</t>
  </si>
  <si>
    <t>3774252</t>
  </si>
  <si>
    <t>04805346167</t>
  </si>
  <si>
    <t>72900280</t>
  </si>
  <si>
    <t>QUADRA QUADRA 66, 12. CASA</t>
  </si>
  <si>
    <t>SERGIOBUENOSB150@GMAIL.COM</t>
  </si>
  <si>
    <t>(61) 995760071</t>
  </si>
  <si>
    <t>CENTRO UNIVERSITÁRIO DE BRASILIA</t>
  </si>
  <si>
    <t>VANILEIDE MARTINS DA SILVA</t>
  </si>
  <si>
    <t>08424464192</t>
  </si>
  <si>
    <t>72900326</t>
  </si>
  <si>
    <t>QUADRA QUADRA 70, 26.</t>
  </si>
  <si>
    <t>VAANYYMARTINS02@GMAIL.COM</t>
  </si>
  <si>
    <t>(61) 981954534</t>
  </si>
  <si>
    <t>ALEFY SOUZA SALAZAR DA SILVA</t>
  </si>
  <si>
    <t>03403401189</t>
  </si>
  <si>
    <t>74475270</t>
  </si>
  <si>
    <t>RUA 15 DE NOVEMBRO, CASA 03. QD 07 LOTE 9/10</t>
  </si>
  <si>
    <t>ALEFYSSS@HOTMAIL.COM</t>
  </si>
  <si>
    <t>(62) 99210462</t>
  </si>
  <si>
    <t>(62) 992104625</t>
  </si>
  <si>
    <t>BEATRIZ JOVANA COSTA DIAS</t>
  </si>
  <si>
    <t>07790818112</t>
  </si>
  <si>
    <t>76100000</t>
  </si>
  <si>
    <t>SÃO LUÍS DE MONTES BELOS</t>
  </si>
  <si>
    <t>RUA CAIAPÓ, 913. CASA</t>
  </si>
  <si>
    <t>BEATRIZJOVANA8@GMAIL.COM</t>
  </si>
  <si>
    <t>(64) 92974426</t>
  </si>
  <si>
    <t>(64) 992974426</t>
  </si>
  <si>
    <t>SÃO LUÍS MONTES BELOS - GO</t>
  </si>
  <si>
    <t>IZA MIRELLY ALVES COUTINHO</t>
  </si>
  <si>
    <t>7426866</t>
  </si>
  <si>
    <t>71465718150</t>
  </si>
  <si>
    <t>RUA ANTÔNIO JOSÉ VIANA TAVARES , 00. QUADRA 5, LOTE 9</t>
  </si>
  <si>
    <t>RESIDENCIAL SÃO CAETANO</t>
  </si>
  <si>
    <t>IZARESUMOS@GMAIL.COM</t>
  </si>
  <si>
    <t>(64) 84211857</t>
  </si>
  <si>
    <t>(64) 984211857</t>
  </si>
  <si>
    <t>CENTRO UNIVERSITÁRIO BRASÍLIA, CAMPUS DE SÃO LUÍS DE MONTES BELOS</t>
  </si>
  <si>
    <t>ISABELLY RODRIGUES DE OLIVEIRA</t>
  </si>
  <si>
    <t>8026934</t>
  </si>
  <si>
    <t>06055340127</t>
  </si>
  <si>
    <t>AVENIDA BELA VISTA, 00. QD. 13, LT.08</t>
  </si>
  <si>
    <t>PARQUE INDUSTRIAL</t>
  </si>
  <si>
    <t>ISABELLYOLIVEIRAA.023@GMAIL.COM</t>
  </si>
  <si>
    <t>(64) 92331306</t>
  </si>
  <si>
    <t>(64) 984320502</t>
  </si>
  <si>
    <t>CENTRO UNIVERSITÁRIO UNIBRASÍLIA</t>
  </si>
  <si>
    <t>ANNA LAURA BORGES COSTA</t>
  </si>
  <si>
    <t>07118401137</t>
  </si>
  <si>
    <t>RUA DA SAUDADE, 221. QD B LOTE 07</t>
  </si>
  <si>
    <t>VILA EDUARDA</t>
  </si>
  <si>
    <t>ANNALAURA1977@OUTLOOK.COM</t>
  </si>
  <si>
    <t>(64) 96531155</t>
  </si>
  <si>
    <t>(64) 992116105</t>
  </si>
  <si>
    <t>MILEYDE REGINA ALVES SILVA</t>
  </si>
  <si>
    <t>05524305107</t>
  </si>
  <si>
    <t>75985000</t>
  </si>
  <si>
    <t>SÃO JOÃO DA PARAÚNA</t>
  </si>
  <si>
    <t>FAZENDA, 0. CASA</t>
  </si>
  <si>
    <t>FAZENDA VILA RICA</t>
  </si>
  <si>
    <t>HEART555586@GMAIL.COM</t>
  </si>
  <si>
    <t>(64) 992306073</t>
  </si>
  <si>
    <t>UNIBRASILIA DE GOIÁS</t>
  </si>
  <si>
    <t>ARLEANDRO SILVA DOS SANTOS</t>
  </si>
  <si>
    <t>6495956</t>
  </si>
  <si>
    <t>06736828112</t>
  </si>
  <si>
    <t>76400000</t>
  </si>
  <si>
    <t>URUAÇU</t>
  </si>
  <si>
    <t>AVENIDA JK FRENTE A FASEM, S/N. KITINET 6</t>
  </si>
  <si>
    <t>SUL 1</t>
  </si>
  <si>
    <t>ARLEANDROSMA01@GMAIL.COM</t>
  </si>
  <si>
    <t>(62) 996415091</t>
  </si>
  <si>
    <t>SÃO MIGUEL DO ARAGUAIA - GO</t>
  </si>
  <si>
    <t>GIOVANA RIBEIRO LUZ</t>
  </si>
  <si>
    <t>04904420136</t>
  </si>
  <si>
    <t>75890000</t>
  </si>
  <si>
    <t>SÃO SIMÃO</t>
  </si>
  <si>
    <t>RUA 16, 16. PRÓXIMO AO HOTEL PARANAÍBA</t>
  </si>
  <si>
    <t>CEMIG</t>
  </si>
  <si>
    <t>GIGIARLUZ@GMAIL.COM</t>
  </si>
  <si>
    <t>(64) 36581027</t>
  </si>
  <si>
    <t>(64) 999990919</t>
  </si>
  <si>
    <t>SÃO SIMÃO - GO</t>
  </si>
  <si>
    <t>CAROLINE SALES DE OLIVEIRA</t>
  </si>
  <si>
    <t>70832535109</t>
  </si>
  <si>
    <t>75264103</t>
  </si>
  <si>
    <t>RUA 3, 0.</t>
  </si>
  <si>
    <t>VILA BONSUCESSO</t>
  </si>
  <si>
    <t>CAROLSALESDEOLIVEIRA@GMAIL.COM</t>
  </si>
  <si>
    <t>(62) 984910050</t>
  </si>
  <si>
    <t>FACULDADE EVANGÉLICA DE SENADOR CANEDO</t>
  </si>
  <si>
    <t>SENADOR CANEDO - GO</t>
  </si>
  <si>
    <t>THAINARA NASCIMENTO SOUZA</t>
  </si>
  <si>
    <t>6725423</t>
  </si>
  <si>
    <t>70779357108</t>
  </si>
  <si>
    <t>75259675</t>
  </si>
  <si>
    <t>RUA MARECHAL DEODORO, 0. QD. E,LT. 26</t>
  </si>
  <si>
    <t>JARDIM NOVA GOIÂNIA</t>
  </si>
  <si>
    <t>THAINARASOOUZA01@GMAIL.COM</t>
  </si>
  <si>
    <t>(62) 99252753</t>
  </si>
  <si>
    <t>(62) 993022147</t>
  </si>
  <si>
    <t>ANA MARIA ABADIA ZANINA</t>
  </si>
  <si>
    <t>1315498</t>
  </si>
  <si>
    <t>30209862149</t>
  </si>
  <si>
    <t>RUA LIMOEIRO, 30. QUADRA 13</t>
  </si>
  <si>
    <t>BAIRRO SABIÁ</t>
  </si>
  <si>
    <t>ANAZANINA@HOTMAIL.COM</t>
  </si>
  <si>
    <t>(62) 35122177</t>
  </si>
  <si>
    <t>(62) 996032593</t>
  </si>
  <si>
    <t>FACULDADE EVANGÉLICA DE SENADOR CANEDO.</t>
  </si>
  <si>
    <t>CAMILA GABELLINE CARDOSO</t>
  </si>
  <si>
    <t>03883676101</t>
  </si>
  <si>
    <t>7525000</t>
  </si>
  <si>
    <t>RUA PEDRO TEIXEIRA QD 2B LT 22, 0. CASA</t>
  </si>
  <si>
    <t>JARDIM TODOS OS SANTOS</t>
  </si>
  <si>
    <t>CAMILAGABELLINE@GMAIL.COM</t>
  </si>
  <si>
    <t>(62) 92825320</t>
  </si>
  <si>
    <t>(62) 995315219</t>
  </si>
  <si>
    <t>JONAS LOPES PINHEIRO PORTO</t>
  </si>
  <si>
    <t>6302949</t>
  </si>
  <si>
    <t>04043326173</t>
  </si>
  <si>
    <t>75261604</t>
  </si>
  <si>
    <t>RUA SF 10, 0. QD. 18 LT 02</t>
  </si>
  <si>
    <t>JONASLPPDEDEUS123@GMAIL.COM</t>
  </si>
  <si>
    <t>(62) 994722982</t>
  </si>
  <si>
    <t>WESLEY JOSE SANTANA FILHO</t>
  </si>
  <si>
    <t>71036756190</t>
  </si>
  <si>
    <t>75257393</t>
  </si>
  <si>
    <t>RUA ODINO PEREIRA, SN. QD05 LT18</t>
  </si>
  <si>
    <t>JARDIM INGÁ</t>
  </si>
  <si>
    <t>WESLEYFILHO9@HOTMAIL.COM</t>
  </si>
  <si>
    <t>(62) 995014309</t>
  </si>
  <si>
    <t>MONICA SUZAN VIEIRA</t>
  </si>
  <si>
    <t>5941504</t>
  </si>
  <si>
    <t>05134807140</t>
  </si>
  <si>
    <t>RUA AMERICANO DO BRASIL , 652.</t>
  </si>
  <si>
    <t>MONICASU.VIEIRA@HOTMAIL.COM</t>
  </si>
  <si>
    <t>(62) 999938492</t>
  </si>
  <si>
    <t>SILVÂNIA - GO</t>
  </si>
  <si>
    <t>JEAN ALEX DE OLIVEIRA JUNIOR</t>
  </si>
  <si>
    <t>70912997109</t>
  </si>
  <si>
    <t>76650000</t>
  </si>
  <si>
    <t>ITAGUARI</t>
  </si>
  <si>
    <t>AVENIDA PEDRO DO COUTO, 337. CASA BEJE</t>
  </si>
  <si>
    <t>JEANJR04@HOTMAIL.COM</t>
  </si>
  <si>
    <t>(62) 33961307</t>
  </si>
  <si>
    <t>(62) 995668497</t>
  </si>
  <si>
    <t>TAQUARAL DE GOIÁS - GO</t>
  </si>
  <si>
    <t>RAQUEL DE LIMA SANTOS</t>
  </si>
  <si>
    <t>6541639</t>
  </si>
  <si>
    <t>70237229129</t>
  </si>
  <si>
    <t>INDÍGENA</t>
  </si>
  <si>
    <t>74493208</t>
  </si>
  <si>
    <t>RUA PROFESSORA MARIA DO S. DE MATOS LIMA, Q6 L5. GOIÂNIA-GO</t>
  </si>
  <si>
    <t>RESIDENCIAL JUNQUEIRA</t>
  </si>
  <si>
    <t>ASMORENINHASRAQUEL@GMAIL.COM</t>
  </si>
  <si>
    <t>(62) 98219369</t>
  </si>
  <si>
    <t>(62) 982193695</t>
  </si>
  <si>
    <t>UNIVERSIDADE ALFA</t>
  </si>
  <si>
    <t>TRINDADE - GO</t>
  </si>
  <si>
    <t>MARIA EDUARDA PEDRO ALVES</t>
  </si>
  <si>
    <t>71074737199</t>
  </si>
  <si>
    <t>RUA JOÃO QUIRINO DE MOURA Q28 L02 , S/N.</t>
  </si>
  <si>
    <t>MARIA PIRES PERILO</t>
  </si>
  <si>
    <t>MARIAA.MEA55@GMAIL.COM</t>
  </si>
  <si>
    <t>(64) 35712737</t>
  </si>
  <si>
    <t>(64) 999509620</t>
  </si>
  <si>
    <t>APHONSIANO</t>
  </si>
  <si>
    <t>SARAH FERREIRA ABREU</t>
  </si>
  <si>
    <t>04270778180</t>
  </si>
  <si>
    <t>RUA TEÓFILO RODRIGUES GALVÃO Q.16 L.05, S/N.</t>
  </si>
  <si>
    <t>MAJOR SINFRÔNIO</t>
  </si>
  <si>
    <t>FERREIRASARAH09090@GMAIL.COM</t>
  </si>
  <si>
    <t>(64) 999765239</t>
  </si>
  <si>
    <t>ANA CAROLINA BRITTO DE BARROS</t>
  </si>
  <si>
    <t>70114543143</t>
  </si>
  <si>
    <t>75388578</t>
  </si>
  <si>
    <t>RUA 4, 50.</t>
  </si>
  <si>
    <t>SANTUÁRIO</t>
  </si>
  <si>
    <t>ANACAROLINA.ACCERT@GMAIL.COM</t>
  </si>
  <si>
    <t>(62) 31102604</t>
  </si>
  <si>
    <t>(62) 999092800</t>
  </si>
  <si>
    <t>FACULDADES E COLÉGIO APHONSIANO/ IAESUP</t>
  </si>
  <si>
    <t>ANA PAULA NUNES DA SILVA</t>
  </si>
  <si>
    <t>5550060</t>
  </si>
  <si>
    <t>04363808110</t>
  </si>
  <si>
    <t>75389066</t>
  </si>
  <si>
    <t>RUA 114, 00. QD8 LT3A</t>
  </si>
  <si>
    <t>SETOR ANA ROSA</t>
  </si>
  <si>
    <t>ANA.PAULA.22K@HOTMAIL.COM</t>
  </si>
  <si>
    <t>(62) 993185874</t>
  </si>
  <si>
    <t>INSTITUTO APHONSIANO DE ENSINO SUPERIOR</t>
  </si>
  <si>
    <t>HEMILLE DE SOUZA LEITE</t>
  </si>
  <si>
    <t>6744846</t>
  </si>
  <si>
    <t>71055992197</t>
  </si>
  <si>
    <t>75387513</t>
  </si>
  <si>
    <t>RUA 7, 872. QDA LOTE 21</t>
  </si>
  <si>
    <t>SETOR SAMARAH</t>
  </si>
  <si>
    <t>HEMILLESOUZA73@GMAIL.COM</t>
  </si>
  <si>
    <t>(62) 995763858</t>
  </si>
  <si>
    <t>GERCILENE NASCIMENTO DE SOUSA</t>
  </si>
  <si>
    <t>70463708180</t>
  </si>
  <si>
    <t>74590720</t>
  </si>
  <si>
    <t>RUA STELLA MARINA DI SABBATO, S/N. QD. 151, LT. 17</t>
  </si>
  <si>
    <t>UAIGERCILENE@GMAIL.COM</t>
  </si>
  <si>
    <t>(62) 995481206</t>
  </si>
  <si>
    <t>MICHELLY EDUARDO NAGIB GHANNOUM</t>
  </si>
  <si>
    <t>06485833170</t>
  </si>
  <si>
    <t>75380292</t>
  </si>
  <si>
    <t>AVENIDA APARECIDA, 00. QUADRA 48, LOTE 03</t>
  </si>
  <si>
    <t>SETOR MAYSA</t>
  </si>
  <si>
    <t>MICHELLYNAGIB01@HOTMAIL.COM</t>
  </si>
  <si>
    <t>(62) 995554924</t>
  </si>
  <si>
    <t>VITOR PEREIRA</t>
  </si>
  <si>
    <t>07182630141</t>
  </si>
  <si>
    <t>AVENIDA MUTIRÃO, SN. Q 9A L 06</t>
  </si>
  <si>
    <t>VILA FELIZ</t>
  </si>
  <si>
    <t>VITORPEREIRAX@OUTLOOK.COM.BR</t>
  </si>
  <si>
    <t>(64) 36811224</t>
  </si>
  <si>
    <t>(62) 996582183</t>
  </si>
  <si>
    <t>CENTRO UNIVERSITÁRIO BRASÍLIA DE GOIÁS</t>
  </si>
  <si>
    <t>TURVÂNIA - GO</t>
  </si>
  <si>
    <t>ANA CAROLINA RODRIGUES TOLEDO</t>
  </si>
  <si>
    <t>71162048140</t>
  </si>
  <si>
    <t>RUA 401; QD 26; LT 02; KITNET 40, S/N.</t>
  </si>
  <si>
    <t>SETOR SUL I</t>
  </si>
  <si>
    <t>RODRIGUESANACAROLINA815@GMAIL.COM</t>
  </si>
  <si>
    <t>(62) 998448515</t>
  </si>
  <si>
    <t>URUAÇU - GO</t>
  </si>
  <si>
    <t>HYAGO FERREIRA SANTOS</t>
  </si>
  <si>
    <t>6286041</t>
  </si>
  <si>
    <t>05062139198</t>
  </si>
  <si>
    <t>RUA BENIDITO DE ALMEIDA CAMPOS, S/N.</t>
  </si>
  <si>
    <t>HYAGOVE@HOTMAIL.COM</t>
  </si>
  <si>
    <t>(62) 985941594</t>
  </si>
  <si>
    <t>UEG- UNIVERSIDADE ESTADUAL DE GOIÁS</t>
  </si>
  <si>
    <t>AMANDA DE PAULA FIDELIS</t>
  </si>
  <si>
    <t>02396468197</t>
  </si>
  <si>
    <t>RUA 04, QUADRA 05, LOTE 17, 17. PRÓX. À AVENIDA CONTORNO</t>
  </si>
  <si>
    <t>RESIDENCIAL LAGO SUL 1</t>
  </si>
  <si>
    <t>AMANDAFIDELIS1500@GMAIL.COM</t>
  </si>
  <si>
    <t>(62) 84232734</t>
  </si>
  <si>
    <t>(62) 984232734</t>
  </si>
  <si>
    <t>UNIVERSIDADE ESTADUAL DE GOIÁS - SEDE NORTE, CAMPUS URUAÇU</t>
  </si>
  <si>
    <t>DAIZA MOREIRA DUTRA</t>
  </si>
  <si>
    <t>59667400115</t>
  </si>
  <si>
    <t>RUA QUINTINO BOCAIÚVA Q, 11. L 35</t>
  </si>
  <si>
    <t>SETOR JK</t>
  </si>
  <si>
    <t>DAIZAMOREIRADUTRA@GMAIL.COM</t>
  </si>
  <si>
    <t>(62) 985757011</t>
  </si>
  <si>
    <t>FASEM- FACULDADE SERRA DA MESA URUAÇU-GOIÁS</t>
  </si>
  <si>
    <t>DIENIFER DE JESUS SILVA</t>
  </si>
  <si>
    <t>02254916130</t>
  </si>
  <si>
    <t>RUA OLDRADO SILVA ROCHA, 48. RUA DA SERPOS</t>
  </si>
  <si>
    <t>CENTRO 2</t>
  </si>
  <si>
    <t>DIENIFERSILLLVA26@GMAIL.COM</t>
  </si>
  <si>
    <t>(62) 991031221</t>
  </si>
  <si>
    <t>AMANDA ANDRADE MACHADO</t>
  </si>
  <si>
    <t>07628112188</t>
  </si>
  <si>
    <t>76335000</t>
  </si>
  <si>
    <t>URUANA</t>
  </si>
  <si>
    <t>AVENIDA OLIVEIRA MORAIS REZENDE QD 17 LT 06, 17.</t>
  </si>
  <si>
    <t>JARDIM VALE DO SOL</t>
  </si>
  <si>
    <t>AMANDAMACHADO201508@GMAIL.COM</t>
  </si>
  <si>
    <t>(62) 996954604</t>
  </si>
  <si>
    <t>UNIVERSIDADE EVANGÉLICA CAMPUS CERES</t>
  </si>
  <si>
    <t>URUANA - GO</t>
  </si>
  <si>
    <t>THAMYRES DOS REIS SOUSA</t>
  </si>
  <si>
    <t>08179945138</t>
  </si>
  <si>
    <t>RUA JORGE NICOLAU DA SILVA QD. 10 LT. 58, 58.</t>
  </si>
  <si>
    <t>RESIDENCIAL MACEIÓ FERREIRA PIRES</t>
  </si>
  <si>
    <t>THAMYRES.DREIS@GMAIL.COM</t>
  </si>
  <si>
    <t>(62) 999302169</t>
  </si>
  <si>
    <t>SUZANA VITÓRIA FERNANDES GUIMARÃES</t>
  </si>
  <si>
    <t>70576966126</t>
  </si>
  <si>
    <t>RUA JOSÉ RIBEIRO DE A MIRANDA , 3.</t>
  </si>
  <si>
    <t>SUZNAVITORIA@GMAIL.COM</t>
  </si>
  <si>
    <t>(61) 92433737</t>
  </si>
  <si>
    <t>(61) 992433737</t>
  </si>
  <si>
    <t>URUTAÍ - GO</t>
  </si>
  <si>
    <t>LETICIA SUELLY DOS SANTOS</t>
  </si>
  <si>
    <t>2662020</t>
  </si>
  <si>
    <t>01741976162</t>
  </si>
  <si>
    <t>72878060</t>
  </si>
  <si>
    <t>RUA 8, APT 206 A. BLOCO A CONDOMÍNIO BELLO SOLARE</t>
  </si>
  <si>
    <t>PARQUE ESPLANADA II</t>
  </si>
  <si>
    <t>LETICIASUELLY@GMAIL.COM</t>
  </si>
  <si>
    <t>(61) 95655177</t>
  </si>
  <si>
    <t>(61) 986085797</t>
  </si>
  <si>
    <t>VALPARAÍSO - GO</t>
  </si>
  <si>
    <t>CLARICE ARAÚJO GUIMARÃES</t>
  </si>
  <si>
    <t>3638818</t>
  </si>
  <si>
    <t>06393824107</t>
  </si>
  <si>
    <t>71881617</t>
  </si>
  <si>
    <t>QUADRA QN 12D CONJUNTO 9, 1. LOTE 2 AP 202</t>
  </si>
  <si>
    <t>RIACHO FUNDO II</t>
  </si>
  <si>
    <t>CLARINHA987GUIMARAES252526@GMAIL.COM</t>
  </si>
  <si>
    <t>(61) 98275042</t>
  </si>
  <si>
    <t>(61) 982750426</t>
  </si>
  <si>
    <t>MARIA KLARA CAMPELO DE AQUINO</t>
  </si>
  <si>
    <t>07830059110</t>
  </si>
  <si>
    <t>72871069</t>
  </si>
  <si>
    <t>RUA 69, 23A. QD 91</t>
  </si>
  <si>
    <t>JARDIM CÉU AZUL</t>
  </si>
  <si>
    <t>MARIAKLARA146@GMAIL.COM</t>
  </si>
  <si>
    <t>(61) 992350158</t>
  </si>
  <si>
    <t>JÚLIA ISABELA MONTEIRO GÓES ROSA</t>
  </si>
  <si>
    <t>1296804</t>
  </si>
  <si>
    <t>06440055135</t>
  </si>
  <si>
    <t>72872604</t>
  </si>
  <si>
    <t>CONJUNTO RESIDENCIAL 5 CONDOMÍNIO 1 BLOCO 2D, 603. BLOCO 2D, APART. 603</t>
  </si>
  <si>
    <t>PARQUE DAS CACHOEIRAS</t>
  </si>
  <si>
    <t>JULIAISABELA.ROSA@GMAIL.COM</t>
  </si>
  <si>
    <t>(61) 995888500</t>
  </si>
  <si>
    <t>M51.1 E M54.4</t>
  </si>
  <si>
    <t>FACULDADE APOGEU</t>
  </si>
  <si>
    <t>PAULO CEZAR FERRO SOUZA NETO</t>
  </si>
  <si>
    <t>4338858</t>
  </si>
  <si>
    <t>61013667310</t>
  </si>
  <si>
    <t>72872794</t>
  </si>
  <si>
    <t>RUA SEM NOME, 1105. BLOCO C</t>
  </si>
  <si>
    <t>PAULONETO52@HOTMAIL.COM</t>
  </si>
  <si>
    <t>(61) 995028311</t>
  </si>
  <si>
    <t>FACULDADE BRASILIA</t>
  </si>
  <si>
    <t>SUZANA SOARES LOURENCO</t>
  </si>
  <si>
    <t>3743433</t>
  </si>
  <si>
    <t>70462944107</t>
  </si>
  <si>
    <t>72871003</t>
  </si>
  <si>
    <t>RUA 3, 09. CONDOMÍNIO RESIDENCIAL COSTA MARINA</t>
  </si>
  <si>
    <t>SUZANA2002SOARES@GMAIL.COM</t>
  </si>
  <si>
    <t>(61) 998759874</t>
  </si>
  <si>
    <t>THALLES MOREIRA SILVA</t>
  </si>
  <si>
    <t>280460288</t>
  </si>
  <si>
    <t>12157484779</t>
  </si>
  <si>
    <t>72583400</t>
  </si>
  <si>
    <t>RUA RUA 600 LOTE 601, 305. BLOCO D</t>
  </si>
  <si>
    <t>SETOR MEIRELES (SANTA MARIA)</t>
  </si>
  <si>
    <t>THALLESMOREIRASILVA@GMAIL.COM</t>
  </si>
  <si>
    <t>(61) 33941664</t>
  </si>
  <si>
    <t>(61) 995025524</t>
  </si>
  <si>
    <t>FACULDADE BRASÍLIA - FBR</t>
  </si>
  <si>
    <t>ANNA KAROLINE BORBA DA SILVA</t>
  </si>
  <si>
    <t>08307906164</t>
  </si>
  <si>
    <t>72460200</t>
  </si>
  <si>
    <t>QUADRA QUADRA 20, 69.</t>
  </si>
  <si>
    <t>SETOR LESTE (GAMA)</t>
  </si>
  <si>
    <t>ANNABORBASILVA@GMAIL.COM</t>
  </si>
  <si>
    <t>(38) 998147754</t>
  </si>
  <si>
    <t>MARIA EDUARDA PIQUIÁ RAIMUNDO</t>
  </si>
  <si>
    <t>3640075</t>
  </si>
  <si>
    <t>70240155190</t>
  </si>
  <si>
    <t>72876215</t>
  </si>
  <si>
    <t>QUADRA 15, 14. CASA</t>
  </si>
  <si>
    <t>VALPARAISO I - ETAPA C</t>
  </si>
  <si>
    <t>EDUARDAPIQUIA@GMAIL.COM</t>
  </si>
  <si>
    <t>(61) 36272425</t>
  </si>
  <si>
    <t>(61) 982655475</t>
  </si>
  <si>
    <t>RAFAELA CRISTINA XAVIER L. DE ALMEIDA</t>
  </si>
  <si>
    <t>2971824</t>
  </si>
  <si>
    <t>04041867185</t>
  </si>
  <si>
    <t>72546701</t>
  </si>
  <si>
    <t>QUADRA QR 416 CONJUNTO A, 21. CASA 21</t>
  </si>
  <si>
    <t>CRISTINAADVEASSESSORIA@GMAIL.COM</t>
  </si>
  <si>
    <t>(61) 981632087</t>
  </si>
  <si>
    <t>RAYANE SANTOS COUTINHO</t>
  </si>
  <si>
    <t>2708742</t>
  </si>
  <si>
    <t>02988964190</t>
  </si>
  <si>
    <t>72547803</t>
  </si>
  <si>
    <t>QUADRA QR 517 CONJUNTO C, 6.</t>
  </si>
  <si>
    <t>COUT20RAY@GMAIL.COM</t>
  </si>
  <si>
    <t>(61) 83852594</t>
  </si>
  <si>
    <t>(61) 983852594</t>
  </si>
  <si>
    <t>RODRIGO SOUZA BORGES</t>
  </si>
  <si>
    <t>06315991181</t>
  </si>
  <si>
    <t>72503603</t>
  </si>
  <si>
    <t>QUADRA QR 303 CONJUNTO C, CASA 13. SANTA MARIA</t>
  </si>
  <si>
    <t>RODRIGOSOUZABORGES2003@GMAIL.COM</t>
  </si>
  <si>
    <t>(61) 983020909</t>
  </si>
  <si>
    <t>DAVI CARVALHO DE OLIVEIRA</t>
  </si>
  <si>
    <t>7028981</t>
  </si>
  <si>
    <t>71059036193</t>
  </si>
  <si>
    <t>72870336</t>
  </si>
  <si>
    <t>RUA 10, 13 . QUADRA 26, LOTE 13</t>
  </si>
  <si>
    <t>OLIVEIRACW361@GMAIL.COM</t>
  </si>
  <si>
    <t>(61) 30254070</t>
  </si>
  <si>
    <t>(61) 984787660</t>
  </si>
  <si>
    <t>CENTRO UNIVERSITÁRIO DE DESENVOLVIMENTO DO CENTRO OESTE</t>
  </si>
  <si>
    <t>LISSA LIMA LIRA</t>
  </si>
  <si>
    <t>3937440</t>
  </si>
  <si>
    <t>08332897130</t>
  </si>
  <si>
    <t>72876138</t>
  </si>
  <si>
    <t>QUADRA QUADRA 39, 12.</t>
  </si>
  <si>
    <t>VALPARAISO I - ETAPA B</t>
  </si>
  <si>
    <t>LISSALLIRA49@GMAIL.COM</t>
  </si>
  <si>
    <t>(61) 981645277</t>
  </si>
  <si>
    <t>UNICEPLAC - GAMA DF</t>
  </si>
  <si>
    <t>MARCOS VINÍCIOS NUNES DE BRITO</t>
  </si>
  <si>
    <t>6874930</t>
  </si>
  <si>
    <t>06487359157</t>
  </si>
  <si>
    <t>72852580</t>
  </si>
  <si>
    <t>RODOVIA BR-040, QUADRA 12.. BLOCO D, APARTAMENTO 402, CONQUISTA RESIDENCIAL</t>
  </si>
  <si>
    <t>JARDIM FLAMBOYANT</t>
  </si>
  <si>
    <t>BINOTIMAO@GMAIL.COM</t>
  </si>
  <si>
    <t>(62) 996884900</t>
  </si>
  <si>
    <t>RITA DE CASSIA RIBEIRO DOS SANTOS</t>
  </si>
  <si>
    <t>2085743</t>
  </si>
  <si>
    <t>71818324172</t>
  </si>
  <si>
    <t>72871593</t>
  </si>
  <si>
    <t>QUADRA QUADRA 38, 02. BLOCO B CONDOMÍNIO PORTAL DOS IPÊS</t>
  </si>
  <si>
    <t>SETOR DE CHÁCARAS ANHANGÜERA B</t>
  </si>
  <si>
    <t>RITA.RIBEIRO@SOUNIDESC.COM.BR</t>
  </si>
  <si>
    <t>(61) 995342644</t>
  </si>
  <si>
    <t>DANIELLY ALMEIDA DOS SANTOS</t>
  </si>
  <si>
    <t>6618756</t>
  </si>
  <si>
    <t>70669388106</t>
  </si>
  <si>
    <t>72870213</t>
  </si>
  <si>
    <t>RUA 16, 29. QUADRA 57</t>
  </si>
  <si>
    <t>JARDIM ORIENTE</t>
  </si>
  <si>
    <t>SELCARIMD@GMAIL.COM</t>
  </si>
  <si>
    <t>(61) 30250818</t>
  </si>
  <si>
    <t>(61) 992454346</t>
  </si>
  <si>
    <t>ROBERTA XAVIER DE LIMA</t>
  </si>
  <si>
    <t>01454254106</t>
  </si>
  <si>
    <t>72876341</t>
  </si>
  <si>
    <t>QUADRA QUADRA 41-45, 01. CONDOMÍNIO VILLE BLANCHE 3 BLOCO C APTO 01</t>
  </si>
  <si>
    <t>PARQUE ESPLANADA III</t>
  </si>
  <si>
    <t>ROBERTAXAVIERLIMA@GMAIL.COM</t>
  </si>
  <si>
    <t>(61) 993930000</t>
  </si>
  <si>
    <t>LETÍCIA ROMEIRO SANTOS</t>
  </si>
  <si>
    <t>3333656</t>
  </si>
  <si>
    <t>05476757120</t>
  </si>
  <si>
    <t>72850590</t>
  </si>
  <si>
    <t>RUA 02, 66. QUADRA 8</t>
  </si>
  <si>
    <t>LETICIAROMEIROSANTOS@GMAIL.COM</t>
  </si>
  <si>
    <t>(61) 995492533</t>
  </si>
  <si>
    <t>ANA CLÁUDIA RIBEIRO DE OLIVEIRA</t>
  </si>
  <si>
    <t>3856648</t>
  </si>
  <si>
    <t>03831371105</t>
  </si>
  <si>
    <t>72302312</t>
  </si>
  <si>
    <t>QUADRA QR 110 CONJUNTO 12, 12.</t>
  </si>
  <si>
    <t>SAMAMBAIA SUL (SAMAMBAIA)</t>
  </si>
  <si>
    <t>ACR.OLIVEIRA16@GMAIL.COM</t>
  </si>
  <si>
    <t>(61) 999015855</t>
  </si>
  <si>
    <t>SINDIA LEONOR SALES DE PAULA E SOUZA</t>
  </si>
  <si>
    <t>1206191</t>
  </si>
  <si>
    <t>49188453120</t>
  </si>
  <si>
    <t>71687740</t>
  </si>
  <si>
    <t>QUADRA QUADRA QC 15, 13. TORRE H4 AP 13</t>
  </si>
  <si>
    <t>JARDINS MANGUEIRAL (JARDIM BOTÂNICO)</t>
  </si>
  <si>
    <t>SINDIALEONORSPS@GMAIL.COM</t>
  </si>
  <si>
    <t>(61) 34437208</t>
  </si>
  <si>
    <t>(61) 981380264</t>
  </si>
  <si>
    <t>IESB</t>
  </si>
  <si>
    <t>MARIA APARECIDA MACHADO DA SILVA</t>
  </si>
  <si>
    <t>2167567</t>
  </si>
  <si>
    <t>00294846182</t>
  </si>
  <si>
    <t>72878636</t>
  </si>
  <si>
    <t>RUA D, 6.</t>
  </si>
  <si>
    <t>MAMS117@GMAIL.COM</t>
  </si>
  <si>
    <t>(61) 30831160</t>
  </si>
  <si>
    <t>(61) 993161552</t>
  </si>
  <si>
    <t>CENTRO UNIVERSITÁRIO DO CENTRO OESTE</t>
  </si>
  <si>
    <t>ALESSANDRA GUEDES DOS SANTOS</t>
  </si>
  <si>
    <t>07814059127</t>
  </si>
  <si>
    <t>72851010</t>
  </si>
  <si>
    <t>AVENIDA JORGE LAGE MOURA, 31. QUADRA 116 PRÓ-LOTE</t>
  </si>
  <si>
    <t>JARDIM DO INGÁ GLEBA B</t>
  </si>
  <si>
    <t>ALESSASANTOS002@GMAIL.COM</t>
  </si>
  <si>
    <t>(61) 999348483</t>
  </si>
  <si>
    <t>FACULDADE ANHANGUERA DE VALPARAÍSO DE GOIÁS</t>
  </si>
  <si>
    <t>KAROLAINY CARVALHO DE JESUS</t>
  </si>
  <si>
    <t>8322072</t>
  </si>
  <si>
    <t>07782125138</t>
  </si>
  <si>
    <t>72871071</t>
  </si>
  <si>
    <t>RUA 71, 71. LOTE 17</t>
  </si>
  <si>
    <t>KAROL.CARVALHO6@GMAIL.COM</t>
  </si>
  <si>
    <t>(61) 99265647</t>
  </si>
  <si>
    <t>(61) 991000436</t>
  </si>
  <si>
    <t>FACULDADE ANHANGUERA DE VALPARAÍSO</t>
  </si>
  <si>
    <t>MIRELLA ARAUJO JACOBINA</t>
  </si>
  <si>
    <t>3864589</t>
  </si>
  <si>
    <t>07050981338</t>
  </si>
  <si>
    <t>72880526</t>
  </si>
  <si>
    <t>QUADRA SQ 13 QUADRA 1, 06. BLOCO G AP. 101</t>
  </si>
  <si>
    <t>RECREIO MOSSORÓ</t>
  </si>
  <si>
    <t>MIRELLAARAUJO.777JACOBINA@GMAIL.COM</t>
  </si>
  <si>
    <t>(61) 982492833</t>
  </si>
  <si>
    <t>SAMARA DA SILVA SOUZA</t>
  </si>
  <si>
    <t>5874925</t>
  </si>
  <si>
    <t>04316530119</t>
  </si>
  <si>
    <t>72301501</t>
  </si>
  <si>
    <t>QUADRA QS 103 CONJUNTO 1, 3. APTO 103</t>
  </si>
  <si>
    <t>SAMARA_SILVA_SOUZA@HOTMAIL.COM</t>
  </si>
  <si>
    <t>(61) 982718653</t>
  </si>
  <si>
    <t>LUCAS GALVAO MOURAO</t>
  </si>
  <si>
    <t>3029426</t>
  </si>
  <si>
    <t>05774670180</t>
  </si>
  <si>
    <t>72871079</t>
  </si>
  <si>
    <t>RUA 79, 25. QD 138 COND NIMER 13</t>
  </si>
  <si>
    <t>LUCASJHONES02@GMAIL.COM</t>
  </si>
  <si>
    <t>(61) 995986642</t>
  </si>
  <si>
    <t>GABRYEL SILVA LEITE</t>
  </si>
  <si>
    <t>3745389</t>
  </si>
  <si>
    <t>07380392174</t>
  </si>
  <si>
    <t>72506204</t>
  </si>
  <si>
    <t>CL 106 BLOCO D, 104. ENTRADA A</t>
  </si>
  <si>
    <t>GABRYELSILVALEITE@GMAIL.COM</t>
  </si>
  <si>
    <t>(61) 30520216</t>
  </si>
  <si>
    <t>(61) 994146964</t>
  </si>
  <si>
    <t>CENTRO UNIVERSITÁRIO DO PLANALTO CENTRAL APPARECIDO DOS SANTOS - UNICEPLAC</t>
  </si>
  <si>
    <t>JOAO VICTOR BRITO RAMOS</t>
  </si>
  <si>
    <t>03204479102</t>
  </si>
  <si>
    <t>75265000</t>
  </si>
  <si>
    <t>VIANÓPOLIS</t>
  </si>
  <si>
    <t>RUA SAO JOSE, 244.</t>
  </si>
  <si>
    <t>JOAOVINVESTIMENTOS@OUTLOOK.COM</t>
  </si>
  <si>
    <t>(62) 998129645</t>
  </si>
  <si>
    <t>VIANÓPOLIS - GO</t>
  </si>
  <si>
    <t>DAIANE CRISTINA GOMES</t>
  </si>
  <si>
    <t>6909961</t>
  </si>
  <si>
    <t>70935938109</t>
  </si>
  <si>
    <t>RUA MARCOS LUPORINI , S/N. PERTO DO SUPERMERCADO DO GORDIM</t>
  </si>
  <si>
    <t>SÃO JOSÉ</t>
  </si>
  <si>
    <t>CRISTINAGOMES020627@GMAIL.COM</t>
  </si>
  <si>
    <t>(62) 96350826</t>
  </si>
  <si>
    <t>(62) 996350826</t>
  </si>
  <si>
    <t>NÃO ATENDE/AGUARDANDO RETORNO</t>
  </si>
  <si>
    <t>DESCLASSIFICADO</t>
  </si>
  <si>
    <r>
      <rPr>
        <b/>
        <sz val="13"/>
        <color rgb="FF000000"/>
        <rFont val="Calibri, Arial"/>
        <charset val="1"/>
      </rPr>
      <t xml:space="preserve">LISTA DE CLASSIFICAÇÃO FINAL - SUPERIOR (EXCETO MUSEOLOGIA E GESTÃO DE RECURSOS HUMANOS) - NEGROS (PRETOS OU PARDOS) - PUBLICADA EM </t>
    </r>
    <r>
      <rPr>
        <b/>
        <sz val="13"/>
        <color rgb="FFFF0000"/>
        <rFont val="Calibri, Arial"/>
        <charset val="1"/>
      </rPr>
      <t>22/09/2023</t>
    </r>
  </si>
  <si>
    <r>
      <rPr>
        <b/>
        <sz val="13"/>
        <color rgb="FF000000"/>
        <rFont val="Calibri, Arial"/>
        <charset val="1"/>
      </rPr>
      <t xml:space="preserve">DICA: Para localizar seu nome utilize o atalho </t>
    </r>
    <r>
      <rPr>
        <b/>
        <sz val="13"/>
        <color rgb="FFFF0000"/>
        <rFont val="Calibri, Arial"/>
        <charset val="1"/>
      </rPr>
      <t>Ctrl+F</t>
    </r>
  </si>
  <si>
    <t>TRIBUNAL DE JUSTIÇA DO ESTADO DE GOIÁS - EDITAL 07/2023 LISTA DE CLASSIFICAÇÃO FINAL - SUPERIOR (EXCETO MUSEOLOGIA E GESTÃO DE RECURSOS HUMANOS) - AMPLA CONCORRÊNCIA - PUBLICADA EM 22/09/2023 DICA: Para localizar seu nome utilize o atalho Ctrl+F</t>
  </si>
  <si>
    <t>STATUS ESTOQUE</t>
  </si>
  <si>
    <t>ERIKA SANTOS SOUZA</t>
  </si>
  <si>
    <t xml:space="preserve"> GESTÃO DE RECURSOS HUMANOS</t>
  </si>
  <si>
    <t xml:space="preserve">DEBORAH JOYCE ALVES DA SILVA OLIVEIRA </t>
  </si>
  <si>
    <t>KADIMIEL SANTOS NOVAIS</t>
  </si>
  <si>
    <t>TRIBUNAL DE JUSTIÇA DO ESTADO DE GOIÁS - EDITAL 07/2023                                                           LISTA DE CLASSIFICAÇÃO FINAL - SUPERIOR (EXCETO MUSEOLOGIA E GESTÃO DE RECURSOS HUMANOS) - AMPLA CONCORRÊNCIA - PUBLICADA EM 22/09/2023 DICA: Para localizar seu nome utilize o atalho Ctrl+F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</si>
</sst>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"/>
    <numFmt numFmtId="165" formatCode="dd/mm"/>
    <numFmt numFmtId="166" formatCode="dd\/mm\/yyyy"/>
    <numFmt numFmtId="167" formatCode="yyyy/mm/dd\ h:mm"/>
  </numFmts>
  <fonts count="9">
    <font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1"/>
      <color rgb="FFFFFFFF"/>
      <name val="Calibri"/>
      <charset val="1"/>
    </font>
    <font>
      <b/>
      <sz val="12"/>
      <color rgb="FF000000"/>
      <name val="Calibri, Arial"/>
      <charset val="1"/>
    </font>
    <font>
      <b/>
      <sz val="12"/>
      <color rgb="FFFF0000"/>
      <name val="Calibri, Arial"/>
      <charset val="1"/>
    </font>
    <font>
      <sz val="10"/>
      <color rgb="FF000000"/>
      <name val="Calibri"/>
      <charset val="1"/>
    </font>
    <font>
      <b/>
      <sz val="13"/>
      <color rgb="FF000000"/>
      <name val="Calibri"/>
      <charset val="1"/>
    </font>
    <font>
      <b/>
      <sz val="13"/>
      <color rgb="FF000000"/>
      <name val="Calibri, Arial"/>
      <charset val="1"/>
    </font>
    <font>
      <b/>
      <sz val="13"/>
      <color rgb="FFFF0000"/>
      <name val="Calibri, 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465A4"/>
        <bgColor rgb="FF3366FF"/>
      </patternFill>
    </fill>
    <fill>
      <patternFill patternType="solid">
        <fgColor rgb="FF073763"/>
        <bgColor rgb="FF333333"/>
      </patternFill>
    </fill>
    <fill>
      <patternFill patternType="solid">
        <fgColor rgb="FF00FF00"/>
        <bgColor rgb="FF33CC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1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/>
    <xf numFmtId="167" fontId="0" fillId="0" borderId="5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167" fontId="0" fillId="0" borderId="3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 applyAlignment="1"/>
    <xf numFmtId="167" fontId="0" fillId="4" borderId="3" xfId="0" applyNumberFormat="1" applyFont="1" applyFill="1" applyBorder="1" applyAlignment="1">
      <alignment horizontal="center"/>
    </xf>
    <xf numFmtId="167" fontId="0" fillId="4" borderId="2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6" fontId="2" fillId="3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166" fontId="2" fillId="3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6" fontId="2" fillId="3" borderId="4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831"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ill>
        <patternFill>
          <bgColor rgb="FF70AD47"/>
        </patternFill>
      </fill>
    </dxf>
    <dxf>
      <fill>
        <patternFill>
          <bgColor rgb="FFEAD1DC"/>
        </patternFill>
      </fill>
    </dxf>
    <dxf>
      <fill>
        <patternFill>
          <bgColor rgb="FFCFE2F3"/>
        </patternFill>
      </fill>
    </dxf>
    <dxf>
      <fill>
        <patternFill>
          <bgColor rgb="FFFFE599"/>
        </patternFill>
      </fill>
    </dxf>
    <dxf>
      <font>
        <b/>
        <color rgb="FFFFFFFF"/>
      </font>
      <fill>
        <patternFill>
          <bgColor rgb="FFFF0000"/>
        </patternFill>
      </fill>
    </dxf>
    <dxf>
      <font>
        <b/>
      </font>
      <fill>
        <patternFill>
          <bgColor rgb="FF00FF0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B7E1CD"/>
        </patternFill>
      </fill>
    </dxf>
    <dxf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ill>
        <patternFill>
          <bgColor rgb="FFFFE599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A5A5A5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8AF"/>
      <rgbColor rgb="FF808080"/>
      <rgbColor rgb="FF6D9EEB"/>
      <rgbColor rgb="FF993366"/>
      <rgbColor rgb="FFEAD1D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B7E1CD"/>
      <rgbColor rgb="FFFFFF99"/>
      <rgbColor rgb="FF99CCFF"/>
      <rgbColor rgb="FFFF99CC"/>
      <rgbColor rgb="FFCC99FF"/>
      <rgbColor rgb="FFFFE599"/>
      <rgbColor rgb="FF3366FF"/>
      <rgbColor rgb="FF33CCCC"/>
      <rgbColor rgb="FF93C47D"/>
      <rgbColor rgb="FFFFCC00"/>
      <rgbColor rgb="FFFF9900"/>
      <rgbColor rgb="FFFF6600"/>
      <rgbColor rgb="FF3465A4"/>
      <rgbColor rgb="FFA5A5A5"/>
      <rgbColor rgb="FF073763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9"/>
  <sheetViews>
    <sheetView zoomScaleNormal="100" workbookViewId="0">
      <selection activeCell="L11" sqref="L11"/>
    </sheetView>
  </sheetViews>
  <sheetFormatPr defaultColWidth="14.42578125" defaultRowHeight="15"/>
  <cols>
    <col min="1" max="1" width="14.42578125" style="6"/>
    <col min="2" max="2" width="48.42578125" customWidth="1"/>
    <col min="3" max="8" width="14.42578125" hidden="1"/>
    <col min="9" max="9" width="14.42578125" style="6"/>
    <col min="10" max="11" width="14.42578125" style="6" hidden="1"/>
    <col min="12" max="12" width="26.140625" style="6" customWidth="1"/>
    <col min="13" max="13" width="14.42578125" style="6" hidden="1"/>
    <col min="14" max="14" width="34.7109375" style="6" customWidth="1"/>
    <col min="15" max="18" width="14.42578125" hidden="1"/>
  </cols>
  <sheetData>
    <row r="1" spans="1:18">
      <c r="A1" s="7" t="str">
        <f ca="1">IFERROR(__xludf.dummyfunction("QUERY('ABADIÂNIA'!A4:A5)"),"CLASSIFICAÇÃO")</f>
        <v>CLASSIFICAÇÃO</v>
      </c>
      <c r="B1" s="8" t="str">
        <f ca="1">IFERROR(__xludf.dummyfunction("QUERY('ABADIÂNIA'!B4:B5)"),"NOME")</f>
        <v>NOME</v>
      </c>
      <c r="C1" s="8" t="str">
        <f ca="1">IFERROR(__xludf.dummyfunction("QUERY('ABADIÂNIA'!C4:C5)"),"RG")</f>
        <v>RG</v>
      </c>
      <c r="D1" s="8" t="str">
        <f ca="1">IFERROR(__xludf.dummyfunction("QUERY('ABADIÂNIA'!D4:D5)"),"CPF")</f>
        <v>CPF</v>
      </c>
      <c r="E1" s="8" t="str">
        <f ca="1">IFERROR(__xludf.dummyfunction("QUERY('ABADIÂNIA'!E4:E5)"),"EMAIL")</f>
        <v>EMAIL</v>
      </c>
      <c r="F1" s="8" t="str">
        <f ca="1">IFERROR(__xludf.dummyfunction("QUERY('ABADIÂNIA'!F4:F5)"),"TELEFONE")</f>
        <v>TELEFONE</v>
      </c>
      <c r="G1" s="8" t="str">
        <f ca="1">IFERROR(__xludf.dummyfunction("QUERY('ABADIÂNIA'!G4:G5)"),"CELULAR")</f>
        <v>CELULAR</v>
      </c>
      <c r="H1" s="8" t="str">
        <f ca="1">IFERROR(__xludf.dummyfunction("QUERY('ABADIÂNIA'!H4:H5)"),"NIVEL_ESCOLAR")</f>
        <v>NIVEL_ESCOLAR</v>
      </c>
      <c r="I1" s="7" t="str">
        <f ca="1">IFERROR(__xludf.dummyfunction("QUERY('ABADIÂNIA'!I4:I5)"),"CURSO")</f>
        <v>CURSO</v>
      </c>
      <c r="J1" s="7" t="str">
        <f ca="1">IFERROR(__xludf.dummyfunction("QUERY('ABADIÂNIA'!J4:J5)"),"TURNO_AULA")</f>
        <v>TURNO_AULA</v>
      </c>
      <c r="K1" s="7" t="str">
        <f ca="1">IFERROR(__xludf.dummyfunction("QUERY('ABADIÂNIA'!K4:K5)"),"TURNO_ESTAGIO")</f>
        <v>TURNO_ESTAGIO</v>
      </c>
      <c r="L1" s="7" t="str">
        <f ca="1">IFERROR(__xludf.dummyfunction("QUERY('ABADIÂNIA'!L4:L5)"),"LOCAIS DE ESTÁGIO")</f>
        <v>LOCAIS DE ESTÁGIO</v>
      </c>
      <c r="M1" s="7" t="str">
        <f ca="1">IFERROR(__xludf.dummyfunction("QUERY('ABADIÂNIA'!M4:M5)"),"SEMESTRE")</f>
        <v>SEMESTRE</v>
      </c>
      <c r="N1" s="7" t="s">
        <v>0</v>
      </c>
      <c r="O1" s="9" t="str">
        <f ca="1">IFERROR(__xludf.dummyfunction("QUERY('ABADIÂNIA'!O4:O5)"),"1ª CONVOCAÇÃO")</f>
        <v>1ª CONVOCAÇÃO</v>
      </c>
      <c r="P1" s="9" t="str">
        <f ca="1">IFERROR(__xludf.dummyfunction("QUERY('ABADIÂNIA'!P4:P5)"),"OBSERVAÇÃO - 1ª CONVOCAÇÃO")</f>
        <v>OBSERVAÇÃO - 1ª CONVOCAÇÃO</v>
      </c>
      <c r="Q1" s="9" t="str">
        <f ca="1">IFERROR(__xludf.dummyfunction("QUERY('ABADIÂNIA'!Q4:Q5)"),"2ª CONVOCAÇÃO")</f>
        <v>2ª CONVOCAÇÃO</v>
      </c>
      <c r="R1" s="9" t="str">
        <f ca="1">IFERROR(__xludf.dummyfunction("QUERY('ABADIÂNIA'!R4:R5)"),"OBSERVAÇÃO - 2ª CONVOCAÇÃO")</f>
        <v>OBSERVAÇÃO - 2ª CONVOCAÇÃO</v>
      </c>
    </row>
    <row r="2" spans="1:18">
      <c r="A2" s="10">
        <f ca="1">IFERROR(__xludf.dummyfunction("""COMPUTED_VALUE"""),1)</f>
        <v>1</v>
      </c>
      <c r="B2" s="9" t="str">
        <f ca="1">IFERROR(__xludf.dummyfunction("""COMPUTED_VALUE"""),"FERNANDO FERREIRA DE ARAÚJO")</f>
        <v>FERNANDO FERREIRA DE ARAÚJO</v>
      </c>
      <c r="C2" s="9"/>
      <c r="D2" s="9" t="str">
        <f ca="1">IFERROR(__xludf.dummyfunction("""COMPUTED_VALUE"""),"70280277164")</f>
        <v>70280277164</v>
      </c>
      <c r="E2" s="9" t="str">
        <f ca="1">IFERROR(__xludf.dummyfunction("""COMPUTED_VALUE"""),"FERNANDOFERREIRATARCISIO@GMAIL.COM")</f>
        <v>FERNANDOFERREIRATARCISIO@GMAIL.COM</v>
      </c>
      <c r="F2" s="9" t="str">
        <f ca="1">IFERROR(__xludf.dummyfunction("""COMPUTED_VALUE"""),"(62) 33431307")</f>
        <v>(62) 33431307</v>
      </c>
      <c r="G2" s="9" t="str">
        <f ca="1">IFERROR(__xludf.dummyfunction("""COMPUTED_VALUE"""),"(62) 998180545")</f>
        <v>(62) 998180545</v>
      </c>
      <c r="H2" s="9" t="str">
        <f ca="1">IFERROR(__xludf.dummyfunction("""COMPUTED_VALUE"""),"SUPERIOR")</f>
        <v>SUPERIOR</v>
      </c>
      <c r="I2" s="10" t="str">
        <f ca="1">IFERROR(__xludf.dummyfunction("""COMPUTED_VALUE"""),"DIREITO")</f>
        <v>DIREITO</v>
      </c>
      <c r="J2" s="10" t="str">
        <f ca="1">IFERROR(__xludf.dummyfunction("""COMPUTED_VALUE"""),"NOITE")</f>
        <v>NOITE</v>
      </c>
      <c r="K2" s="10" t="str">
        <f ca="1">IFERROR(__xludf.dummyfunction("""COMPUTED_VALUE"""),"TARDE")</f>
        <v>TARDE</v>
      </c>
      <c r="L2" s="10" t="str">
        <f ca="1">IFERROR(__xludf.dummyfunction("""COMPUTED_VALUE"""),"ABADIÂNIA - GO")</f>
        <v>ABADIÂNIA - GO</v>
      </c>
      <c r="M2" s="10">
        <f ca="1">IFERROR(__xludf.dummyfunction("""COMPUTED_VALUE"""),5)</f>
        <v>5</v>
      </c>
      <c r="N2" s="10" t="str">
        <f ca="1">IFERROR(__xludf.dummyfunction("""COMPUTED_VALUE"""),"CONTRATADO")</f>
        <v>CONTRATADO</v>
      </c>
      <c r="O2" s="9" t="str">
        <f ca="1">IFERROR(__xludf.dummyfunction("""COMPUTED_VALUE"""),"31/10 - 16:26")</f>
        <v>31/10 - 16:26</v>
      </c>
      <c r="P2" s="9"/>
      <c r="Q2" s="9"/>
      <c r="R2" s="9"/>
    </row>
    <row r="3" spans="1:18">
      <c r="A3" s="10">
        <f ca="1">IFERROR(__xludf.dummyfunction("QUERY('ACREÚNA'!A5:A8)"),1)</f>
        <v>1</v>
      </c>
      <c r="B3" s="9" t="str">
        <f ca="1">IFERROR(__xludf.dummyfunction("QUERY('ACREÚNA'!B5:B8)"),"JAQUELINE OLIVEIRA DOS SANTOS")</f>
        <v>JAQUELINE OLIVEIRA DOS SANTOS</v>
      </c>
      <c r="C3" s="9" t="str">
        <f ca="1">IFERROR(__xludf.dummyfunction("QUERY('ACREÚNA'!C5:C8)"),"")</f>
        <v/>
      </c>
      <c r="D3" s="9" t="str">
        <f ca="1">IFERROR(__xludf.dummyfunction("QUERY('ACREÚNA'!D5:D8)"),"08396096120")</f>
        <v>08396096120</v>
      </c>
      <c r="E3" s="9" t="str">
        <f ca="1">IFERROR(__xludf.dummyfunction("QUERY('ACREÚNA'!E5:E8)"),"JAQUELINEOLIVEIRAJAQUELINE50@GMAIL.COM")</f>
        <v>JAQUELINEOLIVEIRAJAQUELINE50@GMAIL.COM</v>
      </c>
      <c r="F3" s="9" t="str">
        <f ca="1">IFERROR(__xludf.dummyfunction("QUERY('ACREÚNA'!F5:F8)"),"(64) 99291312")</f>
        <v>(64) 99291312</v>
      </c>
      <c r="G3" s="9" t="str">
        <f ca="1">IFERROR(__xludf.dummyfunction("QUERY('ACREÚNA'!G5:G8)"),"(64) 99291312")</f>
        <v>(64) 99291312</v>
      </c>
      <c r="H3" s="9" t="str">
        <f ca="1">IFERROR(__xludf.dummyfunction("QUERY('ACREÚNA'!H5:H8)"),"SUPERIOR")</f>
        <v>SUPERIOR</v>
      </c>
      <c r="I3" s="10" t="str">
        <f ca="1">IFERROR(__xludf.dummyfunction("QUERY('ACREÚNA'!I5:I8)"),"ADMINISTRAÇÃO")</f>
        <v>ADMINISTRAÇÃO</v>
      </c>
      <c r="J3" s="10" t="str">
        <f ca="1">IFERROR(__xludf.dummyfunction("QUERY('ACREÚNA'!J5:J8)"),"NOITE")</f>
        <v>NOITE</v>
      </c>
      <c r="K3" s="10" t="str">
        <f ca="1">IFERROR(__xludf.dummyfunction("QUERY('ACREÚNA'!K5:K8)"),"TARDE")</f>
        <v>TARDE</v>
      </c>
      <c r="L3" s="10" t="str">
        <f ca="1">IFERROR(__xludf.dummyfunction("QUERY('ACREÚNA'!L5:L8)"),"ACREÚNA - GO")</f>
        <v>ACREÚNA - GO</v>
      </c>
      <c r="M3" s="10">
        <f ca="1">IFERROR(__xludf.dummyfunction("QUERY('ACREÚNA'!M5:M8)"),6)</f>
        <v>6</v>
      </c>
      <c r="N3" s="10" t="str">
        <f ca="1">IFERROR(__xludf.dummyfunction("QUERY('ACREÚNA'!N5:N8)"),"DISPONÍVEL")</f>
        <v>DISPONÍVEL</v>
      </c>
      <c r="O3" s="9" t="str">
        <f ca="1">IFERROR(__xludf.dummyfunction("QUERY('ACREÚNA'!O5:O8)"),"")</f>
        <v/>
      </c>
      <c r="P3" s="9" t="str">
        <f ca="1">IFERROR(__xludf.dummyfunction("QUERY('ACREÚNA'!P5:P8)"),"")</f>
        <v/>
      </c>
      <c r="Q3" s="9" t="str">
        <f ca="1">IFERROR(__xludf.dummyfunction("QUERY('ACREÚNA'!Q5:Q8)"),"")</f>
        <v/>
      </c>
      <c r="R3" s="9" t="str">
        <f ca="1">IFERROR(__xludf.dummyfunction("QUERY('ACREÚNA'!R5:R8)"),"")</f>
        <v/>
      </c>
    </row>
    <row r="4" spans="1:18">
      <c r="A4" s="10">
        <f ca="1">IFERROR(__xludf.dummyfunction("""COMPUTED_VALUE"""),1)</f>
        <v>1</v>
      </c>
      <c r="B4" s="9" t="str">
        <f ca="1">IFERROR(__xludf.dummyfunction("""COMPUTED_VALUE"""),"ISMAILIA SILVA FERREIRA")</f>
        <v>ISMAILIA SILVA FERREIRA</v>
      </c>
      <c r="C4" s="9"/>
      <c r="D4" s="9" t="str">
        <f ca="1">IFERROR(__xludf.dummyfunction("""COMPUTED_VALUE"""),"83322256120")</f>
        <v>83322256120</v>
      </c>
      <c r="E4" s="9" t="str">
        <f ca="1">IFERROR(__xludf.dummyfunction("""COMPUTED_VALUE"""),"ISMAILIAFERREIRA77@GMAIL.COM")</f>
        <v>ISMAILIAFERREIRA77@GMAIL.COM</v>
      </c>
      <c r="F4" s="9" t="str">
        <f ca="1">IFERROR(__xludf.dummyfunction("""COMPUTED_VALUE"""),"(64) 96073507")</f>
        <v>(64) 96073507</v>
      </c>
      <c r="G4" s="9" t="str">
        <f ca="1">IFERROR(__xludf.dummyfunction("""COMPUTED_VALUE"""),"(64) 996073507")</f>
        <v>(64) 996073507</v>
      </c>
      <c r="H4" s="9" t="str">
        <f ca="1">IFERROR(__xludf.dummyfunction("""COMPUTED_VALUE"""),"SUPERIOR")</f>
        <v>SUPERIOR</v>
      </c>
      <c r="I4" s="10" t="str">
        <f ca="1">IFERROR(__xludf.dummyfunction("""COMPUTED_VALUE"""),"DIREITO")</f>
        <v>DIREITO</v>
      </c>
      <c r="J4" s="10" t="str">
        <f ca="1">IFERROR(__xludf.dummyfunction("""COMPUTED_VALUE"""),"NOITE")</f>
        <v>NOITE</v>
      </c>
      <c r="K4" s="10" t="str">
        <f ca="1">IFERROR(__xludf.dummyfunction("""COMPUTED_VALUE"""),"TARDE")</f>
        <v>TARDE</v>
      </c>
      <c r="L4" s="10" t="str">
        <f ca="1">IFERROR(__xludf.dummyfunction("""COMPUTED_VALUE"""),"ACREÚNA - GO")</f>
        <v>ACREÚNA - GO</v>
      </c>
      <c r="M4" s="10">
        <f ca="1">IFERROR(__xludf.dummyfunction("""COMPUTED_VALUE"""),5)</f>
        <v>5</v>
      </c>
      <c r="N4" s="10" t="str">
        <f ca="1">IFERROR(__xludf.dummyfunction("""COMPUTED_VALUE"""),"CONTRATADO")</f>
        <v>CONTRATADO</v>
      </c>
      <c r="O4" s="9"/>
      <c r="P4" s="9"/>
      <c r="Q4" s="9"/>
      <c r="R4" s="9"/>
    </row>
    <row r="5" spans="1:18">
      <c r="A5" s="10">
        <f ca="1">IFERROR(__xludf.dummyfunction("""COMPUTED_VALUE"""),2)</f>
        <v>2</v>
      </c>
      <c r="B5" s="9" t="str">
        <f ca="1">IFERROR(__xludf.dummyfunction("""COMPUTED_VALUE"""),"ELLEN CRISTYNI DIAS SILVA")</f>
        <v>ELLEN CRISTYNI DIAS SILVA</v>
      </c>
      <c r="C5" s="9"/>
      <c r="D5" s="9" t="str">
        <f ca="1">IFERROR(__xludf.dummyfunction("""COMPUTED_VALUE"""),"09186007157")</f>
        <v>09186007157</v>
      </c>
      <c r="E5" s="9" t="str">
        <f ca="1">IFERROR(__xludf.dummyfunction("""COMPUTED_VALUE"""),"ELLEN.C.D.SILVA@ACADEMICO.UNIRV.EDU.BR")</f>
        <v>ELLEN.C.D.SILVA@ACADEMICO.UNIRV.EDU.BR</v>
      </c>
      <c r="F5" s="9"/>
      <c r="G5" s="9" t="str">
        <f ca="1">IFERROR(__xludf.dummyfunction("""COMPUTED_VALUE"""),"(64) 999675923")</f>
        <v>(64) 999675923</v>
      </c>
      <c r="H5" s="9" t="str">
        <f ca="1">IFERROR(__xludf.dummyfunction("""COMPUTED_VALUE"""),"SUPERIOR")</f>
        <v>SUPERIOR</v>
      </c>
      <c r="I5" s="10" t="str">
        <f ca="1">IFERROR(__xludf.dummyfunction("""COMPUTED_VALUE"""),"DIREITO")</f>
        <v>DIREITO</v>
      </c>
      <c r="J5" s="10" t="str">
        <f ca="1">IFERROR(__xludf.dummyfunction("""COMPUTED_VALUE"""),"NOITE")</f>
        <v>NOITE</v>
      </c>
      <c r="K5" s="10" t="str">
        <f ca="1">IFERROR(__xludf.dummyfunction("""COMPUTED_VALUE"""),"TARDE")</f>
        <v>TARDE</v>
      </c>
      <c r="L5" s="10" t="str">
        <f ca="1">IFERROR(__xludf.dummyfunction("""COMPUTED_VALUE"""),"ACREÚNA - GO")</f>
        <v>ACREÚNA - GO</v>
      </c>
      <c r="M5" s="10">
        <f ca="1">IFERROR(__xludf.dummyfunction("""COMPUTED_VALUE"""),5)</f>
        <v>5</v>
      </c>
      <c r="N5" s="10" t="str">
        <f ca="1">IFERROR(__xludf.dummyfunction("""COMPUTED_VALUE"""),"CONTRATADO")</f>
        <v>CONTRATADO</v>
      </c>
      <c r="O5" s="9" t="str">
        <f ca="1">IFERROR(__xludf.dummyfunction("""COMPUTED_VALUE"""),"16/11 - 10:53")</f>
        <v>16/11 - 10:53</v>
      </c>
      <c r="P5" s="9"/>
      <c r="Q5" s="9"/>
      <c r="R5" s="9"/>
    </row>
    <row r="6" spans="1:18">
      <c r="A6" s="10">
        <f ca="1">IFERROR(__xludf.dummyfunction("""COMPUTED_VALUE"""),3)</f>
        <v>3</v>
      </c>
      <c r="B6" s="9" t="str">
        <f ca="1">IFERROR(__xludf.dummyfunction("""COMPUTED_VALUE"""),"RAFAELA SILVA SANTOS")</f>
        <v>RAFAELA SILVA SANTOS</v>
      </c>
      <c r="C6" s="9" t="str">
        <f ca="1">IFERROR(__xludf.dummyfunction("""COMPUTED_VALUE"""),"6130246")</f>
        <v>6130246</v>
      </c>
      <c r="D6" s="9" t="str">
        <f ca="1">IFERROR(__xludf.dummyfunction("""COMPUTED_VALUE"""),"02889354113")</f>
        <v>02889354113</v>
      </c>
      <c r="E6" s="9" t="str">
        <f ca="1">IFERROR(__xludf.dummyfunction("""COMPUTED_VALUE"""),"RAFASILSAN12@GMAIL.COM")</f>
        <v>RAFASILSAN12@GMAIL.COM</v>
      </c>
      <c r="F6" s="9" t="str">
        <f ca="1">IFERROR(__xludf.dummyfunction("""COMPUTED_VALUE"""),"(64) 96036989")</f>
        <v>(64) 96036989</v>
      </c>
      <c r="G6" s="9" t="str">
        <f ca="1">IFERROR(__xludf.dummyfunction("""COMPUTED_VALUE"""),"(64) 996036989")</f>
        <v>(64) 996036989</v>
      </c>
      <c r="H6" s="9" t="str">
        <f ca="1">IFERROR(__xludf.dummyfunction("""COMPUTED_VALUE"""),"SUPERIOR")</f>
        <v>SUPERIOR</v>
      </c>
      <c r="I6" s="10" t="str">
        <f ca="1">IFERROR(__xludf.dummyfunction("""COMPUTED_VALUE"""),"DIREITO")</f>
        <v>DIREITO</v>
      </c>
      <c r="J6" s="10" t="str">
        <f ca="1">IFERROR(__xludf.dummyfunction("""COMPUTED_VALUE"""),"NOITE")</f>
        <v>NOITE</v>
      </c>
      <c r="K6" s="10" t="str">
        <f ca="1">IFERROR(__xludf.dummyfunction("""COMPUTED_VALUE"""),"TARDE")</f>
        <v>TARDE</v>
      </c>
      <c r="L6" s="10" t="str">
        <f ca="1">IFERROR(__xludf.dummyfunction("""COMPUTED_VALUE"""),"ACREÚNA - GO")</f>
        <v>ACREÚNA - GO</v>
      </c>
      <c r="M6" s="10">
        <f ca="1">IFERROR(__xludf.dummyfunction("""COMPUTED_VALUE"""),5)</f>
        <v>5</v>
      </c>
      <c r="N6" s="10" t="str">
        <f ca="1">IFERROR(__xludf.dummyfunction("""COMPUTED_VALUE"""),"CONTRATADO")</f>
        <v>CONTRATADO</v>
      </c>
      <c r="O6" s="9" t="str">
        <f ca="1">IFERROR(__xludf.dummyfunction("""COMPUTED_VALUE"""),"16/11 - 10:53")</f>
        <v>16/11 - 10:53</v>
      </c>
      <c r="P6" s="9"/>
      <c r="Q6" s="9"/>
      <c r="R6" s="9"/>
    </row>
    <row r="7" spans="1:18">
      <c r="A7" s="10">
        <f ca="1">IFERROR(__xludf.dummyfunction("QUERY('ÁGUAS LINDAS'!A5:A17)"),1)</f>
        <v>1</v>
      </c>
      <c r="B7" s="9" t="str">
        <f ca="1">IFERROR(__xludf.dummyfunction("QUERY('ÁGUAS LINDAS'!B5:B17)"),"DANRLEY PIRES VICTOR")</f>
        <v>DANRLEY PIRES VICTOR</v>
      </c>
      <c r="C7" s="9" t="str">
        <f ca="1">IFERROR(__xludf.dummyfunction("QUERY('ÁGUAS LINDAS'!C5:C17)"),"20162764809")</f>
        <v>20162764809</v>
      </c>
      <c r="D7" s="9" t="str">
        <f ca="1">IFERROR(__xludf.dummyfunction("QUERY('ÁGUAS LINDAS'!D5:D17)"),"05172363386")</f>
        <v>05172363386</v>
      </c>
      <c r="E7" s="9" t="str">
        <f ca="1">IFERROR(__xludf.dummyfunction("QUERY('ÁGUAS LINDAS'!E5:E17)"),"PIRESDANRLEY3@GMAIL.COM")</f>
        <v>PIRESDANRLEY3@GMAIL.COM</v>
      </c>
      <c r="F7" s="9" t="str">
        <f ca="1">IFERROR(__xludf.dummyfunction("QUERY('ÁGUAS LINDAS'!F5:F17)"),"")</f>
        <v/>
      </c>
      <c r="G7" s="9" t="str">
        <f ca="1">IFERROR(__xludf.dummyfunction("QUERY('ÁGUAS LINDAS'!G5:G17)"),"(61) 983002074")</f>
        <v>(61) 983002074</v>
      </c>
      <c r="H7" s="9" t="str">
        <f ca="1">IFERROR(__xludf.dummyfunction("QUERY('ÁGUAS LINDAS'!H5:H17)"),"SUPERIOR")</f>
        <v>SUPERIOR</v>
      </c>
      <c r="I7" s="10" t="str">
        <f ca="1">IFERROR(__xludf.dummyfunction("QUERY('ÁGUAS LINDAS'!I5:I17)"),"DIREITO")</f>
        <v>DIREITO</v>
      </c>
      <c r="J7" s="10" t="str">
        <f ca="1">IFERROR(__xludf.dummyfunction("QUERY('ÁGUAS LINDAS'!J5:J17)"),"NOITE")</f>
        <v>NOITE</v>
      </c>
      <c r="K7" s="10" t="str">
        <f ca="1">IFERROR(__xludf.dummyfunction("QUERY('ÁGUAS LINDAS'!K5:K17)"),"TARDE")</f>
        <v>TARDE</v>
      </c>
      <c r="L7" s="10" t="str">
        <f ca="1">IFERROR(__xludf.dummyfunction("QUERY('ÁGUAS LINDAS'!L5:L17)"),"ÁGUAS LINDAS - GO")</f>
        <v>ÁGUAS LINDAS - GO</v>
      </c>
      <c r="M7" s="10">
        <f ca="1">IFERROR(__xludf.dummyfunction("QUERY('ÁGUAS LINDAS'!M5:M17)"),6)</f>
        <v>6</v>
      </c>
      <c r="N7" s="10" t="str">
        <f ca="1">IFERROR(__xludf.dummyfunction("QUERY('ÁGUAS LINDAS'!N5:N17)"),"DISPONÍVEL")</f>
        <v>DISPONÍVEL</v>
      </c>
      <c r="O7" s="9" t="str">
        <f ca="1">IFERROR(__xludf.dummyfunction("QUERY('ÁGUAS LINDAS'!O5:O17)"),"")</f>
        <v/>
      </c>
      <c r="P7" s="9" t="str">
        <f ca="1">IFERROR(__xludf.dummyfunction("QUERY('ÁGUAS LINDAS'!P5:P17)"),"")</f>
        <v/>
      </c>
      <c r="Q7" s="9" t="str">
        <f ca="1">IFERROR(__xludf.dummyfunction("QUERY('ÁGUAS LINDAS'!Q5:Q17)"),"")</f>
        <v/>
      </c>
      <c r="R7" s="9" t="str">
        <f ca="1">IFERROR(__xludf.dummyfunction("QUERY('ÁGUAS LINDAS'!R5:R17)"),"")</f>
        <v/>
      </c>
    </row>
    <row r="8" spans="1:18">
      <c r="A8" s="10">
        <f ca="1">IFERROR(__xludf.dummyfunction("""COMPUTED_VALUE"""),2)</f>
        <v>2</v>
      </c>
      <c r="B8" s="11" t="str">
        <f ca="1">IFERROR(__xludf.dummyfunction("""COMPUTED_VALUE"""),"LINDSEY MARA DE AZEVEDO GOMES")</f>
        <v>LINDSEY MARA DE AZEVEDO GOMES</v>
      </c>
      <c r="C8" s="11" t="str">
        <f ca="1">IFERROR(__xludf.dummyfunction("""COMPUTED_VALUE"""),"6939963")</f>
        <v>6939963</v>
      </c>
      <c r="D8" s="11" t="str">
        <f ca="1">IFERROR(__xludf.dummyfunction("""COMPUTED_VALUE"""),"70967632102")</f>
        <v>70967632102</v>
      </c>
      <c r="E8" s="11" t="str">
        <f ca="1">IFERROR(__xludf.dummyfunction("""COMPUTED_VALUE"""),"LINDSEYMARA53@GMAIL.COM")</f>
        <v>LINDSEYMARA53@GMAIL.COM</v>
      </c>
      <c r="F8" s="11" t="str">
        <f ca="1">IFERROR(__xludf.dummyfunction("""COMPUTED_VALUE"""),"(61) 93995705")</f>
        <v>(61) 93995705</v>
      </c>
      <c r="G8" s="11" t="str">
        <f ca="1">IFERROR(__xludf.dummyfunction("""COMPUTED_VALUE"""),"(61) 993624813")</f>
        <v>(61) 993624813</v>
      </c>
      <c r="H8" s="11" t="str">
        <f ca="1">IFERROR(__xludf.dummyfunction("""COMPUTED_VALUE"""),"SUPERIOR")</f>
        <v>SUPERIOR</v>
      </c>
      <c r="I8" s="10" t="str">
        <f ca="1">IFERROR(__xludf.dummyfunction("""COMPUTED_VALUE"""),"DIREITO")</f>
        <v>DIREITO</v>
      </c>
      <c r="J8" s="10" t="str">
        <f ca="1">IFERROR(__xludf.dummyfunction("""COMPUTED_VALUE"""),"MANHÃ")</f>
        <v>MANHÃ</v>
      </c>
      <c r="K8" s="10" t="str">
        <f ca="1">IFERROR(__xludf.dummyfunction("""COMPUTED_VALUE"""),"TARDE")</f>
        <v>TARDE</v>
      </c>
      <c r="L8" s="10" t="str">
        <f ca="1">IFERROR(__xludf.dummyfunction("""COMPUTED_VALUE"""),"ÁGUAS LINDAS - GO")</f>
        <v>ÁGUAS LINDAS - GO</v>
      </c>
      <c r="M8" s="10">
        <f ca="1">IFERROR(__xludf.dummyfunction("""COMPUTED_VALUE"""),5)</f>
        <v>5</v>
      </c>
      <c r="N8" s="10" t="str">
        <f ca="1">IFERROR(__xludf.dummyfunction("""COMPUTED_VALUE"""),"DISPONÍVEL")</f>
        <v>DISPONÍVEL</v>
      </c>
      <c r="O8" s="11"/>
      <c r="P8" s="11"/>
      <c r="Q8" s="11"/>
      <c r="R8" s="11"/>
    </row>
    <row r="9" spans="1:18">
      <c r="A9" s="10">
        <f ca="1">IFERROR(__xludf.dummyfunction("""COMPUTED_VALUE"""),3)</f>
        <v>3</v>
      </c>
      <c r="B9" s="11" t="str">
        <f ca="1">IFERROR(__xludf.dummyfunction("""COMPUTED_VALUE"""),"MARIA BEATRIZ GOMES DE OLIVEIRA")</f>
        <v>MARIA BEATRIZ GOMES DE OLIVEIRA</v>
      </c>
      <c r="C9" s="11" t="str">
        <f ca="1">IFERROR(__xludf.dummyfunction("""COMPUTED_VALUE"""),"3436434")</f>
        <v>3436434</v>
      </c>
      <c r="D9" s="11" t="str">
        <f ca="1">IFERROR(__xludf.dummyfunction("""COMPUTED_VALUE"""),"04679274131")</f>
        <v>04679274131</v>
      </c>
      <c r="E9" s="11" t="str">
        <f ca="1">IFERROR(__xludf.dummyfunction("""COMPUTED_VALUE"""),"BYAHLINDJA@GMAIL.COM")</f>
        <v>BYAHLINDJA@GMAIL.COM</v>
      </c>
      <c r="F9" s="11" t="str">
        <f ca="1">IFERROR(__xludf.dummyfunction("""COMPUTED_VALUE"""),"(61) 36139758")</f>
        <v>(61) 36139758</v>
      </c>
      <c r="G9" s="11" t="str">
        <f ca="1">IFERROR(__xludf.dummyfunction("""COMPUTED_VALUE"""),"(61) 995297241")</f>
        <v>(61) 995297241</v>
      </c>
      <c r="H9" s="11" t="str">
        <f ca="1">IFERROR(__xludf.dummyfunction("""COMPUTED_VALUE"""),"SUPERIOR")</f>
        <v>SUPERIOR</v>
      </c>
      <c r="I9" s="10" t="str">
        <f ca="1">IFERROR(__xludf.dummyfunction("""COMPUTED_VALUE"""),"DIREITO")</f>
        <v>DIREITO</v>
      </c>
      <c r="J9" s="10" t="str">
        <f ca="1">IFERROR(__xludf.dummyfunction("""COMPUTED_VALUE"""),"NOITE")</f>
        <v>NOITE</v>
      </c>
      <c r="K9" s="10" t="str">
        <f ca="1">IFERROR(__xludf.dummyfunction("""COMPUTED_VALUE"""),"TARDE")</f>
        <v>TARDE</v>
      </c>
      <c r="L9" s="10" t="str">
        <f ca="1">IFERROR(__xludf.dummyfunction("""COMPUTED_VALUE"""),"ÁGUAS LINDAS - GO")</f>
        <v>ÁGUAS LINDAS - GO</v>
      </c>
      <c r="M9" s="10">
        <f ca="1">IFERROR(__xludf.dummyfunction("""COMPUTED_VALUE"""),9)</f>
        <v>9</v>
      </c>
      <c r="N9" s="10" t="str">
        <f ca="1">IFERROR(__xludf.dummyfunction("""COMPUTED_VALUE"""),"DISPONÍVEL")</f>
        <v>DISPONÍVEL</v>
      </c>
      <c r="O9" s="11"/>
      <c r="P9" s="11"/>
      <c r="Q9" s="11"/>
      <c r="R9" s="11"/>
    </row>
    <row r="10" spans="1:18">
      <c r="A10" s="10">
        <f ca="1">IFERROR(__xludf.dummyfunction("""COMPUTED_VALUE"""),4)</f>
        <v>4</v>
      </c>
      <c r="B10" s="11" t="str">
        <f ca="1">IFERROR(__xludf.dummyfunction("""COMPUTED_VALUE"""),"EMANUELLY LOUISE JACINTO DE QUEIROGA")</f>
        <v>EMANUELLY LOUISE JACINTO DE QUEIROGA</v>
      </c>
      <c r="C10" s="11" t="str">
        <f ca="1">IFERROR(__xludf.dummyfunction("""COMPUTED_VALUE"""),"3915617")</f>
        <v>3915617</v>
      </c>
      <c r="D10" s="11" t="str">
        <f ca="1">IFERROR(__xludf.dummyfunction("""COMPUTED_VALUE"""),"08104587137")</f>
        <v>08104587137</v>
      </c>
      <c r="E10" s="11" t="str">
        <f ca="1">IFERROR(__xludf.dummyfunction("""COMPUTED_VALUE"""),"EMANUELLYLOUISE02@ICLOUD.COM")</f>
        <v>EMANUELLYLOUISE02@ICLOUD.COM</v>
      </c>
      <c r="F10" s="11"/>
      <c r="G10" s="11" t="str">
        <f ca="1">IFERROR(__xludf.dummyfunction("""COMPUTED_VALUE"""),"(61) 991371154")</f>
        <v>(61) 991371154</v>
      </c>
      <c r="H10" s="11" t="str">
        <f ca="1">IFERROR(__xludf.dummyfunction("""COMPUTED_VALUE"""),"SUPERIOR")</f>
        <v>SUPERIOR</v>
      </c>
      <c r="I10" s="10" t="str">
        <f ca="1">IFERROR(__xludf.dummyfunction("""COMPUTED_VALUE"""),"DIREITO")</f>
        <v>DIREITO</v>
      </c>
      <c r="J10" s="10" t="str">
        <f ca="1">IFERROR(__xludf.dummyfunction("""COMPUTED_VALUE"""),"MANHÃ")</f>
        <v>MANHÃ</v>
      </c>
      <c r="K10" s="10" t="str">
        <f ca="1">IFERROR(__xludf.dummyfunction("""COMPUTED_VALUE"""),"TARDE")</f>
        <v>TARDE</v>
      </c>
      <c r="L10" s="10" t="str">
        <f ca="1">IFERROR(__xludf.dummyfunction("""COMPUTED_VALUE"""),"ÁGUAS LINDAS - GO")</f>
        <v>ÁGUAS LINDAS - GO</v>
      </c>
      <c r="M10" s="10">
        <f ca="1">IFERROR(__xludf.dummyfunction("""COMPUTED_VALUE"""),6)</f>
        <v>6</v>
      </c>
      <c r="N10" s="10" t="str">
        <f ca="1">IFERROR(__xludf.dummyfunction("""COMPUTED_VALUE"""),"DISPONÍVEL")</f>
        <v>DISPONÍVEL</v>
      </c>
      <c r="O10" s="11"/>
      <c r="P10" s="11"/>
      <c r="Q10" s="11"/>
      <c r="R10" s="11"/>
    </row>
    <row r="11" spans="1:18">
      <c r="A11" s="10">
        <f ca="1">IFERROR(__xludf.dummyfunction("""COMPUTED_VALUE"""),5)</f>
        <v>5</v>
      </c>
      <c r="B11" s="11" t="str">
        <f ca="1">IFERROR(__xludf.dummyfunction("""COMPUTED_VALUE"""),"GESSICA VIEIRA DA SILVA")</f>
        <v>GESSICA VIEIRA DA SILVA</v>
      </c>
      <c r="C11" s="11"/>
      <c r="D11" s="11" t="str">
        <f ca="1">IFERROR(__xludf.dummyfunction("""COMPUTED_VALUE"""),"00973870290")</f>
        <v>00973870290</v>
      </c>
      <c r="E11" s="11" t="str">
        <f ca="1">IFERROR(__xludf.dummyfunction("""COMPUTED_VALUE"""),"GESSICASILVA453@GMAIL.COM")</f>
        <v>GESSICASILVA453@GMAIL.COM</v>
      </c>
      <c r="F11" s="11"/>
      <c r="G11" s="11" t="str">
        <f ca="1">IFERROR(__xludf.dummyfunction("""COMPUTED_VALUE"""),"(61) 981566106")</f>
        <v>(61) 981566106</v>
      </c>
      <c r="H11" s="11" t="str">
        <f ca="1">IFERROR(__xludf.dummyfunction("""COMPUTED_VALUE"""),"SUPERIOR")</f>
        <v>SUPERIOR</v>
      </c>
      <c r="I11" s="10" t="str">
        <f ca="1">IFERROR(__xludf.dummyfunction("""COMPUTED_VALUE"""),"DIREITO")</f>
        <v>DIREITO</v>
      </c>
      <c r="J11" s="10" t="str">
        <f ca="1">IFERROR(__xludf.dummyfunction("""COMPUTED_VALUE"""),"NOITE")</f>
        <v>NOITE</v>
      </c>
      <c r="K11" s="10" t="str">
        <f ca="1">IFERROR(__xludf.dummyfunction("""COMPUTED_VALUE"""),"TARDE")</f>
        <v>TARDE</v>
      </c>
      <c r="L11" s="10" t="str">
        <f ca="1">IFERROR(__xludf.dummyfunction("""COMPUTED_VALUE"""),"ÁGUAS LINDAS - GO")</f>
        <v>ÁGUAS LINDAS - GO</v>
      </c>
      <c r="M11" s="10">
        <f ca="1">IFERROR(__xludf.dummyfunction("""COMPUTED_VALUE"""),6)</f>
        <v>6</v>
      </c>
      <c r="N11" s="10" t="str">
        <f ca="1">IFERROR(__xludf.dummyfunction("""COMPUTED_VALUE"""),"DISPONÍVEL")</f>
        <v>DISPONÍVEL</v>
      </c>
      <c r="O11" s="11"/>
      <c r="P11" s="11"/>
      <c r="Q11" s="11"/>
      <c r="R11" s="11"/>
    </row>
    <row r="12" spans="1:18">
      <c r="A12" s="10">
        <f ca="1">IFERROR(__xludf.dummyfunction("""COMPUTED_VALUE"""),6)</f>
        <v>6</v>
      </c>
      <c r="B12" s="11" t="str">
        <f ca="1">IFERROR(__xludf.dummyfunction("""COMPUTED_VALUE"""),"NICOLE BASTOS DOS SANTOS")</f>
        <v>NICOLE BASTOS DOS SANTOS</v>
      </c>
      <c r="C12" s="11" t="str">
        <f ca="1">IFERROR(__xludf.dummyfunction("""COMPUTED_VALUE"""),"6741626")</f>
        <v>6741626</v>
      </c>
      <c r="D12" s="11" t="str">
        <f ca="1">IFERROR(__xludf.dummyfunction("""COMPUTED_VALUE"""),"03965153200")</f>
        <v>03965153200</v>
      </c>
      <c r="E12" s="11" t="str">
        <f ca="1">IFERROR(__xludf.dummyfunction("""COMPUTED_VALUE"""),"NICOLE.BASTOS.2001@GMAIL.COM")</f>
        <v>NICOLE.BASTOS.2001@GMAIL.COM</v>
      </c>
      <c r="F12" s="11" t="str">
        <f ca="1">IFERROR(__xludf.dummyfunction("""COMPUTED_VALUE"""),"(93) 99049810")</f>
        <v>(93) 99049810</v>
      </c>
      <c r="G12" s="11" t="str">
        <f ca="1">IFERROR(__xludf.dummyfunction("""COMPUTED_VALUE"""),"(93) 996511606")</f>
        <v>(93) 996511606</v>
      </c>
      <c r="H12" s="11" t="str">
        <f ca="1">IFERROR(__xludf.dummyfunction("""COMPUTED_VALUE"""),"SUPERIOR")</f>
        <v>SUPERIOR</v>
      </c>
      <c r="I12" s="10" t="str">
        <f ca="1">IFERROR(__xludf.dummyfunction("""COMPUTED_VALUE"""),"DIREITO")</f>
        <v>DIREITO</v>
      </c>
      <c r="J12" s="10" t="str">
        <f ca="1">IFERROR(__xludf.dummyfunction("""COMPUTED_VALUE"""),"NOITE")</f>
        <v>NOITE</v>
      </c>
      <c r="K12" s="10" t="str">
        <f ca="1">IFERROR(__xludf.dummyfunction("""COMPUTED_VALUE"""),"TARDE")</f>
        <v>TARDE</v>
      </c>
      <c r="L12" s="10" t="str">
        <f ca="1">IFERROR(__xludf.dummyfunction("""COMPUTED_VALUE"""),"ÁGUAS LINDAS - GO")</f>
        <v>ÁGUAS LINDAS - GO</v>
      </c>
      <c r="M12" s="10">
        <f ca="1">IFERROR(__xludf.dummyfunction("""COMPUTED_VALUE"""),5)</f>
        <v>5</v>
      </c>
      <c r="N12" s="10" t="str">
        <f ca="1">IFERROR(__xludf.dummyfunction("""COMPUTED_VALUE"""),"DISPONÍVEL")</f>
        <v>DISPONÍVEL</v>
      </c>
      <c r="O12" s="11"/>
      <c r="P12" s="11"/>
      <c r="Q12" s="11"/>
      <c r="R12" s="11"/>
    </row>
    <row r="13" spans="1:18">
      <c r="A13" s="10">
        <f ca="1">IFERROR(__xludf.dummyfunction("""COMPUTED_VALUE"""),7)</f>
        <v>7</v>
      </c>
      <c r="B13" s="11" t="str">
        <f ca="1">IFERROR(__xludf.dummyfunction("""COMPUTED_VALUE"""),"DÉBORA CAROLINE FERNANDES REBOUÇOS")</f>
        <v>DÉBORA CAROLINE FERNANDES REBOUÇOS</v>
      </c>
      <c r="C13" s="11" t="str">
        <f ca="1">IFERROR(__xludf.dummyfunction("""COMPUTED_VALUE"""),"6108974")</f>
        <v>6108974</v>
      </c>
      <c r="D13" s="11" t="str">
        <f ca="1">IFERROR(__xludf.dummyfunction("""COMPUTED_VALUE"""),"70191881171")</f>
        <v>70191881171</v>
      </c>
      <c r="E13" s="11" t="str">
        <f ca="1">IFERROR(__xludf.dummyfunction("""COMPUTED_VALUE"""),"ABELHAREBOUCAS.123@GMAIL.COM")</f>
        <v>ABELHAREBOUCAS.123@GMAIL.COM</v>
      </c>
      <c r="F13" s="11"/>
      <c r="G13" s="11" t="str">
        <f ca="1">IFERROR(__xludf.dummyfunction("""COMPUTED_VALUE"""),"(61) 993289909")</f>
        <v>(61) 993289909</v>
      </c>
      <c r="H13" s="11" t="str">
        <f ca="1">IFERROR(__xludf.dummyfunction("""COMPUTED_VALUE"""),"SUPERIOR")</f>
        <v>SUPERIOR</v>
      </c>
      <c r="I13" s="10" t="str">
        <f ca="1">IFERROR(__xludf.dummyfunction("""COMPUTED_VALUE"""),"DIREITO")</f>
        <v>DIREITO</v>
      </c>
      <c r="J13" s="10" t="str">
        <f ca="1">IFERROR(__xludf.dummyfunction("""COMPUTED_VALUE"""),"NOITE")</f>
        <v>NOITE</v>
      </c>
      <c r="K13" s="10" t="str">
        <f ca="1">IFERROR(__xludf.dummyfunction("""COMPUTED_VALUE"""),"TARDE")</f>
        <v>TARDE</v>
      </c>
      <c r="L13" s="10" t="str">
        <f ca="1">IFERROR(__xludf.dummyfunction("""COMPUTED_VALUE"""),"ÁGUAS LINDAS - GO")</f>
        <v>ÁGUAS LINDAS - GO</v>
      </c>
      <c r="M13" s="10">
        <f ca="1">IFERROR(__xludf.dummyfunction("""COMPUTED_VALUE"""),5)</f>
        <v>5</v>
      </c>
      <c r="N13" s="10" t="str">
        <f ca="1">IFERROR(__xludf.dummyfunction("""COMPUTED_VALUE"""),"DISPONÍVEL")</f>
        <v>DISPONÍVEL</v>
      </c>
      <c r="O13" s="11"/>
      <c r="P13" s="11"/>
      <c r="Q13" s="11"/>
      <c r="R13" s="11"/>
    </row>
    <row r="14" spans="1:18">
      <c r="A14" s="10">
        <f ca="1">IFERROR(__xludf.dummyfunction("""COMPUTED_VALUE"""),8)</f>
        <v>8</v>
      </c>
      <c r="B14" s="11" t="str">
        <f ca="1">IFERROR(__xludf.dummyfunction("""COMPUTED_VALUE"""),"CLÁUDIO PEREIRA DO NASCIMENTO")</f>
        <v>CLÁUDIO PEREIRA DO NASCIMENTO</v>
      </c>
      <c r="C14" s="11"/>
      <c r="D14" s="11" t="str">
        <f ca="1">IFERROR(__xludf.dummyfunction("""COMPUTED_VALUE"""),"72307692134")</f>
        <v>72307692134</v>
      </c>
      <c r="E14" s="11" t="str">
        <f ca="1">IFERROR(__xludf.dummyfunction("""COMPUTED_VALUE"""),"CLAUDIOPEREIRATUDOBEM@GMAIL.COM")</f>
        <v>CLAUDIOPEREIRATUDOBEM@GMAIL.COM</v>
      </c>
      <c r="F14" s="11" t="str">
        <f ca="1">IFERROR(__xludf.dummyfunction("""COMPUTED_VALUE"""),"(61) 99668883")</f>
        <v>(61) 99668883</v>
      </c>
      <c r="G14" s="11" t="str">
        <f ca="1">IFERROR(__xludf.dummyfunction("""COMPUTED_VALUE"""),"(61) 992795320")</f>
        <v>(61) 992795320</v>
      </c>
      <c r="H14" s="11" t="str">
        <f ca="1">IFERROR(__xludf.dummyfunction("""COMPUTED_VALUE"""),"SUPERIOR")</f>
        <v>SUPERIOR</v>
      </c>
      <c r="I14" s="10" t="str">
        <f ca="1">IFERROR(__xludf.dummyfunction("""COMPUTED_VALUE"""),"DIREITO")</f>
        <v>DIREITO</v>
      </c>
      <c r="J14" s="10" t="str">
        <f ca="1">IFERROR(__xludf.dummyfunction("""COMPUTED_VALUE"""),"NOITE")</f>
        <v>NOITE</v>
      </c>
      <c r="K14" s="10" t="str">
        <f ca="1">IFERROR(__xludf.dummyfunction("""COMPUTED_VALUE"""),"TARDE")</f>
        <v>TARDE</v>
      </c>
      <c r="L14" s="10" t="str">
        <f ca="1">IFERROR(__xludf.dummyfunction("""COMPUTED_VALUE"""),"ÁGUAS LINDAS - GO")</f>
        <v>ÁGUAS LINDAS - GO</v>
      </c>
      <c r="M14" s="10">
        <f ca="1">IFERROR(__xludf.dummyfunction("""COMPUTED_VALUE"""),8)</f>
        <v>8</v>
      </c>
      <c r="N14" s="10" t="str">
        <f ca="1">IFERROR(__xludf.dummyfunction("""COMPUTED_VALUE"""),"DISPONÍVEL")</f>
        <v>DISPONÍVEL</v>
      </c>
      <c r="O14" s="11"/>
      <c r="P14" s="11"/>
      <c r="Q14" s="11"/>
      <c r="R14" s="11"/>
    </row>
    <row r="15" spans="1:18">
      <c r="A15" s="10">
        <f ca="1">IFERROR(__xludf.dummyfunction("""COMPUTED_VALUE"""),9)</f>
        <v>9</v>
      </c>
      <c r="B15" s="11" t="str">
        <f ca="1">IFERROR(__xludf.dummyfunction("""COMPUTED_VALUE"""),"FRANCILENE PEREIRA DOS SANTOS")</f>
        <v>FRANCILENE PEREIRA DOS SANTOS</v>
      </c>
      <c r="C15" s="11" t="str">
        <f ca="1">IFERROR(__xludf.dummyfunction("""COMPUTED_VALUE"""),"3326916")</f>
        <v>3326916</v>
      </c>
      <c r="D15" s="11" t="str">
        <f ca="1">IFERROR(__xludf.dummyfunction("""COMPUTED_VALUE"""),"05674385114")</f>
        <v>05674385114</v>
      </c>
      <c r="E15" s="11" t="str">
        <f ca="1">IFERROR(__xludf.dummyfunction("""COMPUTED_VALUE"""),"FRANCILENE1999IFG@GMAIL.COM")</f>
        <v>FRANCILENE1999IFG@GMAIL.COM</v>
      </c>
      <c r="F15" s="11"/>
      <c r="G15" s="11" t="str">
        <f ca="1">IFERROR(__xludf.dummyfunction("""COMPUTED_VALUE"""),"(61) 981616029")</f>
        <v>(61) 981616029</v>
      </c>
      <c r="H15" s="11" t="str">
        <f ca="1">IFERROR(__xludf.dummyfunction("""COMPUTED_VALUE"""),"SUPERIOR")</f>
        <v>SUPERIOR</v>
      </c>
      <c r="I15" s="10" t="str">
        <f ca="1">IFERROR(__xludf.dummyfunction("""COMPUTED_VALUE"""),"DIREITO")</f>
        <v>DIREITO</v>
      </c>
      <c r="J15" s="10" t="str">
        <f ca="1">IFERROR(__xludf.dummyfunction("""COMPUTED_VALUE"""),"NOITE")</f>
        <v>NOITE</v>
      </c>
      <c r="K15" s="10" t="str">
        <f ca="1">IFERROR(__xludf.dummyfunction("""COMPUTED_VALUE"""),"TARDE")</f>
        <v>TARDE</v>
      </c>
      <c r="L15" s="10" t="str">
        <f ca="1">IFERROR(__xludf.dummyfunction("""COMPUTED_VALUE"""),"ÁGUAS LINDAS - GO")</f>
        <v>ÁGUAS LINDAS - GO</v>
      </c>
      <c r="M15" s="10">
        <f ca="1">IFERROR(__xludf.dummyfunction("""COMPUTED_VALUE"""),9)</f>
        <v>9</v>
      </c>
      <c r="N15" s="10" t="str">
        <f ca="1">IFERROR(__xludf.dummyfunction("""COMPUTED_VALUE"""),"DISPONÍVEL")</f>
        <v>DISPONÍVEL</v>
      </c>
      <c r="O15" s="11"/>
      <c r="P15" s="11"/>
      <c r="Q15" s="11"/>
      <c r="R15" s="11"/>
    </row>
    <row r="16" spans="1:18">
      <c r="A16" s="10">
        <f ca="1">IFERROR(__xludf.dummyfunction("""COMPUTED_VALUE"""),1)</f>
        <v>1</v>
      </c>
      <c r="B16" s="11" t="str">
        <f ca="1">IFERROR(__xludf.dummyfunction("""COMPUTED_VALUE"""),"RYAN SOUZA")</f>
        <v>RYAN SOUZA</v>
      </c>
      <c r="C16" s="11" t="str">
        <f ca="1">IFERROR(__xludf.dummyfunction("""COMPUTED_VALUE"""),"6561313")</f>
        <v>6561313</v>
      </c>
      <c r="D16" s="11" t="str">
        <f ca="1">IFERROR(__xludf.dummyfunction("""COMPUTED_VALUE"""),"70618610103")</f>
        <v>70618610103</v>
      </c>
      <c r="E16" s="11" t="str">
        <f ca="1">IFERROR(__xludf.dummyfunction("""COMPUTED_VALUE"""),"RYANROCHA021@GMAIL.COM")</f>
        <v>RYANROCHA021@GMAIL.COM</v>
      </c>
      <c r="F16" s="11"/>
      <c r="G16" s="11" t="str">
        <f ca="1">IFERROR(__xludf.dummyfunction("""COMPUTED_VALUE"""),"(61) 995801188")</f>
        <v>(61) 995801188</v>
      </c>
      <c r="H16" s="11" t="str">
        <f ca="1">IFERROR(__xludf.dummyfunction("""COMPUTED_VALUE"""),"SUPERIOR")</f>
        <v>SUPERIOR</v>
      </c>
      <c r="I16" s="10" t="str">
        <f ca="1">IFERROR(__xludf.dummyfunction("""COMPUTED_VALUE"""),"PSICOLOGIA")</f>
        <v>PSICOLOGIA</v>
      </c>
      <c r="J16" s="10" t="str">
        <f ca="1">IFERROR(__xludf.dummyfunction("""COMPUTED_VALUE"""),"NOITE")</f>
        <v>NOITE</v>
      </c>
      <c r="K16" s="10" t="str">
        <f ca="1">IFERROR(__xludf.dummyfunction("""COMPUTED_VALUE"""),"TARDE")</f>
        <v>TARDE</v>
      </c>
      <c r="L16" s="10" t="str">
        <f ca="1">IFERROR(__xludf.dummyfunction("""COMPUTED_VALUE"""),"ÁGUAS LINDAS - GO")</f>
        <v>ÁGUAS LINDAS - GO</v>
      </c>
      <c r="M16" s="10">
        <f ca="1">IFERROR(__xludf.dummyfunction("""COMPUTED_VALUE"""),6)</f>
        <v>6</v>
      </c>
      <c r="N16" s="10" t="str">
        <f ca="1">IFERROR(__xludf.dummyfunction("""COMPUTED_VALUE"""),"DISPONÍVEL")</f>
        <v>DISPONÍVEL</v>
      </c>
      <c r="O16" s="11"/>
      <c r="P16" s="11"/>
      <c r="Q16" s="11"/>
      <c r="R16" s="11"/>
    </row>
    <row r="17" spans="1:18">
      <c r="A17" s="10">
        <f ca="1">IFERROR(__xludf.dummyfunction("""COMPUTED_VALUE"""),2)</f>
        <v>2</v>
      </c>
      <c r="B17" s="11" t="str">
        <f ca="1">IFERROR(__xludf.dummyfunction("""COMPUTED_VALUE"""),"EULA PAULA DA SILVA")</f>
        <v>EULA PAULA DA SILVA</v>
      </c>
      <c r="C17" s="11"/>
      <c r="D17" s="11" t="str">
        <f ca="1">IFERROR(__xludf.dummyfunction("""COMPUTED_VALUE"""),"07741132431")</f>
        <v>07741132431</v>
      </c>
      <c r="E17" s="11" t="str">
        <f ca="1">IFERROR(__xludf.dummyfunction("""COMPUTED_VALUE"""),"EULAPAULADASILVA88@GMAIL.COM")</f>
        <v>EULAPAULADASILVA88@GMAIL.COM</v>
      </c>
      <c r="F17" s="11"/>
      <c r="G17" s="11" t="str">
        <f ca="1">IFERROR(__xludf.dummyfunction("""COMPUTED_VALUE"""),"(61) 992364964")</f>
        <v>(61) 992364964</v>
      </c>
      <c r="H17" s="11" t="str">
        <f ca="1">IFERROR(__xludf.dummyfunction("""COMPUTED_VALUE"""),"SUPERIOR")</f>
        <v>SUPERIOR</v>
      </c>
      <c r="I17" s="10" t="str">
        <f ca="1">IFERROR(__xludf.dummyfunction("""COMPUTED_VALUE"""),"PSICOLOGIA")</f>
        <v>PSICOLOGIA</v>
      </c>
      <c r="J17" s="10" t="str">
        <f ca="1">IFERROR(__xludf.dummyfunction("""COMPUTED_VALUE"""),"NOITE")</f>
        <v>NOITE</v>
      </c>
      <c r="K17" s="10" t="str">
        <f ca="1">IFERROR(__xludf.dummyfunction("""COMPUTED_VALUE"""),"TARDE")</f>
        <v>TARDE</v>
      </c>
      <c r="L17" s="10" t="str">
        <f ca="1">IFERROR(__xludf.dummyfunction("""COMPUTED_VALUE"""),"ÁGUAS LINDAS - GO")</f>
        <v>ÁGUAS LINDAS - GO</v>
      </c>
      <c r="M17" s="10">
        <f ca="1">IFERROR(__xludf.dummyfunction("""COMPUTED_VALUE"""),9)</f>
        <v>9</v>
      </c>
      <c r="N17" s="10" t="str">
        <f ca="1">IFERROR(__xludf.dummyfunction("""COMPUTED_VALUE"""),"DISPONÍVEL")</f>
        <v>DISPONÍVEL</v>
      </c>
      <c r="O17" s="11"/>
      <c r="P17" s="11"/>
      <c r="Q17" s="11"/>
      <c r="R17" s="11"/>
    </row>
    <row r="18" spans="1:18">
      <c r="A18" s="10">
        <f ca="1">IFERROR(__xludf.dummyfunction("""COMPUTED_VALUE"""),3)</f>
        <v>3</v>
      </c>
      <c r="B18" s="11" t="str">
        <f ca="1">IFERROR(__xludf.dummyfunction("""COMPUTED_VALUE"""),"BRENDA LORRAINE FIGUEREDO DE SOUZA")</f>
        <v>BRENDA LORRAINE FIGUEREDO DE SOUZA</v>
      </c>
      <c r="C18" s="11" t="str">
        <f ca="1">IFERROR(__xludf.dummyfunction("""COMPUTED_VALUE"""),"3577206")</f>
        <v>3577206</v>
      </c>
      <c r="D18" s="11" t="str">
        <f ca="1">IFERROR(__xludf.dummyfunction("""COMPUTED_VALUE"""),"70503723150")</f>
        <v>70503723150</v>
      </c>
      <c r="E18" s="11" t="str">
        <f ca="1">IFERROR(__xludf.dummyfunction("""COMPUTED_VALUE"""),"BRENDAH689@GMAIL.COM")</f>
        <v>BRENDAH689@GMAIL.COM</v>
      </c>
      <c r="F18" s="11"/>
      <c r="G18" s="11" t="str">
        <f ca="1">IFERROR(__xludf.dummyfunction("""COMPUTED_VALUE"""),"(61) 999636493")</f>
        <v>(61) 999636493</v>
      </c>
      <c r="H18" s="11" t="str">
        <f ca="1">IFERROR(__xludf.dummyfunction("""COMPUTED_VALUE"""),"SUPERIOR")</f>
        <v>SUPERIOR</v>
      </c>
      <c r="I18" s="10" t="str">
        <f ca="1">IFERROR(__xludf.dummyfunction("""COMPUTED_VALUE"""),"PSICOLOGIA")</f>
        <v>PSICOLOGIA</v>
      </c>
      <c r="J18" s="10" t="str">
        <f ca="1">IFERROR(__xludf.dummyfunction("""COMPUTED_VALUE"""),"MANHÃ")</f>
        <v>MANHÃ</v>
      </c>
      <c r="K18" s="10" t="str">
        <f ca="1">IFERROR(__xludf.dummyfunction("""COMPUTED_VALUE"""),"TARDE")</f>
        <v>TARDE</v>
      </c>
      <c r="L18" s="10" t="str">
        <f ca="1">IFERROR(__xludf.dummyfunction("""COMPUTED_VALUE"""),"ÁGUAS LINDAS - GO")</f>
        <v>ÁGUAS LINDAS - GO</v>
      </c>
      <c r="M18" s="10">
        <f ca="1">IFERROR(__xludf.dummyfunction("""COMPUTED_VALUE"""),8)</f>
        <v>8</v>
      </c>
      <c r="N18" s="10" t="str">
        <f ca="1">IFERROR(__xludf.dummyfunction("""COMPUTED_VALUE"""),"DISPONÍVEL")</f>
        <v>DISPONÍVEL</v>
      </c>
      <c r="O18" s="11"/>
      <c r="P18" s="11"/>
      <c r="Q18" s="11"/>
      <c r="R18" s="11"/>
    </row>
    <row r="19" spans="1:18">
      <c r="A19" s="10">
        <f ca="1">IFERROR(__xludf.dummyfunction("""COMPUTED_VALUE"""),4)</f>
        <v>4</v>
      </c>
      <c r="B19" s="11" t="str">
        <f ca="1">IFERROR(__xludf.dummyfunction("""COMPUTED_VALUE"""),"MICKAELLY RODRIGUES DOURADO")</f>
        <v>MICKAELLY RODRIGUES DOURADO</v>
      </c>
      <c r="C19" s="11" t="str">
        <f ca="1">IFERROR(__xludf.dummyfunction("""COMPUTED_VALUE"""),"7517607")</f>
        <v>7517607</v>
      </c>
      <c r="D19" s="11" t="str">
        <f ca="1">IFERROR(__xludf.dummyfunction("""COMPUTED_VALUE"""),"70580083101")</f>
        <v>70580083101</v>
      </c>
      <c r="E19" s="11" t="str">
        <f ca="1">IFERROR(__xludf.dummyfunction("""COMPUTED_VALUE"""),"MICKAELLYDOURADO7@GMAIL.COM")</f>
        <v>MICKAELLYDOURADO7@GMAIL.COM</v>
      </c>
      <c r="F19" s="11"/>
      <c r="G19" s="11" t="str">
        <f ca="1">IFERROR(__xludf.dummyfunction("""COMPUTED_VALUE"""),"(61) 981593674")</f>
        <v>(61) 981593674</v>
      </c>
      <c r="H19" s="11" t="str">
        <f ca="1">IFERROR(__xludf.dummyfunction("""COMPUTED_VALUE"""),"SUPERIOR")</f>
        <v>SUPERIOR</v>
      </c>
      <c r="I19" s="10" t="str">
        <f ca="1">IFERROR(__xludf.dummyfunction("""COMPUTED_VALUE"""),"PSICOLOGIA")</f>
        <v>PSICOLOGIA</v>
      </c>
      <c r="J19" s="10" t="str">
        <f ca="1">IFERROR(__xludf.dummyfunction("""COMPUTED_VALUE"""),"NOITE")</f>
        <v>NOITE</v>
      </c>
      <c r="K19" s="10" t="str">
        <f ca="1">IFERROR(__xludf.dummyfunction("""COMPUTED_VALUE"""),"TARDE")</f>
        <v>TARDE</v>
      </c>
      <c r="L19" s="10" t="str">
        <f ca="1">IFERROR(__xludf.dummyfunction("""COMPUTED_VALUE"""),"ÁGUAS LINDAS - GO")</f>
        <v>ÁGUAS LINDAS - GO</v>
      </c>
      <c r="M19" s="10">
        <f ca="1">IFERROR(__xludf.dummyfunction("""COMPUTED_VALUE"""),6)</f>
        <v>6</v>
      </c>
      <c r="N19" s="10" t="str">
        <f ca="1">IFERROR(__xludf.dummyfunction("""COMPUTED_VALUE"""),"DISPONÍVEL")</f>
        <v>DISPONÍVEL</v>
      </c>
      <c r="O19" s="11"/>
      <c r="P19" s="11"/>
      <c r="Q19" s="11"/>
      <c r="R19" s="11"/>
    </row>
    <row r="20" spans="1:18">
      <c r="A20" s="10">
        <f ca="1">IFERROR(__xludf.dummyfunction("QUERY('ALVORADA DO NORTE'!A5:A6)"),1)</f>
        <v>1</v>
      </c>
      <c r="B20" s="9" t="str">
        <f ca="1">IFERROR(__xludf.dummyfunction("QUERY('ALVORADA DO NORTE'!B5:B6)"),"HYELLEN MARCONDES SILVA LIMA")</f>
        <v>HYELLEN MARCONDES SILVA LIMA</v>
      </c>
      <c r="C20" s="9" t="str">
        <f ca="1">IFERROR(__xludf.dummyfunction("QUERY('ALVORADA DO NORTE'!C5:C6)"),"")</f>
        <v/>
      </c>
      <c r="D20" s="9" t="str">
        <f ca="1">IFERROR(__xludf.dummyfunction("QUERY('ALVORADA DO NORTE'!D5:D6)"),"04039240146")</f>
        <v>04039240146</v>
      </c>
      <c r="E20" s="9" t="str">
        <f ca="1">IFERROR(__xludf.dummyfunction("QUERY('ALVORADA DO NORTE'!E5:E6)"),"HYELLENSL@GMAIL.COM")</f>
        <v>HYELLENSL@GMAIL.COM</v>
      </c>
      <c r="F20" s="9" t="str">
        <f ca="1">IFERROR(__xludf.dummyfunction("QUERY('ALVORADA DO NORTE'!F5:F6)"),"")</f>
        <v/>
      </c>
      <c r="G20" s="9" t="str">
        <f ca="1">IFERROR(__xludf.dummyfunction("QUERY('ALVORADA DO NORTE'!G5:G6)"),"(62) 996457861")</f>
        <v>(62) 996457861</v>
      </c>
      <c r="H20" s="9" t="str">
        <f ca="1">IFERROR(__xludf.dummyfunction("QUERY('ALVORADA DO NORTE'!H5:H6)"),"SUPERIOR")</f>
        <v>SUPERIOR</v>
      </c>
      <c r="I20" s="10" t="str">
        <f ca="1">IFERROR(__xludf.dummyfunction("QUERY('ALVORADA DO NORTE'!I5:I6)"),"ADMINISTRAÇÃO")</f>
        <v>ADMINISTRAÇÃO</v>
      </c>
      <c r="J20" s="10" t="str">
        <f ca="1">IFERROR(__xludf.dummyfunction("QUERY('ALVORADA DO NORTE'!J5:J6)"),"NOITE")</f>
        <v>NOITE</v>
      </c>
      <c r="K20" s="10" t="str">
        <f ca="1">IFERROR(__xludf.dummyfunction("QUERY('ALVORADA DO NORTE'!K5:K6)"),"TARDE")</f>
        <v>TARDE</v>
      </c>
      <c r="L20" s="10" t="str">
        <f ca="1">IFERROR(__xludf.dummyfunction("QUERY('ALVORADA DO NORTE'!L5:L6)"),"ALVORADA DO NORTE - GO")</f>
        <v>ALVORADA DO NORTE - GO</v>
      </c>
      <c r="M20" s="10">
        <f ca="1">IFERROR(__xludf.dummyfunction("QUERY('ALVORADA DO NORTE'!M5:M6)"),6)</f>
        <v>6</v>
      </c>
      <c r="N20" s="10" t="str">
        <f ca="1">IFERROR(__xludf.dummyfunction("QUERY('ALVORADA DO NORTE'!N5:N6)"),"DISPONÍVEL")</f>
        <v>DISPONÍVEL</v>
      </c>
      <c r="O20" s="9" t="str">
        <f ca="1">IFERROR(__xludf.dummyfunction("QUERY('ALVORADA DO NORTE'!O5:O6)"),"")</f>
        <v/>
      </c>
      <c r="P20" s="9" t="str">
        <f ca="1">IFERROR(__xludf.dummyfunction("QUERY('ALVORADA DO NORTE'!P5:P6)"),"")</f>
        <v/>
      </c>
      <c r="Q20" s="9" t="str">
        <f ca="1">IFERROR(__xludf.dummyfunction("QUERY('ALVORADA DO NORTE'!Q5:Q6)"),"")</f>
        <v/>
      </c>
      <c r="R20" s="9" t="str">
        <f ca="1">IFERROR(__xludf.dummyfunction("QUERY('ALVORADA DO NORTE'!R5:R6)"),"")</f>
        <v/>
      </c>
    </row>
    <row r="21" spans="1:18">
      <c r="A21" s="10">
        <f ca="1">IFERROR(__xludf.dummyfunction("""COMPUTED_VALUE"""),1)</f>
        <v>1</v>
      </c>
      <c r="B21" s="11" t="str">
        <f ca="1">IFERROR(__xludf.dummyfunction("""COMPUTED_VALUE"""),"KAREN STHEFFANY FRANCA DE SOUSA")</f>
        <v>KAREN STHEFFANY FRANCA DE SOUSA</v>
      </c>
      <c r="C21" s="11"/>
      <c r="D21" s="11" t="str">
        <f ca="1">IFERROR(__xludf.dummyfunction("""COMPUTED_VALUE"""),"70481102108")</f>
        <v>70481102108</v>
      </c>
      <c r="E21" s="11" t="str">
        <f ca="1">IFERROR(__xludf.dummyfunction("""COMPUTED_VALUE"""),"KARENSTHENY@GMAIL.COM")</f>
        <v>KARENSTHENY@GMAIL.COM</v>
      </c>
      <c r="F21" s="11"/>
      <c r="G21" s="11" t="str">
        <f ca="1">IFERROR(__xludf.dummyfunction("""COMPUTED_VALUE"""),"(62) 996520886")</f>
        <v>(62) 996520886</v>
      </c>
      <c r="H21" s="11" t="str">
        <f ca="1">IFERROR(__xludf.dummyfunction("""COMPUTED_VALUE"""),"SUPERIOR")</f>
        <v>SUPERIOR</v>
      </c>
      <c r="I21" s="10" t="str">
        <f ca="1">IFERROR(__xludf.dummyfunction("""COMPUTED_VALUE"""),"DIREITO")</f>
        <v>DIREITO</v>
      </c>
      <c r="J21" s="10" t="str">
        <f ca="1">IFERROR(__xludf.dummyfunction("""COMPUTED_VALUE"""),"VARIÁVEL")</f>
        <v>VARIÁVEL</v>
      </c>
      <c r="K21" s="10" t="str">
        <f ca="1">IFERROR(__xludf.dummyfunction("""COMPUTED_VALUE"""),"TARDE")</f>
        <v>TARDE</v>
      </c>
      <c r="L21" s="10" t="str">
        <f ca="1">IFERROR(__xludf.dummyfunction("""COMPUTED_VALUE"""),"ALVORADA DO NORTE - GO")</f>
        <v>ALVORADA DO NORTE - GO</v>
      </c>
      <c r="M21" s="10">
        <f ca="1">IFERROR(__xludf.dummyfunction("""COMPUTED_VALUE"""),9)</f>
        <v>9</v>
      </c>
      <c r="N21" s="10" t="str">
        <f ca="1">IFERROR(__xludf.dummyfunction("""COMPUTED_VALUE"""),"CONTRATADO")</f>
        <v>CONTRATADO</v>
      </c>
      <c r="O21" s="11" t="str">
        <f ca="1">IFERROR(__xludf.dummyfunction("""COMPUTED_VALUE"""),"16/11 - 10:57")</f>
        <v>16/11 - 10:57</v>
      </c>
      <c r="P21" s="11"/>
      <c r="Q21" s="11"/>
      <c r="R21" s="11"/>
    </row>
    <row r="22" spans="1:18">
      <c r="A22" s="10">
        <f ca="1">IFERROR(__xludf.dummyfunction("QUERY('ANÁPOLIS'!A5:A50)"),1)</f>
        <v>1</v>
      </c>
      <c r="B22" s="9" t="str">
        <f ca="1">IFERROR(__xludf.dummyfunction("QUERY('ANÁPOLIS'!B5:B50)"),"ALEXANDRE ALVES DE MAGALHÃES")</f>
        <v>ALEXANDRE ALVES DE MAGALHÃES</v>
      </c>
      <c r="C22" s="9" t="str">
        <f ca="1">IFERROR(__xludf.dummyfunction("QUERY('ANÁPOLIS'!C5:C50)"),"")</f>
        <v/>
      </c>
      <c r="D22" s="9" t="str">
        <f ca="1">IFERROR(__xludf.dummyfunction("QUERY('ANÁPOLIS'!D5:D50)"),"07449524171")</f>
        <v>07449524171</v>
      </c>
      <c r="E22" s="9" t="str">
        <f ca="1">IFERROR(__xludf.dummyfunction("QUERY('ANÁPOLIS'!E5:E50)"),"AAMAGALHAES@DR.COM")</f>
        <v>AAMAGALHAES@DR.COM</v>
      </c>
      <c r="F22" s="9" t="str">
        <f ca="1">IFERROR(__xludf.dummyfunction("QUERY('ANÁPOLIS'!F5:F50)"),"")</f>
        <v/>
      </c>
      <c r="G22" s="9" t="str">
        <f ca="1">IFERROR(__xludf.dummyfunction("QUERY('ANÁPOLIS'!G5:G50)"),"(62) 986045365")</f>
        <v>(62) 986045365</v>
      </c>
      <c r="H22" s="9" t="str">
        <f ca="1">IFERROR(__xludf.dummyfunction("QUERY('ANÁPOLIS'!H5:H50)"),"SUPERIOR")</f>
        <v>SUPERIOR</v>
      </c>
      <c r="I22" s="10" t="str">
        <f ca="1">IFERROR(__xludf.dummyfunction("QUERY('ANÁPOLIS'!I5:I50)"),"ADMINISTRAÇÃO")</f>
        <v>ADMINISTRAÇÃO</v>
      </c>
      <c r="J22" s="10" t="str">
        <f ca="1">IFERROR(__xludf.dummyfunction("QUERY('ANÁPOLIS'!J5:J50)"),"NOITE")</f>
        <v>NOITE</v>
      </c>
      <c r="K22" s="10" t="str">
        <f ca="1">IFERROR(__xludf.dummyfunction("QUERY('ANÁPOLIS'!K5:K50)"),"TARDE")</f>
        <v>TARDE</v>
      </c>
      <c r="L22" s="10" t="str">
        <f ca="1">IFERROR(__xludf.dummyfunction("QUERY('ANÁPOLIS'!L5:L50)"),"ANÁPOLIS - GO")</f>
        <v>ANÁPOLIS - GO</v>
      </c>
      <c r="M22" s="10">
        <f ca="1">IFERROR(__xludf.dummyfunction("QUERY('ANÁPOLIS'!M5:M50)"),6)</f>
        <v>6</v>
      </c>
      <c r="N22" s="10" t="str">
        <f ca="1">IFERROR(__xludf.dummyfunction("QUERY('ANÁPOLIS'!N5:N50)"),"DISPONÍVEL")</f>
        <v>DISPONÍVEL</v>
      </c>
      <c r="O22" s="9" t="str">
        <f ca="1">IFERROR(__xludf.dummyfunction("QUERY('ANÁPOLIS'!O5:O50)"),"")</f>
        <v/>
      </c>
      <c r="P22" s="9" t="str">
        <f ca="1">IFERROR(__xludf.dummyfunction("QUERY('ANÁPOLIS'!P5:P50)"),"")</f>
        <v/>
      </c>
      <c r="Q22" s="9" t="str">
        <f ca="1">IFERROR(__xludf.dummyfunction("QUERY('ANÁPOLIS'!Q5:Q50)"),"")</f>
        <v/>
      </c>
      <c r="R22" s="9" t="str">
        <f ca="1">IFERROR(__xludf.dummyfunction("QUERY('ANÁPOLIS'!R5:R50)"),"")</f>
        <v/>
      </c>
    </row>
    <row r="23" spans="1:18">
      <c r="A23" s="10">
        <f ca="1">IFERROR(__xludf.dummyfunction("""COMPUTED_VALUE"""),1)</f>
        <v>1</v>
      </c>
      <c r="B23" s="11" t="str">
        <f ca="1">IFERROR(__xludf.dummyfunction("""COMPUTED_VALUE"""),"KEROLENE DO NASCIMENTO LIMA LEITE")</f>
        <v>KEROLENE DO NASCIMENTO LIMA LEITE</v>
      </c>
      <c r="C23" s="11" t="str">
        <f ca="1">IFERROR(__xludf.dummyfunction("""COMPUTED_VALUE"""),"6361586")</f>
        <v>6361586</v>
      </c>
      <c r="D23" s="11" t="str">
        <f ca="1">IFERROR(__xludf.dummyfunction("""COMPUTED_VALUE"""),"06856445105")</f>
        <v>06856445105</v>
      </c>
      <c r="E23" s="11" t="str">
        <f ca="1">IFERROR(__xludf.dummyfunction("""COMPUTED_VALUE"""),"KEROLENENASC@GMAIL.COM")</f>
        <v>KEROLENENASC@GMAIL.COM</v>
      </c>
      <c r="F23" s="11"/>
      <c r="G23" s="11" t="str">
        <f ca="1">IFERROR(__xludf.dummyfunction("""COMPUTED_VALUE"""),"(62) 986118787")</f>
        <v>(62) 986118787</v>
      </c>
      <c r="H23" s="11" t="str">
        <f ca="1">IFERROR(__xludf.dummyfunction("""COMPUTED_VALUE"""),"SUPERIOR")</f>
        <v>SUPERIOR</v>
      </c>
      <c r="I23" s="10" t="str">
        <f ca="1">IFERROR(__xludf.dummyfunction("""COMPUTED_VALUE"""),"CIÊNCIAS CONTÁBEIS")</f>
        <v>CIÊNCIAS CONTÁBEIS</v>
      </c>
      <c r="J23" s="10" t="str">
        <f ca="1">IFERROR(__xludf.dummyfunction("""COMPUTED_VALUE"""),"NOITE")</f>
        <v>NOITE</v>
      </c>
      <c r="K23" s="10" t="str">
        <f ca="1">IFERROR(__xludf.dummyfunction("""COMPUTED_VALUE"""),"TARDE")</f>
        <v>TARDE</v>
      </c>
      <c r="L23" s="10" t="str">
        <f ca="1">IFERROR(__xludf.dummyfunction("""COMPUTED_VALUE"""),"ANÁPOLIS - GO")</f>
        <v>ANÁPOLIS - GO</v>
      </c>
      <c r="M23" s="10">
        <f ca="1">IFERROR(__xludf.dummyfunction("""COMPUTED_VALUE"""),6)</f>
        <v>6</v>
      </c>
      <c r="N23" s="10" t="str">
        <f ca="1">IFERROR(__xludf.dummyfunction("""COMPUTED_VALUE"""),"DISPONÍVEL")</f>
        <v>DISPONÍVEL</v>
      </c>
      <c r="O23" s="11"/>
      <c r="P23" s="11"/>
      <c r="Q23" s="11"/>
      <c r="R23" s="11"/>
    </row>
    <row r="24" spans="1:18">
      <c r="A24" s="10">
        <f ca="1">IFERROR(__xludf.dummyfunction("""COMPUTED_VALUE"""),2)</f>
        <v>2</v>
      </c>
      <c r="B24" s="11" t="str">
        <f ca="1">IFERROR(__xludf.dummyfunction("""COMPUTED_VALUE"""),"LORENA CAROLYNE FERNANDES")</f>
        <v>LORENA CAROLYNE FERNANDES</v>
      </c>
      <c r="C24" s="11"/>
      <c r="D24" s="11" t="str">
        <f ca="1">IFERROR(__xludf.dummyfunction("""COMPUTED_VALUE"""),"02094068102")</f>
        <v>02094068102</v>
      </c>
      <c r="E24" s="11" t="str">
        <f ca="1">IFERROR(__xludf.dummyfunction("""COMPUTED_VALUE"""),"LORENACAROLYNE111@HOTMAIL.COM")</f>
        <v>LORENACAROLYNE111@HOTMAIL.COM</v>
      </c>
      <c r="F24" s="11" t="str">
        <f ca="1">IFERROR(__xludf.dummyfunction("""COMPUTED_VALUE"""),"(62) 33381546")</f>
        <v>(62) 33381546</v>
      </c>
      <c r="G24" s="11" t="str">
        <f ca="1">IFERROR(__xludf.dummyfunction("""COMPUTED_VALUE"""),"(62) 984045134")</f>
        <v>(62) 984045134</v>
      </c>
      <c r="H24" s="11" t="str">
        <f ca="1">IFERROR(__xludf.dummyfunction("""COMPUTED_VALUE"""),"SUPERIOR")</f>
        <v>SUPERIOR</v>
      </c>
      <c r="I24" s="10" t="str">
        <f ca="1">IFERROR(__xludf.dummyfunction("""COMPUTED_VALUE"""),"CIÊNCIAS CONTÁBEIS")</f>
        <v>CIÊNCIAS CONTÁBEIS</v>
      </c>
      <c r="J24" s="10" t="str">
        <f ca="1">IFERROR(__xludf.dummyfunction("""COMPUTED_VALUE"""),"NOITE")</f>
        <v>NOITE</v>
      </c>
      <c r="K24" s="10" t="str">
        <f ca="1">IFERROR(__xludf.dummyfunction("""COMPUTED_VALUE"""),"TARDE")</f>
        <v>TARDE</v>
      </c>
      <c r="L24" s="10" t="str">
        <f ca="1">IFERROR(__xludf.dummyfunction("""COMPUTED_VALUE"""),"ANÁPOLIS - GO")</f>
        <v>ANÁPOLIS - GO</v>
      </c>
      <c r="M24" s="10">
        <f ca="1">IFERROR(__xludf.dummyfunction("""COMPUTED_VALUE"""),7)</f>
        <v>7</v>
      </c>
      <c r="N24" s="10" t="str">
        <f ca="1">IFERROR(__xludf.dummyfunction("""COMPUTED_VALUE"""),"DISPONÍVEL")</f>
        <v>DISPONÍVEL</v>
      </c>
      <c r="O24" s="11"/>
      <c r="P24" s="11"/>
      <c r="Q24" s="11"/>
      <c r="R24" s="11"/>
    </row>
    <row r="25" spans="1:18">
      <c r="A25" s="10">
        <f ca="1">IFERROR(__xludf.dummyfunction("""COMPUTED_VALUE"""),1)</f>
        <v>1</v>
      </c>
      <c r="B25" s="11" t="str">
        <f ca="1">IFERROR(__xludf.dummyfunction("""COMPUTED_VALUE"""),"ANNA CLARA FERREIRA DE MELO")</f>
        <v>ANNA CLARA FERREIRA DE MELO</v>
      </c>
      <c r="C25" s="11"/>
      <c r="D25" s="11" t="str">
        <f ca="1">IFERROR(__xludf.dummyfunction("""COMPUTED_VALUE"""),"03948791120")</f>
        <v>03948791120</v>
      </c>
      <c r="E25" s="11" t="str">
        <f ca="1">IFERROR(__xludf.dummyfunction("""COMPUTED_VALUE"""),"ANNACLARAFERREIRAMELO@GMAIL.COM")</f>
        <v>ANNACLARAFERREIRAMELO@GMAIL.COM</v>
      </c>
      <c r="F25" s="11"/>
      <c r="G25" s="11" t="str">
        <f ca="1">IFERROR(__xludf.dummyfunction("""COMPUTED_VALUE"""),"(62) 994982432")</f>
        <v>(62) 994982432</v>
      </c>
      <c r="H25" s="11" t="str">
        <f ca="1">IFERROR(__xludf.dummyfunction("""COMPUTED_VALUE"""),"SUPERIOR")</f>
        <v>SUPERIOR</v>
      </c>
      <c r="I25" s="10" t="str">
        <f ca="1">IFERROR(__xludf.dummyfunction("""COMPUTED_VALUE"""),"DIREITO")</f>
        <v>DIREITO</v>
      </c>
      <c r="J25" s="10" t="str">
        <f ca="1">IFERROR(__xludf.dummyfunction("""COMPUTED_VALUE"""),"NOITE")</f>
        <v>NOITE</v>
      </c>
      <c r="K25" s="10" t="str">
        <f ca="1">IFERROR(__xludf.dummyfunction("""COMPUTED_VALUE"""),"TARDE")</f>
        <v>TARDE</v>
      </c>
      <c r="L25" s="10" t="str">
        <f ca="1">IFERROR(__xludf.dummyfunction("""COMPUTED_VALUE"""),"ANÁPOLIS - GO")</f>
        <v>ANÁPOLIS - GO</v>
      </c>
      <c r="M25" s="10">
        <f ca="1">IFERROR(__xludf.dummyfunction("""COMPUTED_VALUE"""),5)</f>
        <v>5</v>
      </c>
      <c r="N25" s="10" t="str">
        <f ca="1">IFERROR(__xludf.dummyfunction("""COMPUTED_VALUE"""),"CONTRATADO")</f>
        <v>CONTRATADO</v>
      </c>
      <c r="O25" s="11" t="str">
        <f ca="1">IFERROR(__xludf.dummyfunction("""COMPUTED_VALUE"""),"16/11 - 09:16")</f>
        <v>16/11 - 09:16</v>
      </c>
      <c r="P25" s="11"/>
      <c r="Q25" s="11"/>
      <c r="R25" s="11"/>
    </row>
    <row r="26" spans="1:18">
      <c r="A26" s="10">
        <f ca="1">IFERROR(__xludf.dummyfunction("""COMPUTED_VALUE"""),2)</f>
        <v>2</v>
      </c>
      <c r="B26" s="11" t="str">
        <f ca="1">IFERROR(__xludf.dummyfunction("""COMPUTED_VALUE"""),"LUAN LUCAS SANTOS DE ARRUDA")</f>
        <v>LUAN LUCAS SANTOS DE ARRUDA</v>
      </c>
      <c r="C26" s="11"/>
      <c r="D26" s="11" t="str">
        <f ca="1">IFERROR(__xludf.dummyfunction("""COMPUTED_VALUE"""),"61850661308")</f>
        <v>61850661308</v>
      </c>
      <c r="E26" s="11" t="str">
        <f ca="1">IFERROR(__xludf.dummyfunction("""COMPUTED_VALUE"""),"LUAN.AARRUDA14@HOTMAIL.COM")</f>
        <v>LUAN.AARRUDA14@HOTMAIL.COM</v>
      </c>
      <c r="F26" s="11"/>
      <c r="G26" s="11" t="str">
        <f ca="1">IFERROR(__xludf.dummyfunction("""COMPUTED_VALUE"""),"(62) 994060695")</f>
        <v>(62) 994060695</v>
      </c>
      <c r="H26" s="11" t="str">
        <f ca="1">IFERROR(__xludf.dummyfunction("""COMPUTED_VALUE"""),"SUPERIOR")</f>
        <v>SUPERIOR</v>
      </c>
      <c r="I26" s="10" t="str">
        <f ca="1">IFERROR(__xludf.dummyfunction("""COMPUTED_VALUE"""),"DIREITO")</f>
        <v>DIREITO</v>
      </c>
      <c r="J26" s="10" t="str">
        <f ca="1">IFERROR(__xludf.dummyfunction("""COMPUTED_VALUE"""),"MANHÃ")</f>
        <v>MANHÃ</v>
      </c>
      <c r="K26" s="10" t="str">
        <f ca="1">IFERROR(__xludf.dummyfunction("""COMPUTED_VALUE"""),"TARDE")</f>
        <v>TARDE</v>
      </c>
      <c r="L26" s="10" t="str">
        <f ca="1">IFERROR(__xludf.dummyfunction("""COMPUTED_VALUE"""),"ANÁPOLIS - GO")</f>
        <v>ANÁPOLIS - GO</v>
      </c>
      <c r="M26" s="10">
        <f ca="1">IFERROR(__xludf.dummyfunction("""COMPUTED_VALUE"""),8)</f>
        <v>8</v>
      </c>
      <c r="N26" s="10" t="str">
        <f ca="1">IFERROR(__xludf.dummyfunction("""COMPUTED_VALUE"""),"CONTRATADO")</f>
        <v>CONTRATADO</v>
      </c>
      <c r="O26" s="11" t="str">
        <f ca="1">IFERROR(__xludf.dummyfunction("""COMPUTED_VALUE"""),"16/11 - 09:16")</f>
        <v>16/11 - 09:16</v>
      </c>
      <c r="P26" s="11"/>
      <c r="Q26" s="11"/>
      <c r="R26" s="11"/>
    </row>
    <row r="27" spans="1:18">
      <c r="A27" s="10">
        <f ca="1">IFERROR(__xludf.dummyfunction("""COMPUTED_VALUE"""),3)</f>
        <v>3</v>
      </c>
      <c r="B27" s="11" t="str">
        <f ca="1">IFERROR(__xludf.dummyfunction("""COMPUTED_VALUE"""),"TAUANY VERÔNICA BATISTA DA SILVA")</f>
        <v>TAUANY VERÔNICA BATISTA DA SILVA</v>
      </c>
      <c r="C27" s="11" t="str">
        <f ca="1">IFERROR(__xludf.dummyfunction("""COMPUTED_VALUE"""),"6697041")</f>
        <v>6697041</v>
      </c>
      <c r="D27" s="11" t="str">
        <f ca="1">IFERROR(__xludf.dummyfunction("""COMPUTED_VALUE"""),"07280038131")</f>
        <v>07280038131</v>
      </c>
      <c r="E27" s="11" t="str">
        <f ca="1">IFERROR(__xludf.dummyfunction("""COMPUTED_VALUE"""),"TAUANYVERONICA15@GMAIL.COM")</f>
        <v>TAUANYVERONICA15@GMAIL.COM</v>
      </c>
      <c r="F27" s="11"/>
      <c r="G27" s="11" t="str">
        <f ca="1">IFERROR(__xludf.dummyfunction("""COMPUTED_VALUE"""),"(62) 994580557")</f>
        <v>(62) 994580557</v>
      </c>
      <c r="H27" s="11" t="str">
        <f ca="1">IFERROR(__xludf.dummyfunction("""COMPUTED_VALUE"""),"SUPERIOR")</f>
        <v>SUPERIOR</v>
      </c>
      <c r="I27" s="10" t="str">
        <f ca="1">IFERROR(__xludf.dummyfunction("""COMPUTED_VALUE"""),"DIREITO")</f>
        <v>DIREITO</v>
      </c>
      <c r="J27" s="10" t="str">
        <f ca="1">IFERROR(__xludf.dummyfunction("""COMPUTED_VALUE"""),"NOITE")</f>
        <v>NOITE</v>
      </c>
      <c r="K27" s="10" t="str">
        <f ca="1">IFERROR(__xludf.dummyfunction("""COMPUTED_VALUE"""),"TARDE")</f>
        <v>TARDE</v>
      </c>
      <c r="L27" s="10" t="str">
        <f ca="1">IFERROR(__xludf.dummyfunction("""COMPUTED_VALUE"""),"ANÁPOLIS - GO")</f>
        <v>ANÁPOLIS - GO</v>
      </c>
      <c r="M27" s="10">
        <f ca="1">IFERROR(__xludf.dummyfunction("""COMPUTED_VALUE"""),5)</f>
        <v>5</v>
      </c>
      <c r="N27" s="10" t="str">
        <f ca="1">IFERROR(__xludf.dummyfunction("""COMPUTED_VALUE"""),"CONTRATADO")</f>
        <v>CONTRATADO</v>
      </c>
      <c r="O27" s="11"/>
      <c r="P27" s="11"/>
      <c r="Q27" s="11"/>
      <c r="R27" s="11"/>
    </row>
    <row r="28" spans="1:18">
      <c r="A28" s="10">
        <f ca="1">IFERROR(__xludf.dummyfunction("""COMPUTED_VALUE"""),4)</f>
        <v>4</v>
      </c>
      <c r="B28" s="11" t="str">
        <f ca="1">IFERROR(__xludf.dummyfunction("""COMPUTED_VALUE"""),"GUILHERME HENRIQUE PEREIRA CAMPOS")</f>
        <v>GUILHERME HENRIQUE PEREIRA CAMPOS</v>
      </c>
      <c r="C28" s="11"/>
      <c r="D28" s="11" t="str">
        <f ca="1">IFERROR(__xludf.dummyfunction("""COMPUTED_VALUE"""),"70275843106")</f>
        <v>70275843106</v>
      </c>
      <c r="E28" s="11" t="str">
        <f ca="1">IFERROR(__xludf.dummyfunction("""COMPUTED_VALUE"""),"GUILHERMEHPCHPC@GMAIL.COM")</f>
        <v>GUILHERMEHPCHPC@GMAIL.COM</v>
      </c>
      <c r="F28" s="11" t="str">
        <f ca="1">IFERROR(__xludf.dummyfunction("""COMPUTED_VALUE"""),"(62) 93642327")</f>
        <v>(62) 93642327</v>
      </c>
      <c r="G28" s="11" t="str">
        <f ca="1">IFERROR(__xludf.dummyfunction("""COMPUTED_VALUE"""),"(62) 993642327")</f>
        <v>(62) 993642327</v>
      </c>
      <c r="H28" s="11" t="str">
        <f ca="1">IFERROR(__xludf.dummyfunction("""COMPUTED_VALUE"""),"SUPERIOR")</f>
        <v>SUPERIOR</v>
      </c>
      <c r="I28" s="10" t="str">
        <f ca="1">IFERROR(__xludf.dummyfunction("""COMPUTED_VALUE"""),"DIREITO")</f>
        <v>DIREITO</v>
      </c>
      <c r="J28" s="10" t="str">
        <f ca="1">IFERROR(__xludf.dummyfunction("""COMPUTED_VALUE"""),"MANHÃ")</f>
        <v>MANHÃ</v>
      </c>
      <c r="K28" s="10" t="str">
        <f ca="1">IFERROR(__xludf.dummyfunction("""COMPUTED_VALUE"""),"TARDE")</f>
        <v>TARDE</v>
      </c>
      <c r="L28" s="10" t="str">
        <f ca="1">IFERROR(__xludf.dummyfunction("""COMPUTED_VALUE"""),"ANÁPOLIS - GO")</f>
        <v>ANÁPOLIS - GO</v>
      </c>
      <c r="M28" s="10">
        <f ca="1">IFERROR(__xludf.dummyfunction("""COMPUTED_VALUE"""),6)</f>
        <v>6</v>
      </c>
      <c r="N28" s="10" t="str">
        <f ca="1">IFERROR(__xludf.dummyfunction("""COMPUTED_VALUE"""),"1ª CONVOCAÇÃO")</f>
        <v>1ª CONVOCAÇÃO</v>
      </c>
      <c r="O28" s="11"/>
      <c r="P28" s="11"/>
      <c r="Q28" s="11"/>
      <c r="R28" s="11"/>
    </row>
    <row r="29" spans="1:18">
      <c r="A29" s="10">
        <f ca="1">IFERROR(__xludf.dummyfunction("""COMPUTED_VALUE"""),5)</f>
        <v>5</v>
      </c>
      <c r="B29" s="11" t="str">
        <f ca="1">IFERROR(__xludf.dummyfunction("""COMPUTED_VALUE"""),"CAROLINE MAGALHÃES RESENDE BRAZAO")</f>
        <v>CAROLINE MAGALHÃES RESENDE BRAZAO</v>
      </c>
      <c r="C29" s="11"/>
      <c r="D29" s="11" t="str">
        <f ca="1">IFERROR(__xludf.dummyfunction("""COMPUTED_VALUE"""),"07350289669")</f>
        <v>07350289669</v>
      </c>
      <c r="E29" s="11" t="str">
        <f ca="1">IFERROR(__xludf.dummyfunction("""COMPUTED_VALUE"""),"CAROLMAGAFISIO@YAHOO.COM.BR")</f>
        <v>CAROLMAGAFISIO@YAHOO.COM.BR</v>
      </c>
      <c r="F29" s="11"/>
      <c r="G29" s="11" t="str">
        <f ca="1">IFERROR(__xludf.dummyfunction("""COMPUTED_VALUE"""),"(62) 995099162")</f>
        <v>(62) 995099162</v>
      </c>
      <c r="H29" s="11" t="str">
        <f ca="1">IFERROR(__xludf.dummyfunction("""COMPUTED_VALUE"""),"SUPERIOR")</f>
        <v>SUPERIOR</v>
      </c>
      <c r="I29" s="10" t="str">
        <f ca="1">IFERROR(__xludf.dummyfunction("""COMPUTED_VALUE"""),"DIREITO")</f>
        <v>DIREITO</v>
      </c>
      <c r="J29" s="10" t="str">
        <f ca="1">IFERROR(__xludf.dummyfunction("""COMPUTED_VALUE"""),"NOITE")</f>
        <v>NOITE</v>
      </c>
      <c r="K29" s="10" t="str">
        <f ca="1">IFERROR(__xludf.dummyfunction("""COMPUTED_VALUE"""),"TARDE")</f>
        <v>TARDE</v>
      </c>
      <c r="L29" s="10" t="str">
        <f ca="1">IFERROR(__xludf.dummyfunction("""COMPUTED_VALUE"""),"ANÁPOLIS - GO")</f>
        <v>ANÁPOLIS - GO</v>
      </c>
      <c r="M29" s="10">
        <f ca="1">IFERROR(__xludf.dummyfunction("""COMPUTED_VALUE"""),6)</f>
        <v>6</v>
      </c>
      <c r="N29" s="10" t="str">
        <f ca="1">IFERROR(__xludf.dummyfunction("""COMPUTED_VALUE"""),"1ª CONVOCAÇÃO")</f>
        <v>1ª CONVOCAÇÃO</v>
      </c>
      <c r="O29" s="11"/>
      <c r="P29" s="11"/>
      <c r="Q29" s="11"/>
      <c r="R29" s="11"/>
    </row>
    <row r="30" spans="1:18">
      <c r="A30" s="10">
        <f ca="1">IFERROR(__xludf.dummyfunction("""COMPUTED_VALUE"""),6)</f>
        <v>6</v>
      </c>
      <c r="B30" s="11" t="str">
        <f ca="1">IFERROR(__xludf.dummyfunction("""COMPUTED_VALUE"""),"AMANDA DA SILVA SANTOS RAMOS")</f>
        <v>AMANDA DA SILVA SANTOS RAMOS</v>
      </c>
      <c r="C30" s="11"/>
      <c r="D30" s="11" t="str">
        <f ca="1">IFERROR(__xludf.dummyfunction("""COMPUTED_VALUE"""),"06403323156")</f>
        <v>06403323156</v>
      </c>
      <c r="E30" s="11" t="str">
        <f ca="1">IFERROR(__xludf.dummyfunction("""COMPUTED_VALUE"""),"AMANDASS832@GMAIL.COM")</f>
        <v>AMANDASS832@GMAIL.COM</v>
      </c>
      <c r="F30" s="11"/>
      <c r="G30" s="11" t="str">
        <f ca="1">IFERROR(__xludf.dummyfunction("""COMPUTED_VALUE"""),"(62) 994736612")</f>
        <v>(62) 994736612</v>
      </c>
      <c r="H30" s="11" t="str">
        <f ca="1">IFERROR(__xludf.dummyfunction("""COMPUTED_VALUE"""),"SUPERIOR")</f>
        <v>SUPERIOR</v>
      </c>
      <c r="I30" s="10" t="str">
        <f ca="1">IFERROR(__xludf.dummyfunction("""COMPUTED_VALUE"""),"DIREITO")</f>
        <v>DIREITO</v>
      </c>
      <c r="J30" s="10" t="str">
        <f ca="1">IFERROR(__xludf.dummyfunction("""COMPUTED_VALUE"""),"MANHÃ")</f>
        <v>MANHÃ</v>
      </c>
      <c r="K30" s="10" t="str">
        <f ca="1">IFERROR(__xludf.dummyfunction("""COMPUTED_VALUE"""),"TARDE")</f>
        <v>TARDE</v>
      </c>
      <c r="L30" s="10" t="str">
        <f ca="1">IFERROR(__xludf.dummyfunction("""COMPUTED_VALUE"""),"ANÁPOLIS - GO")</f>
        <v>ANÁPOLIS - GO</v>
      </c>
      <c r="M30" s="10">
        <f ca="1">IFERROR(__xludf.dummyfunction("""COMPUTED_VALUE"""),8)</f>
        <v>8</v>
      </c>
      <c r="N30" s="10" t="str">
        <f ca="1">IFERROR(__xludf.dummyfunction("""COMPUTED_VALUE"""),"CONTRATADO")</f>
        <v>CONTRATADO</v>
      </c>
      <c r="O30" s="11"/>
      <c r="P30" s="11"/>
      <c r="Q30" s="11"/>
      <c r="R30" s="11"/>
    </row>
    <row r="31" spans="1:18">
      <c r="A31" s="10">
        <f ca="1">IFERROR(__xludf.dummyfunction("""COMPUTED_VALUE"""),7)</f>
        <v>7</v>
      </c>
      <c r="B31" s="11" t="str">
        <f ca="1">IFERROR(__xludf.dummyfunction("""COMPUTED_VALUE"""),"MARIA EDUARDA ANTUNES ALVES OLIVEIRA")</f>
        <v>MARIA EDUARDA ANTUNES ALVES OLIVEIRA</v>
      </c>
      <c r="C31" s="11"/>
      <c r="D31" s="11" t="str">
        <f ca="1">IFERROR(__xludf.dummyfunction("""COMPUTED_VALUE"""),"07133026155")</f>
        <v>07133026155</v>
      </c>
      <c r="E31" s="11" t="str">
        <f ca="1">IFERROR(__xludf.dummyfunction("""COMPUTED_VALUE"""),"MARIAEDUARDAANTUNES_14@OUTLOOK.COM")</f>
        <v>MARIAEDUARDAANTUNES_14@OUTLOOK.COM</v>
      </c>
      <c r="F31" s="11"/>
      <c r="G31" s="11" t="str">
        <f ca="1">IFERROR(__xludf.dummyfunction("""COMPUTED_VALUE"""),"(62) 996736658")</f>
        <v>(62) 996736658</v>
      </c>
      <c r="H31" s="11" t="str">
        <f ca="1">IFERROR(__xludf.dummyfunction("""COMPUTED_VALUE"""),"SUPERIOR")</f>
        <v>SUPERIOR</v>
      </c>
      <c r="I31" s="10" t="str">
        <f ca="1">IFERROR(__xludf.dummyfunction("""COMPUTED_VALUE"""),"DIREITO")</f>
        <v>DIREITO</v>
      </c>
      <c r="J31" s="10" t="str">
        <f ca="1">IFERROR(__xludf.dummyfunction("""COMPUTED_VALUE"""),"MANHÃ")</f>
        <v>MANHÃ</v>
      </c>
      <c r="K31" s="10" t="str">
        <f ca="1">IFERROR(__xludf.dummyfunction("""COMPUTED_VALUE"""),"TARDE")</f>
        <v>TARDE</v>
      </c>
      <c r="L31" s="10" t="str">
        <f ca="1">IFERROR(__xludf.dummyfunction("""COMPUTED_VALUE"""),"ANÁPOLIS - GO")</f>
        <v>ANÁPOLIS - GO</v>
      </c>
      <c r="M31" s="10">
        <f ca="1">IFERROR(__xludf.dummyfunction("""COMPUTED_VALUE"""),5)</f>
        <v>5</v>
      </c>
      <c r="N31" s="10" t="str">
        <f ca="1">IFERROR(__xludf.dummyfunction("""COMPUTED_VALUE"""),"1ª CONVOCAÇÃO")</f>
        <v>1ª CONVOCAÇÃO</v>
      </c>
      <c r="O31" s="11"/>
      <c r="P31" s="11"/>
      <c r="Q31" s="11"/>
      <c r="R31" s="11"/>
    </row>
    <row r="32" spans="1:18">
      <c r="A32" s="10">
        <f ca="1">IFERROR(__xludf.dummyfunction("""COMPUTED_VALUE"""),8)</f>
        <v>8</v>
      </c>
      <c r="B32" s="11" t="str">
        <f ca="1">IFERROR(__xludf.dummyfunction("""COMPUTED_VALUE"""),"ANNA CLARA RIGO QUEIROZ")</f>
        <v>ANNA CLARA RIGO QUEIROZ</v>
      </c>
      <c r="C32" s="11"/>
      <c r="D32" s="11" t="str">
        <f ca="1">IFERROR(__xludf.dummyfunction("""COMPUTED_VALUE"""),"71109236140")</f>
        <v>71109236140</v>
      </c>
      <c r="E32" s="11" t="str">
        <f ca="1">IFERROR(__xludf.dummyfunction("""COMPUTED_VALUE"""),"ANNACLARARIGO@GMAIL.COM")</f>
        <v>ANNACLARARIGO@GMAIL.COM</v>
      </c>
      <c r="F32" s="11"/>
      <c r="G32" s="11" t="str">
        <f ca="1">IFERROR(__xludf.dummyfunction("""COMPUTED_VALUE"""),"(62) 994716004")</f>
        <v>(62) 994716004</v>
      </c>
      <c r="H32" s="11" t="str">
        <f ca="1">IFERROR(__xludf.dummyfunction("""COMPUTED_VALUE"""),"SUPERIOR")</f>
        <v>SUPERIOR</v>
      </c>
      <c r="I32" s="10" t="str">
        <f ca="1">IFERROR(__xludf.dummyfunction("""COMPUTED_VALUE"""),"DIREITO")</f>
        <v>DIREITO</v>
      </c>
      <c r="J32" s="10" t="str">
        <f ca="1">IFERROR(__xludf.dummyfunction("""COMPUTED_VALUE"""),"MANHÃ")</f>
        <v>MANHÃ</v>
      </c>
      <c r="K32" s="10" t="str">
        <f ca="1">IFERROR(__xludf.dummyfunction("""COMPUTED_VALUE"""),"TARDE")</f>
        <v>TARDE</v>
      </c>
      <c r="L32" s="10" t="str">
        <f ca="1">IFERROR(__xludf.dummyfunction("""COMPUTED_VALUE"""),"ANÁPOLIS - GO")</f>
        <v>ANÁPOLIS - GO</v>
      </c>
      <c r="M32" s="10">
        <f ca="1">IFERROR(__xludf.dummyfunction("""COMPUTED_VALUE"""),5)</f>
        <v>5</v>
      </c>
      <c r="N32" s="10" t="str">
        <f ca="1">IFERROR(__xludf.dummyfunction("""COMPUTED_VALUE"""),"CONTRATADO")</f>
        <v>CONTRATADO</v>
      </c>
      <c r="O32" s="11"/>
      <c r="P32" s="11"/>
      <c r="Q32" s="11"/>
      <c r="R32" s="11"/>
    </row>
    <row r="33" spans="1:18">
      <c r="A33" s="10">
        <f ca="1">IFERROR(__xludf.dummyfunction("""COMPUTED_VALUE"""),9)</f>
        <v>9</v>
      </c>
      <c r="B33" s="11" t="str">
        <f ca="1">IFERROR(__xludf.dummyfunction("""COMPUTED_VALUE"""),"GABRIELLE VENÂNCIO DE MOURA")</f>
        <v>GABRIELLE VENÂNCIO DE MOURA</v>
      </c>
      <c r="C33" s="11" t="str">
        <f ca="1">IFERROR(__xludf.dummyfunction("""COMPUTED_VALUE"""),"7306351")</f>
        <v>7306351</v>
      </c>
      <c r="D33" s="11" t="str">
        <f ca="1">IFERROR(__xludf.dummyfunction("""COMPUTED_VALUE"""),"03763252169")</f>
        <v>03763252169</v>
      </c>
      <c r="E33" s="11" t="str">
        <f ca="1">IFERROR(__xludf.dummyfunction("""COMPUTED_VALUE"""),"GABRIELLEMOURA898@GMAIL.COM")</f>
        <v>GABRIELLEMOURA898@GMAIL.COM</v>
      </c>
      <c r="F33" s="11"/>
      <c r="G33" s="11" t="str">
        <f ca="1">IFERROR(__xludf.dummyfunction("""COMPUTED_VALUE"""),"(62) 991683397")</f>
        <v>(62) 991683397</v>
      </c>
      <c r="H33" s="11" t="str">
        <f ca="1">IFERROR(__xludf.dummyfunction("""COMPUTED_VALUE"""),"SUPERIOR")</f>
        <v>SUPERIOR</v>
      </c>
      <c r="I33" s="10" t="str">
        <f ca="1">IFERROR(__xludf.dummyfunction("""COMPUTED_VALUE"""),"DIREITO")</f>
        <v>DIREITO</v>
      </c>
      <c r="J33" s="10" t="str">
        <f ca="1">IFERROR(__xludf.dummyfunction("""COMPUTED_VALUE"""),"NOITE")</f>
        <v>NOITE</v>
      </c>
      <c r="K33" s="10" t="str">
        <f ca="1">IFERROR(__xludf.dummyfunction("""COMPUTED_VALUE"""),"TARDE")</f>
        <v>TARDE</v>
      </c>
      <c r="L33" s="10" t="str">
        <f ca="1">IFERROR(__xludf.dummyfunction("""COMPUTED_VALUE"""),"ANÁPOLIS - GO")</f>
        <v>ANÁPOLIS - GO</v>
      </c>
      <c r="M33" s="10">
        <f ca="1">IFERROR(__xludf.dummyfunction("""COMPUTED_VALUE"""),5)</f>
        <v>5</v>
      </c>
      <c r="N33" s="10" t="str">
        <f ca="1">IFERROR(__xludf.dummyfunction("""COMPUTED_VALUE"""),"1ª CONVOCAÇÃO")</f>
        <v>1ª CONVOCAÇÃO</v>
      </c>
      <c r="O33" s="11"/>
      <c r="P33" s="11"/>
      <c r="Q33" s="11"/>
      <c r="R33" s="11"/>
    </row>
    <row r="34" spans="1:18">
      <c r="A34" s="10">
        <f ca="1">IFERROR(__xludf.dummyfunction("""COMPUTED_VALUE"""),10)</f>
        <v>10</v>
      </c>
      <c r="B34" s="11" t="str">
        <f ca="1">IFERROR(__xludf.dummyfunction("""COMPUTED_VALUE"""),"MARIA EDUARDA DA COSTA DOMINGOS")</f>
        <v>MARIA EDUARDA DA COSTA DOMINGOS</v>
      </c>
      <c r="C34" s="11" t="str">
        <f ca="1">IFERROR(__xludf.dummyfunction("""COMPUTED_VALUE"""),"7162059")</f>
        <v>7162059</v>
      </c>
      <c r="D34" s="11" t="str">
        <f ca="1">IFERROR(__xludf.dummyfunction("""COMPUTED_VALUE"""),"08387619175")</f>
        <v>08387619175</v>
      </c>
      <c r="E34" s="11" t="str">
        <f ca="1">IFERROR(__xludf.dummyfunction("""COMPUTED_VALUE"""),"MARIIAEDUARDA02166@GMAIL.COM")</f>
        <v>MARIIAEDUARDA02166@GMAIL.COM</v>
      </c>
      <c r="F34" s="11"/>
      <c r="G34" s="11" t="str">
        <f ca="1">IFERROR(__xludf.dummyfunction("""COMPUTED_VALUE"""),"(62) 994258558")</f>
        <v>(62) 994258558</v>
      </c>
      <c r="H34" s="11" t="str">
        <f ca="1">IFERROR(__xludf.dummyfunction("""COMPUTED_VALUE"""),"SUPERIOR")</f>
        <v>SUPERIOR</v>
      </c>
      <c r="I34" s="10" t="str">
        <f ca="1">IFERROR(__xludf.dummyfunction("""COMPUTED_VALUE"""),"DIREITO")</f>
        <v>DIREITO</v>
      </c>
      <c r="J34" s="10" t="str">
        <f ca="1">IFERROR(__xludf.dummyfunction("""COMPUTED_VALUE"""),"NOITE")</f>
        <v>NOITE</v>
      </c>
      <c r="K34" s="10" t="str">
        <f ca="1">IFERROR(__xludf.dummyfunction("""COMPUTED_VALUE"""),"TARDE")</f>
        <v>TARDE</v>
      </c>
      <c r="L34" s="10" t="str">
        <f ca="1">IFERROR(__xludf.dummyfunction("""COMPUTED_VALUE"""),"ANÁPOLIS - GO")</f>
        <v>ANÁPOLIS - GO</v>
      </c>
      <c r="M34" s="10">
        <f ca="1">IFERROR(__xludf.dummyfunction("""COMPUTED_VALUE"""),6)</f>
        <v>6</v>
      </c>
      <c r="N34" s="10" t="str">
        <f ca="1">IFERROR(__xludf.dummyfunction("""COMPUTED_VALUE"""),"CONTRATADO")</f>
        <v>CONTRATADO</v>
      </c>
      <c r="O34" s="11"/>
      <c r="P34" s="11"/>
      <c r="Q34" s="11"/>
      <c r="R34" s="11"/>
    </row>
    <row r="35" spans="1:18">
      <c r="A35" s="10">
        <f ca="1">IFERROR(__xludf.dummyfunction("""COMPUTED_VALUE"""),11)</f>
        <v>11</v>
      </c>
      <c r="B35" s="11" t="str">
        <f ca="1">IFERROR(__xludf.dummyfunction("""COMPUTED_VALUE"""),"MARIA FERNANDA DA SILVA MARTINS")</f>
        <v>MARIA FERNANDA DA SILVA MARTINS</v>
      </c>
      <c r="C35" s="11" t="str">
        <f ca="1">IFERROR(__xludf.dummyfunction("""COMPUTED_VALUE"""),"6494611")</f>
        <v>6494611</v>
      </c>
      <c r="D35" s="11" t="str">
        <f ca="1">IFERROR(__xludf.dummyfunction("""COMPUTED_VALUE"""),"70559521154")</f>
        <v>70559521154</v>
      </c>
      <c r="E35" s="11" t="str">
        <f ca="1">IFERROR(__xludf.dummyfunction("""COMPUTED_VALUE"""),"FERNANDASMARTINS@OUTLOOK.COM")</f>
        <v>FERNANDASMARTINS@OUTLOOK.COM</v>
      </c>
      <c r="F35" s="11"/>
      <c r="G35" s="11" t="str">
        <f ca="1">IFERROR(__xludf.dummyfunction("""COMPUTED_VALUE"""),"(62) 998668796")</f>
        <v>(62) 998668796</v>
      </c>
      <c r="H35" s="11" t="str">
        <f ca="1">IFERROR(__xludf.dummyfunction("""COMPUTED_VALUE"""),"SUPERIOR")</f>
        <v>SUPERIOR</v>
      </c>
      <c r="I35" s="10" t="str">
        <f ca="1">IFERROR(__xludf.dummyfunction("""COMPUTED_VALUE"""),"DIREITO")</f>
        <v>DIREITO</v>
      </c>
      <c r="J35" s="10" t="str">
        <f ca="1">IFERROR(__xludf.dummyfunction("""COMPUTED_VALUE"""),"NOITE")</f>
        <v>NOITE</v>
      </c>
      <c r="K35" s="10" t="str">
        <f ca="1">IFERROR(__xludf.dummyfunction("""COMPUTED_VALUE"""),"TARDE")</f>
        <v>TARDE</v>
      </c>
      <c r="L35" s="10" t="str">
        <f ca="1">IFERROR(__xludf.dummyfunction("""COMPUTED_VALUE"""),"ANÁPOLIS - GO")</f>
        <v>ANÁPOLIS - GO</v>
      </c>
      <c r="M35" s="10">
        <f ca="1">IFERROR(__xludf.dummyfunction("""COMPUTED_VALUE"""),5)</f>
        <v>5</v>
      </c>
      <c r="N35" s="10" t="str">
        <f ca="1">IFERROR(__xludf.dummyfunction("""COMPUTED_VALUE"""),"CONTRATADO")</f>
        <v>CONTRATADO</v>
      </c>
      <c r="O35" s="11"/>
      <c r="P35" s="11"/>
      <c r="Q35" s="11"/>
      <c r="R35" s="11"/>
    </row>
    <row r="36" spans="1:18">
      <c r="A36" s="10">
        <f ca="1">IFERROR(__xludf.dummyfunction("""COMPUTED_VALUE"""),12)</f>
        <v>12</v>
      </c>
      <c r="B36" s="11" t="str">
        <f ca="1">IFERROR(__xludf.dummyfunction("""COMPUTED_VALUE"""),"MAYARA MAIA PEREIRA")</f>
        <v>MAYARA MAIA PEREIRA</v>
      </c>
      <c r="C36" s="11"/>
      <c r="D36" s="11" t="str">
        <f ca="1">IFERROR(__xludf.dummyfunction("""COMPUTED_VALUE"""),"07659041100")</f>
        <v>07659041100</v>
      </c>
      <c r="E36" s="11" t="str">
        <f ca="1">IFERROR(__xludf.dummyfunction("""COMPUTED_VALUE"""),"MAYARAMAIA890@GMAIL.COM")</f>
        <v>MAYARAMAIA890@GMAIL.COM</v>
      </c>
      <c r="F36" s="11"/>
      <c r="G36" s="11" t="str">
        <f ca="1">IFERROR(__xludf.dummyfunction("""COMPUTED_VALUE"""),"(62) 991606752")</f>
        <v>(62) 991606752</v>
      </c>
      <c r="H36" s="11" t="str">
        <f ca="1">IFERROR(__xludf.dummyfunction("""COMPUTED_VALUE"""),"SUPERIOR")</f>
        <v>SUPERIOR</v>
      </c>
      <c r="I36" s="10" t="str">
        <f ca="1">IFERROR(__xludf.dummyfunction("""COMPUTED_VALUE"""),"DIREITO")</f>
        <v>DIREITO</v>
      </c>
      <c r="J36" s="10" t="str">
        <f ca="1">IFERROR(__xludf.dummyfunction("""COMPUTED_VALUE"""),"NOITE")</f>
        <v>NOITE</v>
      </c>
      <c r="K36" s="10" t="str">
        <f ca="1">IFERROR(__xludf.dummyfunction("""COMPUTED_VALUE"""),"TARDE")</f>
        <v>TARDE</v>
      </c>
      <c r="L36" s="10" t="str">
        <f ca="1">IFERROR(__xludf.dummyfunction("""COMPUTED_VALUE"""),"ANÁPOLIS - GO")</f>
        <v>ANÁPOLIS - GO</v>
      </c>
      <c r="M36" s="10">
        <f ca="1">IFERROR(__xludf.dummyfunction("""COMPUTED_VALUE"""),5)</f>
        <v>5</v>
      </c>
      <c r="N36" s="10" t="str">
        <f ca="1">IFERROR(__xludf.dummyfunction("""COMPUTED_VALUE"""),"CONTRATADO")</f>
        <v>CONTRATADO</v>
      </c>
      <c r="O36" s="11"/>
      <c r="P36" s="11"/>
      <c r="Q36" s="11"/>
      <c r="R36" s="11"/>
    </row>
    <row r="37" spans="1:18">
      <c r="A37" s="10">
        <f ca="1">IFERROR(__xludf.dummyfunction("""COMPUTED_VALUE"""),13)</f>
        <v>13</v>
      </c>
      <c r="B37" s="11" t="str">
        <f ca="1">IFERROR(__xludf.dummyfunction("""COMPUTED_VALUE"""),"ARTHUR FILIPE DE OLIVEIRA SILVA")</f>
        <v>ARTHUR FILIPE DE OLIVEIRA SILVA</v>
      </c>
      <c r="C37" s="11"/>
      <c r="D37" s="11" t="str">
        <f ca="1">IFERROR(__xludf.dummyfunction("""COMPUTED_VALUE"""),"70990606198")</f>
        <v>70990606198</v>
      </c>
      <c r="E37" s="11" t="str">
        <f ca="1">IFERROR(__xludf.dummyfunction("""COMPUTED_VALUE"""),"ARTHUR_FELIPE09@OUTLOOK.COM")</f>
        <v>ARTHUR_FELIPE09@OUTLOOK.COM</v>
      </c>
      <c r="F37" s="11" t="str">
        <f ca="1">IFERROR(__xludf.dummyfunction("""COMPUTED_VALUE"""),"(62) 92622825")</f>
        <v>(62) 92622825</v>
      </c>
      <c r="G37" s="11" t="str">
        <f ca="1">IFERROR(__xludf.dummyfunction("""COMPUTED_VALUE"""),"(62) 991716412")</f>
        <v>(62) 991716412</v>
      </c>
      <c r="H37" s="11" t="str">
        <f ca="1">IFERROR(__xludf.dummyfunction("""COMPUTED_VALUE"""),"SUPERIOR")</f>
        <v>SUPERIOR</v>
      </c>
      <c r="I37" s="10" t="str">
        <f ca="1">IFERROR(__xludf.dummyfunction("""COMPUTED_VALUE"""),"DIREITO")</f>
        <v>DIREITO</v>
      </c>
      <c r="J37" s="10" t="str">
        <f ca="1">IFERROR(__xludf.dummyfunction("""COMPUTED_VALUE"""),"MANHÃ")</f>
        <v>MANHÃ</v>
      </c>
      <c r="K37" s="10" t="str">
        <f ca="1">IFERROR(__xludf.dummyfunction("""COMPUTED_VALUE"""),"TARDE")</f>
        <v>TARDE</v>
      </c>
      <c r="L37" s="10" t="str">
        <f ca="1">IFERROR(__xludf.dummyfunction("""COMPUTED_VALUE"""),"ANÁPOLIS - GO")</f>
        <v>ANÁPOLIS - GO</v>
      </c>
      <c r="M37" s="10">
        <f ca="1">IFERROR(__xludf.dummyfunction("""COMPUTED_VALUE"""),5)</f>
        <v>5</v>
      </c>
      <c r="N37" s="10" t="str">
        <f ca="1">IFERROR(__xludf.dummyfunction("""COMPUTED_VALUE"""),"1ª CONVOCAÇÃO")</f>
        <v>1ª CONVOCAÇÃO</v>
      </c>
      <c r="O37" s="11"/>
      <c r="P37" s="11"/>
      <c r="Q37" s="11"/>
      <c r="R37" s="11"/>
    </row>
    <row r="38" spans="1:18">
      <c r="A38" s="10">
        <f ca="1">IFERROR(__xludf.dummyfunction("""COMPUTED_VALUE"""),14)</f>
        <v>14</v>
      </c>
      <c r="B38" s="11" t="str">
        <f ca="1">IFERROR(__xludf.dummyfunction("""COMPUTED_VALUE"""),"VINÍCIUS NEVES FONTES")</f>
        <v>VINÍCIUS NEVES FONTES</v>
      </c>
      <c r="C38" s="11"/>
      <c r="D38" s="11" t="str">
        <f ca="1">IFERROR(__xludf.dummyfunction("""COMPUTED_VALUE"""),"71070978140")</f>
        <v>71070978140</v>
      </c>
      <c r="E38" s="11" t="str">
        <f ca="1">IFERROR(__xludf.dummyfunction("""COMPUTED_VALUE"""),"VINEVES26@GMAIL.COM")</f>
        <v>VINEVES26@GMAIL.COM</v>
      </c>
      <c r="F38" s="11"/>
      <c r="G38" s="11" t="str">
        <f ca="1">IFERROR(__xludf.dummyfunction("""COMPUTED_VALUE"""),"(62) 991596347")</f>
        <v>(62) 991596347</v>
      </c>
      <c r="H38" s="11" t="str">
        <f ca="1">IFERROR(__xludf.dummyfunction("""COMPUTED_VALUE"""),"SUPERIOR")</f>
        <v>SUPERIOR</v>
      </c>
      <c r="I38" s="10" t="str">
        <f ca="1">IFERROR(__xludf.dummyfunction("""COMPUTED_VALUE"""),"DIREITO")</f>
        <v>DIREITO</v>
      </c>
      <c r="J38" s="10" t="str">
        <f ca="1">IFERROR(__xludf.dummyfunction("""COMPUTED_VALUE"""),"NOITE")</f>
        <v>NOITE</v>
      </c>
      <c r="K38" s="10" t="str">
        <f ca="1">IFERROR(__xludf.dummyfunction("""COMPUTED_VALUE"""),"TARDE")</f>
        <v>TARDE</v>
      </c>
      <c r="L38" s="10" t="str">
        <f ca="1">IFERROR(__xludf.dummyfunction("""COMPUTED_VALUE"""),"ANÁPOLIS - GO")</f>
        <v>ANÁPOLIS - GO</v>
      </c>
      <c r="M38" s="10">
        <f ca="1">IFERROR(__xludf.dummyfunction("""COMPUTED_VALUE"""),5)</f>
        <v>5</v>
      </c>
      <c r="N38" s="10" t="str">
        <f ca="1">IFERROR(__xludf.dummyfunction("""COMPUTED_VALUE"""),"CONTRATADO")</f>
        <v>CONTRATADO</v>
      </c>
      <c r="O38" s="11"/>
      <c r="P38" s="11"/>
      <c r="Q38" s="11"/>
      <c r="R38" s="11"/>
    </row>
    <row r="39" spans="1:18">
      <c r="A39" s="10">
        <f ca="1">IFERROR(__xludf.dummyfunction("""COMPUTED_VALUE"""),15)</f>
        <v>15</v>
      </c>
      <c r="B39" s="11" t="str">
        <f ca="1">IFERROR(__xludf.dummyfunction("""COMPUTED_VALUE"""),"ANA CLARA ALVES DE SOUZA")</f>
        <v>ANA CLARA ALVES DE SOUZA</v>
      </c>
      <c r="C39" s="11"/>
      <c r="D39" s="11" t="str">
        <f ca="1">IFERROR(__xludf.dummyfunction("""COMPUTED_VALUE"""),"71339838184")</f>
        <v>71339838184</v>
      </c>
      <c r="E39" s="11" t="str">
        <f ca="1">IFERROR(__xludf.dummyfunction("""COMPUTED_VALUE"""),"ANACLALVES.03@GMAIL.COM")</f>
        <v>ANACLALVES.03@GMAIL.COM</v>
      </c>
      <c r="F39" s="11" t="str">
        <f ca="1">IFERROR(__xludf.dummyfunction("""COMPUTED_VALUE"""),"(62) 33262150")</f>
        <v>(62) 33262150</v>
      </c>
      <c r="G39" s="11" t="str">
        <f ca="1">IFERROR(__xludf.dummyfunction("""COMPUTED_VALUE"""),"(62) 986281145")</f>
        <v>(62) 986281145</v>
      </c>
      <c r="H39" s="11" t="str">
        <f ca="1">IFERROR(__xludf.dummyfunction("""COMPUTED_VALUE"""),"SUPERIOR")</f>
        <v>SUPERIOR</v>
      </c>
      <c r="I39" s="10" t="str">
        <f ca="1">IFERROR(__xludf.dummyfunction("""COMPUTED_VALUE"""),"DIREITO")</f>
        <v>DIREITO</v>
      </c>
      <c r="J39" s="10" t="str">
        <f ca="1">IFERROR(__xludf.dummyfunction("""COMPUTED_VALUE"""),"MANHÃ")</f>
        <v>MANHÃ</v>
      </c>
      <c r="K39" s="10" t="str">
        <f ca="1">IFERROR(__xludf.dummyfunction("""COMPUTED_VALUE"""),"TARDE")</f>
        <v>TARDE</v>
      </c>
      <c r="L39" s="10" t="str">
        <f ca="1">IFERROR(__xludf.dummyfunction("""COMPUTED_VALUE"""),"ANÁPOLIS - GO")</f>
        <v>ANÁPOLIS - GO</v>
      </c>
      <c r="M39" s="10">
        <f ca="1">IFERROR(__xludf.dummyfunction("""COMPUTED_VALUE"""),5)</f>
        <v>5</v>
      </c>
      <c r="N39" s="10" t="str">
        <f ca="1">IFERROR(__xludf.dummyfunction("""COMPUTED_VALUE"""),"1ª CONVOCAÇÃO")</f>
        <v>1ª CONVOCAÇÃO</v>
      </c>
      <c r="O39" s="11"/>
      <c r="P39" s="11"/>
      <c r="Q39" s="11"/>
      <c r="R39" s="11"/>
    </row>
    <row r="40" spans="1:18">
      <c r="A40" s="10">
        <f ca="1">IFERROR(__xludf.dummyfunction("""COMPUTED_VALUE"""),16)</f>
        <v>16</v>
      </c>
      <c r="B40" s="11" t="str">
        <f ca="1">IFERROR(__xludf.dummyfunction("""COMPUTED_VALUE"""),"ISADORA ANDRADE SOARES")</f>
        <v>ISADORA ANDRADE SOARES</v>
      </c>
      <c r="C40" s="11" t="str">
        <f ca="1">IFERROR(__xludf.dummyfunction("""COMPUTED_VALUE"""),"6578420")</f>
        <v>6578420</v>
      </c>
      <c r="D40" s="11" t="str">
        <f ca="1">IFERROR(__xludf.dummyfunction("""COMPUTED_VALUE"""),"70572456107")</f>
        <v>70572456107</v>
      </c>
      <c r="E40" s="11" t="str">
        <f ca="1">IFERROR(__xludf.dummyfunction("""COMPUTED_VALUE"""),"ISADORAASOARES@HOTMAIL.COM")</f>
        <v>ISADORAASOARES@HOTMAIL.COM</v>
      </c>
      <c r="F40" s="11" t="str">
        <f ca="1">IFERROR(__xludf.dummyfunction("""COMPUTED_VALUE"""),"(62) 94091497")</f>
        <v>(62) 94091497</v>
      </c>
      <c r="G40" s="11" t="str">
        <f ca="1">IFERROR(__xludf.dummyfunction("""COMPUTED_VALUE"""),"(62) 994091497")</f>
        <v>(62) 994091497</v>
      </c>
      <c r="H40" s="11" t="str">
        <f ca="1">IFERROR(__xludf.dummyfunction("""COMPUTED_VALUE"""),"SUPERIOR")</f>
        <v>SUPERIOR</v>
      </c>
      <c r="I40" s="10" t="str">
        <f ca="1">IFERROR(__xludf.dummyfunction("""COMPUTED_VALUE"""),"DIREITO")</f>
        <v>DIREITO</v>
      </c>
      <c r="J40" s="10" t="str">
        <f ca="1">IFERROR(__xludf.dummyfunction("""COMPUTED_VALUE"""),"MANHÃ")</f>
        <v>MANHÃ</v>
      </c>
      <c r="K40" s="10" t="str">
        <f ca="1">IFERROR(__xludf.dummyfunction("""COMPUTED_VALUE"""),"TARDE")</f>
        <v>TARDE</v>
      </c>
      <c r="L40" s="10" t="str">
        <f ca="1">IFERROR(__xludf.dummyfunction("""COMPUTED_VALUE"""),"ANÁPOLIS - GO")</f>
        <v>ANÁPOLIS - GO</v>
      </c>
      <c r="M40" s="10">
        <f ca="1">IFERROR(__xludf.dummyfunction("""COMPUTED_VALUE"""),6)</f>
        <v>6</v>
      </c>
      <c r="N40" s="10" t="str">
        <f ca="1">IFERROR(__xludf.dummyfunction("""COMPUTED_VALUE"""),"1ª CONVOCAÇÃO")</f>
        <v>1ª CONVOCAÇÃO</v>
      </c>
      <c r="O40" s="11"/>
      <c r="P40" s="11"/>
      <c r="Q40" s="11"/>
      <c r="R40" s="11"/>
    </row>
    <row r="41" spans="1:18">
      <c r="A41" s="10">
        <f ca="1">IFERROR(__xludf.dummyfunction("""COMPUTED_VALUE"""),17)</f>
        <v>17</v>
      </c>
      <c r="B41" s="11" t="str">
        <f ca="1">IFERROR(__xludf.dummyfunction("""COMPUTED_VALUE"""),"BRUNNA FERNANDES DE ARAÚJO")</f>
        <v>BRUNNA FERNANDES DE ARAÚJO</v>
      </c>
      <c r="C41" s="11"/>
      <c r="D41" s="11" t="str">
        <f ca="1">IFERROR(__xludf.dummyfunction("""COMPUTED_VALUE"""),"70810438100")</f>
        <v>70810438100</v>
      </c>
      <c r="E41" s="11" t="str">
        <f ca="1">IFERROR(__xludf.dummyfunction("""COMPUTED_VALUE"""),"BRUNNAFERNANDES1212@GMAIL.COM")</f>
        <v>BRUNNAFERNANDES1212@GMAIL.COM</v>
      </c>
      <c r="F41" s="11" t="str">
        <f ca="1">IFERROR(__xludf.dummyfunction("""COMPUTED_VALUE"""),"(00) 00000000")</f>
        <v>(00) 00000000</v>
      </c>
      <c r="G41" s="11" t="str">
        <f ca="1">IFERROR(__xludf.dummyfunction("""COMPUTED_VALUE"""),"(62) 984630328")</f>
        <v>(62) 984630328</v>
      </c>
      <c r="H41" s="11" t="str">
        <f ca="1">IFERROR(__xludf.dummyfunction("""COMPUTED_VALUE"""),"SUPERIOR")</f>
        <v>SUPERIOR</v>
      </c>
      <c r="I41" s="10" t="str">
        <f ca="1">IFERROR(__xludf.dummyfunction("""COMPUTED_VALUE"""),"DIREITO")</f>
        <v>DIREITO</v>
      </c>
      <c r="J41" s="10" t="str">
        <f ca="1">IFERROR(__xludf.dummyfunction("""COMPUTED_VALUE"""),"MANHÃ")</f>
        <v>MANHÃ</v>
      </c>
      <c r="K41" s="10" t="str">
        <f ca="1">IFERROR(__xludf.dummyfunction("""COMPUTED_VALUE"""),"TARDE")</f>
        <v>TARDE</v>
      </c>
      <c r="L41" s="10" t="str">
        <f ca="1">IFERROR(__xludf.dummyfunction("""COMPUTED_VALUE"""),"ANÁPOLIS - GO")</f>
        <v>ANÁPOLIS - GO</v>
      </c>
      <c r="M41" s="10">
        <f ca="1">IFERROR(__xludf.dummyfunction("""COMPUTED_VALUE"""),5)</f>
        <v>5</v>
      </c>
      <c r="N41" s="10" t="str">
        <f ca="1">IFERROR(__xludf.dummyfunction("""COMPUTED_VALUE"""),"1ª CONVOCAÇÃO")</f>
        <v>1ª CONVOCAÇÃO</v>
      </c>
      <c r="O41" s="11"/>
      <c r="P41" s="11"/>
      <c r="Q41" s="11"/>
      <c r="R41" s="11"/>
    </row>
    <row r="42" spans="1:18">
      <c r="A42" s="10">
        <f ca="1">IFERROR(__xludf.dummyfunction("""COMPUTED_VALUE"""),18)</f>
        <v>18</v>
      </c>
      <c r="B42" s="11" t="str">
        <f ca="1">IFERROR(__xludf.dummyfunction("""COMPUTED_VALUE"""),"MARIA EDUARDA APARECIDA REZENDE")</f>
        <v>MARIA EDUARDA APARECIDA REZENDE</v>
      </c>
      <c r="C42" s="11"/>
      <c r="D42" s="11" t="str">
        <f ca="1">IFERROR(__xludf.dummyfunction("""COMPUTED_VALUE"""),"70340369183")</f>
        <v>70340369183</v>
      </c>
      <c r="E42" s="11" t="str">
        <f ca="1">IFERROR(__xludf.dummyfunction("""COMPUTED_VALUE"""),"MARIAEDUARDAREZENDE349@GMAIL.COM")</f>
        <v>MARIAEDUARDAREZENDE349@GMAIL.COM</v>
      </c>
      <c r="F42" s="11" t="str">
        <f ca="1">IFERROR(__xludf.dummyfunction("""COMPUTED_VALUE"""),"(62) 92052601")</f>
        <v>(62) 92052601</v>
      </c>
      <c r="G42" s="11" t="str">
        <f ca="1">IFERROR(__xludf.dummyfunction("""COMPUTED_VALUE"""),"(62) 992052601")</f>
        <v>(62) 992052601</v>
      </c>
      <c r="H42" s="11" t="str">
        <f ca="1">IFERROR(__xludf.dummyfunction("""COMPUTED_VALUE"""),"SUPERIOR")</f>
        <v>SUPERIOR</v>
      </c>
      <c r="I42" s="10" t="str">
        <f ca="1">IFERROR(__xludf.dummyfunction("""COMPUTED_VALUE"""),"DIREITO")</f>
        <v>DIREITO</v>
      </c>
      <c r="J42" s="10" t="str">
        <f ca="1">IFERROR(__xludf.dummyfunction("""COMPUTED_VALUE"""),"NOITE")</f>
        <v>NOITE</v>
      </c>
      <c r="K42" s="10" t="str">
        <f ca="1">IFERROR(__xludf.dummyfunction("""COMPUTED_VALUE"""),"TARDE")</f>
        <v>TARDE</v>
      </c>
      <c r="L42" s="10" t="str">
        <f ca="1">IFERROR(__xludf.dummyfunction("""COMPUTED_VALUE"""),"ANÁPOLIS - GO")</f>
        <v>ANÁPOLIS - GO</v>
      </c>
      <c r="M42" s="10">
        <f ca="1">IFERROR(__xludf.dummyfunction("""COMPUTED_VALUE"""),6)</f>
        <v>6</v>
      </c>
      <c r="N42" s="10" t="str">
        <f ca="1">IFERROR(__xludf.dummyfunction("""COMPUTED_VALUE"""),"1ª CONVOCAÇÃO")</f>
        <v>1ª CONVOCAÇÃO</v>
      </c>
      <c r="O42" s="11"/>
      <c r="P42" s="11"/>
      <c r="Q42" s="11"/>
      <c r="R42" s="11"/>
    </row>
    <row r="43" spans="1:18">
      <c r="A43" s="10">
        <f ca="1">IFERROR(__xludf.dummyfunction("""COMPUTED_VALUE"""),19)</f>
        <v>19</v>
      </c>
      <c r="B43" s="11" t="str">
        <f ca="1">IFERROR(__xludf.dummyfunction("""COMPUTED_VALUE"""),"LUDMILA TAVARES OLIVEIRA")</f>
        <v>LUDMILA TAVARES OLIVEIRA</v>
      </c>
      <c r="C43" s="11"/>
      <c r="D43" s="11" t="str">
        <f ca="1">IFERROR(__xludf.dummyfunction("""COMPUTED_VALUE"""),"71517877156")</f>
        <v>71517877156</v>
      </c>
      <c r="E43" s="11" t="str">
        <f ca="1">IFERROR(__xludf.dummyfunction("""COMPUTED_VALUE"""),"LUDMYLLAOLIVEIRA.8676@GMAIL.COM")</f>
        <v>LUDMYLLAOLIVEIRA.8676@GMAIL.COM</v>
      </c>
      <c r="F43" s="11"/>
      <c r="G43" s="11" t="str">
        <f ca="1">IFERROR(__xludf.dummyfunction("""COMPUTED_VALUE"""),"(62) 994489633")</f>
        <v>(62) 994489633</v>
      </c>
      <c r="H43" s="11" t="str">
        <f ca="1">IFERROR(__xludf.dummyfunction("""COMPUTED_VALUE"""),"SUPERIOR")</f>
        <v>SUPERIOR</v>
      </c>
      <c r="I43" s="10" t="str">
        <f ca="1">IFERROR(__xludf.dummyfunction("""COMPUTED_VALUE"""),"DIREITO")</f>
        <v>DIREITO</v>
      </c>
      <c r="J43" s="10" t="str">
        <f ca="1">IFERROR(__xludf.dummyfunction("""COMPUTED_VALUE"""),"NOITE")</f>
        <v>NOITE</v>
      </c>
      <c r="K43" s="10" t="str">
        <f ca="1">IFERROR(__xludf.dummyfunction("""COMPUTED_VALUE"""),"TARDE")</f>
        <v>TARDE</v>
      </c>
      <c r="L43" s="10" t="str">
        <f ca="1">IFERROR(__xludf.dummyfunction("""COMPUTED_VALUE"""),"ANÁPOLIS - GO")</f>
        <v>ANÁPOLIS - GO</v>
      </c>
      <c r="M43" s="10">
        <f ca="1">IFERROR(__xludf.dummyfunction("""COMPUTED_VALUE"""),8)</f>
        <v>8</v>
      </c>
      <c r="N43" s="10" t="str">
        <f ca="1">IFERROR(__xludf.dummyfunction("""COMPUTED_VALUE"""),"CONTRATADO")</f>
        <v>CONTRATADO</v>
      </c>
      <c r="O43" s="11" t="str">
        <f ca="1">IFERROR(__xludf.dummyfunction("""COMPUTED_VALUE"""),"16/11 - 09:16")</f>
        <v>16/11 - 09:16</v>
      </c>
      <c r="P43" s="11"/>
      <c r="Q43" s="11"/>
      <c r="R43" s="11"/>
    </row>
    <row r="44" spans="1:18">
      <c r="A44" s="10">
        <f ca="1">IFERROR(__xludf.dummyfunction("""COMPUTED_VALUE"""),20)</f>
        <v>20</v>
      </c>
      <c r="B44" s="11" t="str">
        <f ca="1">IFERROR(__xludf.dummyfunction("""COMPUTED_VALUE"""),"JULIA SILVA DE OLIVEIRA")</f>
        <v>JULIA SILVA DE OLIVEIRA</v>
      </c>
      <c r="C44" s="11" t="str">
        <f ca="1">IFERROR(__xludf.dummyfunction("""COMPUTED_VALUE"""),"6917936")</f>
        <v>6917936</v>
      </c>
      <c r="D44" s="11" t="str">
        <f ca="1">IFERROR(__xludf.dummyfunction("""COMPUTED_VALUE"""),"70946342180")</f>
        <v>70946342180</v>
      </c>
      <c r="E44" s="11" t="str">
        <f ca="1">IFERROR(__xludf.dummyfunction("""COMPUTED_VALUE"""),"JULIA.SIOLI@HOTMAIL.COM")</f>
        <v>JULIA.SIOLI@HOTMAIL.COM</v>
      </c>
      <c r="F44" s="11" t="str">
        <f ca="1">IFERROR(__xludf.dummyfunction("""COMPUTED_VALUE"""),"(62) 92519345")</f>
        <v>(62) 92519345</v>
      </c>
      <c r="G44" s="11" t="str">
        <f ca="1">IFERROR(__xludf.dummyfunction("""COMPUTED_VALUE"""),"(62) 991781751")</f>
        <v>(62) 991781751</v>
      </c>
      <c r="H44" s="11" t="str">
        <f ca="1">IFERROR(__xludf.dummyfunction("""COMPUTED_VALUE"""),"SUPERIOR")</f>
        <v>SUPERIOR</v>
      </c>
      <c r="I44" s="10" t="str">
        <f ca="1">IFERROR(__xludf.dummyfunction("""COMPUTED_VALUE"""),"DIREITO")</f>
        <v>DIREITO</v>
      </c>
      <c r="J44" s="10" t="str">
        <f ca="1">IFERROR(__xludf.dummyfunction("""COMPUTED_VALUE"""),"NOITE")</f>
        <v>NOITE</v>
      </c>
      <c r="K44" s="10" t="str">
        <f ca="1">IFERROR(__xludf.dummyfunction("""COMPUTED_VALUE"""),"TARDE")</f>
        <v>TARDE</v>
      </c>
      <c r="L44" s="10" t="str">
        <f ca="1">IFERROR(__xludf.dummyfunction("""COMPUTED_VALUE"""),"ANÁPOLIS - GO")</f>
        <v>ANÁPOLIS - GO</v>
      </c>
      <c r="M44" s="10">
        <f ca="1">IFERROR(__xludf.dummyfunction("""COMPUTED_VALUE"""),8)</f>
        <v>8</v>
      </c>
      <c r="N44" s="10" t="str">
        <f ca="1">IFERROR(__xludf.dummyfunction("""COMPUTED_VALUE"""),"1ª CONVOCAÇÃO")</f>
        <v>1ª CONVOCAÇÃO</v>
      </c>
      <c r="O44" s="11"/>
      <c r="P44" s="11"/>
      <c r="Q44" s="11"/>
      <c r="R44" s="11"/>
    </row>
    <row r="45" spans="1:18">
      <c r="A45" s="10">
        <f ca="1">IFERROR(__xludf.dummyfunction("""COMPUTED_VALUE"""),21)</f>
        <v>21</v>
      </c>
      <c r="B45" s="11" t="str">
        <f ca="1">IFERROR(__xludf.dummyfunction("""COMPUTED_VALUE"""),"ANA BEATRIZ MARTINS")</f>
        <v>ANA BEATRIZ MARTINS</v>
      </c>
      <c r="C45" s="11" t="str">
        <f ca="1">IFERROR(__xludf.dummyfunction("""COMPUTED_VALUE"""),"6494612")</f>
        <v>6494612</v>
      </c>
      <c r="D45" s="11" t="str">
        <f ca="1">IFERROR(__xludf.dummyfunction("""COMPUTED_VALUE"""),"70559523106")</f>
        <v>70559523106</v>
      </c>
      <c r="E45" s="11" t="str">
        <f ca="1">IFERROR(__xludf.dummyfunction("""COMPUTED_VALUE"""),"BIAHSMARTINS@OUTLOOK.COM")</f>
        <v>BIAHSMARTINS@OUTLOOK.COM</v>
      </c>
      <c r="F45" s="11"/>
      <c r="G45" s="11" t="str">
        <f ca="1">IFERROR(__xludf.dummyfunction("""COMPUTED_VALUE"""),"(62) 991956811")</f>
        <v>(62) 991956811</v>
      </c>
      <c r="H45" s="11" t="str">
        <f ca="1">IFERROR(__xludf.dummyfunction("""COMPUTED_VALUE"""),"SUPERIOR")</f>
        <v>SUPERIOR</v>
      </c>
      <c r="I45" s="10" t="str">
        <f ca="1">IFERROR(__xludf.dummyfunction("""COMPUTED_VALUE"""),"DIREITO")</f>
        <v>DIREITO</v>
      </c>
      <c r="J45" s="10" t="str">
        <f ca="1">IFERROR(__xludf.dummyfunction("""COMPUTED_VALUE"""),"NOITE")</f>
        <v>NOITE</v>
      </c>
      <c r="K45" s="10" t="str">
        <f ca="1">IFERROR(__xludf.dummyfunction("""COMPUTED_VALUE"""),"TARDE")</f>
        <v>TARDE</v>
      </c>
      <c r="L45" s="10" t="str">
        <f ca="1">IFERROR(__xludf.dummyfunction("""COMPUTED_VALUE"""),"ANÁPOLIS - GO")</f>
        <v>ANÁPOLIS - GO</v>
      </c>
      <c r="M45" s="10">
        <f ca="1">IFERROR(__xludf.dummyfunction("""COMPUTED_VALUE"""),5)</f>
        <v>5</v>
      </c>
      <c r="N45" s="10" t="str">
        <f ca="1">IFERROR(__xludf.dummyfunction("""COMPUTED_VALUE"""),"1ª CONVOCAÇÃO")</f>
        <v>1ª CONVOCAÇÃO</v>
      </c>
      <c r="O45" s="11"/>
      <c r="P45" s="11"/>
      <c r="Q45" s="11"/>
      <c r="R45" s="11"/>
    </row>
    <row r="46" spans="1:18">
      <c r="A46" s="10">
        <f ca="1">IFERROR(__xludf.dummyfunction("""COMPUTED_VALUE"""),22)</f>
        <v>22</v>
      </c>
      <c r="B46" s="11" t="str">
        <f ca="1">IFERROR(__xludf.dummyfunction("""COMPUTED_VALUE"""),"SARHA EIAHIA MUSA MAHMUD")</f>
        <v>SARHA EIAHIA MUSA MAHMUD</v>
      </c>
      <c r="C46" s="11"/>
      <c r="D46" s="11" t="str">
        <f ca="1">IFERROR(__xludf.dummyfunction("""COMPUTED_VALUE"""),"08170988101")</f>
        <v>08170988101</v>
      </c>
      <c r="E46" s="11" t="str">
        <f ca="1">IFERROR(__xludf.dummyfunction("""COMPUTED_VALUE"""),"SARHAEIAHIAMUSA@GMAIL.COM")</f>
        <v>SARHAEIAHIAMUSA@GMAIL.COM</v>
      </c>
      <c r="F46" s="11"/>
      <c r="G46" s="11" t="str">
        <f ca="1">IFERROR(__xludf.dummyfunction("""COMPUTED_VALUE"""),"(62) 996604987")</f>
        <v>(62) 996604987</v>
      </c>
      <c r="H46" s="11" t="str">
        <f ca="1">IFERROR(__xludf.dummyfunction("""COMPUTED_VALUE"""),"SUPERIOR")</f>
        <v>SUPERIOR</v>
      </c>
      <c r="I46" s="10" t="str">
        <f ca="1">IFERROR(__xludf.dummyfunction("""COMPUTED_VALUE"""),"DIREITO")</f>
        <v>DIREITO</v>
      </c>
      <c r="J46" s="10" t="str">
        <f ca="1">IFERROR(__xludf.dummyfunction("""COMPUTED_VALUE"""),"NOITE")</f>
        <v>NOITE</v>
      </c>
      <c r="K46" s="10" t="str">
        <f ca="1">IFERROR(__xludf.dummyfunction("""COMPUTED_VALUE"""),"TARDE")</f>
        <v>TARDE</v>
      </c>
      <c r="L46" s="10" t="str">
        <f ca="1">IFERROR(__xludf.dummyfunction("""COMPUTED_VALUE"""),"ANÁPOLIS - GO")</f>
        <v>ANÁPOLIS - GO</v>
      </c>
      <c r="M46" s="10">
        <f ca="1">IFERROR(__xludf.dummyfunction("""COMPUTED_VALUE"""),8)</f>
        <v>8</v>
      </c>
      <c r="N46" s="10" t="str">
        <f ca="1">IFERROR(__xludf.dummyfunction("""COMPUTED_VALUE"""),"1ª CONVOCAÇÃO")</f>
        <v>1ª CONVOCAÇÃO</v>
      </c>
      <c r="O46" s="11"/>
      <c r="P46" s="11"/>
      <c r="Q46" s="11"/>
      <c r="R46" s="11"/>
    </row>
    <row r="47" spans="1:18">
      <c r="A47" s="10">
        <f ca="1">IFERROR(__xludf.dummyfunction("""COMPUTED_VALUE"""),23)</f>
        <v>23</v>
      </c>
      <c r="B47" s="11" t="str">
        <f ca="1">IFERROR(__xludf.dummyfunction("""COMPUTED_VALUE"""),"YANNA FABYAN OLIVEIRA")</f>
        <v>YANNA FABYAN OLIVEIRA</v>
      </c>
      <c r="C47" s="11" t="str">
        <f ca="1">IFERROR(__xludf.dummyfunction("""COMPUTED_VALUE"""),"6762086")</f>
        <v>6762086</v>
      </c>
      <c r="D47" s="11" t="str">
        <f ca="1">IFERROR(__xludf.dummyfunction("""COMPUTED_VALUE"""),"70796618119")</f>
        <v>70796618119</v>
      </c>
      <c r="E47" s="11" t="str">
        <f ca="1">IFERROR(__xludf.dummyfunction("""COMPUTED_VALUE"""),"OLIVEIRAYANNA255@GMAIL.COM")</f>
        <v>OLIVEIRAYANNA255@GMAIL.COM</v>
      </c>
      <c r="F47" s="11"/>
      <c r="G47" s="11" t="str">
        <f ca="1">IFERROR(__xludf.dummyfunction("""COMPUTED_VALUE"""),"(62) 993117288")</f>
        <v>(62) 993117288</v>
      </c>
      <c r="H47" s="11" t="str">
        <f ca="1">IFERROR(__xludf.dummyfunction("""COMPUTED_VALUE"""),"SUPERIOR")</f>
        <v>SUPERIOR</v>
      </c>
      <c r="I47" s="10" t="str">
        <f ca="1">IFERROR(__xludf.dummyfunction("""COMPUTED_VALUE"""),"DIREITO")</f>
        <v>DIREITO</v>
      </c>
      <c r="J47" s="10" t="str">
        <f ca="1">IFERROR(__xludf.dummyfunction("""COMPUTED_VALUE"""),"MANHÃ")</f>
        <v>MANHÃ</v>
      </c>
      <c r="K47" s="10" t="str">
        <f ca="1">IFERROR(__xludf.dummyfunction("""COMPUTED_VALUE"""),"TARDE")</f>
        <v>TARDE</v>
      </c>
      <c r="L47" s="10" t="str">
        <f ca="1">IFERROR(__xludf.dummyfunction("""COMPUTED_VALUE"""),"ANÁPOLIS - GO")</f>
        <v>ANÁPOLIS - GO</v>
      </c>
      <c r="M47" s="10">
        <f ca="1">IFERROR(__xludf.dummyfunction("""COMPUTED_VALUE"""),8)</f>
        <v>8</v>
      </c>
      <c r="N47" s="10" t="str">
        <f ca="1">IFERROR(__xludf.dummyfunction("""COMPUTED_VALUE"""),"1ª CONVOCAÇÃO")</f>
        <v>1ª CONVOCAÇÃO</v>
      </c>
      <c r="O47" s="11"/>
      <c r="P47" s="11"/>
      <c r="Q47" s="11"/>
      <c r="R47" s="11"/>
    </row>
    <row r="48" spans="1:18">
      <c r="A48" s="10">
        <f ca="1">IFERROR(__xludf.dummyfunction("""COMPUTED_VALUE"""),24)</f>
        <v>24</v>
      </c>
      <c r="B48" s="11" t="str">
        <f ca="1">IFERROR(__xludf.dummyfunction("""COMPUTED_VALUE"""),"CLARA GODINHO CARVALHO")</f>
        <v>CLARA GODINHO CARVALHO</v>
      </c>
      <c r="C48" s="11" t="str">
        <f ca="1">IFERROR(__xludf.dummyfunction("""COMPUTED_VALUE"""),"6003688")</f>
        <v>6003688</v>
      </c>
      <c r="D48" s="11" t="str">
        <f ca="1">IFERROR(__xludf.dummyfunction("""COMPUTED_VALUE"""),"70112804136")</f>
        <v>70112804136</v>
      </c>
      <c r="E48" s="11" t="str">
        <f ca="1">IFERROR(__xludf.dummyfunction("""COMPUTED_VALUE"""),"CLARAGCARVALHO14@GMAIL.COM")</f>
        <v>CLARAGCARVALHO14@GMAIL.COM</v>
      </c>
      <c r="F48" s="11"/>
      <c r="G48" s="11" t="str">
        <f ca="1">IFERROR(__xludf.dummyfunction("""COMPUTED_VALUE"""),"(62) 996602763")</f>
        <v>(62) 996602763</v>
      </c>
      <c r="H48" s="11" t="str">
        <f ca="1">IFERROR(__xludf.dummyfunction("""COMPUTED_VALUE"""),"SUPERIOR")</f>
        <v>SUPERIOR</v>
      </c>
      <c r="I48" s="10" t="str">
        <f ca="1">IFERROR(__xludf.dummyfunction("""COMPUTED_VALUE"""),"DIREITO")</f>
        <v>DIREITO</v>
      </c>
      <c r="J48" s="10" t="str">
        <f ca="1">IFERROR(__xludf.dummyfunction("""COMPUTED_VALUE"""),"MANHÃ")</f>
        <v>MANHÃ</v>
      </c>
      <c r="K48" s="10" t="str">
        <f ca="1">IFERROR(__xludf.dummyfunction("""COMPUTED_VALUE"""),"TARDE")</f>
        <v>TARDE</v>
      </c>
      <c r="L48" s="10" t="str">
        <f ca="1">IFERROR(__xludf.dummyfunction("""COMPUTED_VALUE"""),"ANÁPOLIS - GO")</f>
        <v>ANÁPOLIS - GO</v>
      </c>
      <c r="M48" s="10">
        <f ca="1">IFERROR(__xludf.dummyfunction("""COMPUTED_VALUE"""),6)</f>
        <v>6</v>
      </c>
      <c r="N48" s="10" t="str">
        <f ca="1">IFERROR(__xludf.dummyfunction("""COMPUTED_VALUE"""),"1ª CONVOCAÇÃO")</f>
        <v>1ª CONVOCAÇÃO</v>
      </c>
      <c r="O48" s="11"/>
      <c r="P48" s="11"/>
      <c r="Q48" s="11"/>
      <c r="R48" s="11"/>
    </row>
    <row r="49" spans="1:18">
      <c r="A49" s="10">
        <f ca="1">IFERROR(__xludf.dummyfunction("""COMPUTED_VALUE"""),25)</f>
        <v>25</v>
      </c>
      <c r="B49" s="11" t="str">
        <f ca="1">IFERROR(__xludf.dummyfunction("""COMPUTED_VALUE"""),"CHARLLYSON CIRIO BARBOSA RAMOS")</f>
        <v>CHARLLYSON CIRIO BARBOSA RAMOS</v>
      </c>
      <c r="C49" s="11" t="str">
        <f ca="1">IFERROR(__xludf.dummyfunction("""COMPUTED_VALUE"""),"6205650")</f>
        <v>6205650</v>
      </c>
      <c r="D49" s="11" t="str">
        <f ca="1">IFERROR(__xludf.dummyfunction("""COMPUTED_VALUE"""),"70279393121")</f>
        <v>70279393121</v>
      </c>
      <c r="E49" s="11" t="str">
        <f ca="1">IFERROR(__xludf.dummyfunction("""COMPUTED_VALUE"""),"CIRIOBARBOSARAMOSCHARLLYSON@GMAIL.COM")</f>
        <v>CIRIOBARBOSARAMOSCHARLLYSON@GMAIL.COM</v>
      </c>
      <c r="F49" s="11"/>
      <c r="G49" s="11" t="str">
        <f ca="1">IFERROR(__xludf.dummyfunction("""COMPUTED_VALUE"""),"(62) 995546158")</f>
        <v>(62) 995546158</v>
      </c>
      <c r="H49" s="11" t="str">
        <f ca="1">IFERROR(__xludf.dummyfunction("""COMPUTED_VALUE"""),"SUPERIOR")</f>
        <v>SUPERIOR</v>
      </c>
      <c r="I49" s="10" t="str">
        <f ca="1">IFERROR(__xludf.dummyfunction("""COMPUTED_VALUE"""),"DIREITO")</f>
        <v>DIREITO</v>
      </c>
      <c r="J49" s="10" t="str">
        <f ca="1">IFERROR(__xludf.dummyfunction("""COMPUTED_VALUE"""),"NOITE")</f>
        <v>NOITE</v>
      </c>
      <c r="K49" s="10" t="str">
        <f ca="1">IFERROR(__xludf.dummyfunction("""COMPUTED_VALUE"""),"TARDE")</f>
        <v>TARDE</v>
      </c>
      <c r="L49" s="10" t="str">
        <f ca="1">IFERROR(__xludf.dummyfunction("""COMPUTED_VALUE"""),"ANÁPOLIS - GO")</f>
        <v>ANÁPOLIS - GO</v>
      </c>
      <c r="M49" s="10">
        <f ca="1">IFERROR(__xludf.dummyfunction("""COMPUTED_VALUE"""),6)</f>
        <v>6</v>
      </c>
      <c r="N49" s="10" t="str">
        <f ca="1">IFERROR(__xludf.dummyfunction("""COMPUTED_VALUE"""),"DISPONÍVEL")</f>
        <v>DISPONÍVEL</v>
      </c>
      <c r="O49" s="11"/>
      <c r="P49" s="11"/>
      <c r="Q49" s="11"/>
      <c r="R49" s="11"/>
    </row>
    <row r="50" spans="1:18">
      <c r="A50" s="10">
        <f ca="1">IFERROR(__xludf.dummyfunction("""COMPUTED_VALUE"""),26)</f>
        <v>26</v>
      </c>
      <c r="B50" s="11" t="str">
        <f ca="1">IFERROR(__xludf.dummyfunction("""COMPUTED_VALUE"""),"LORENA LEITE SILVA")</f>
        <v>LORENA LEITE SILVA</v>
      </c>
      <c r="C50" s="11" t="str">
        <f ca="1">IFERROR(__xludf.dummyfunction("""COMPUTED_VALUE"""),"6704307")</f>
        <v>6704307</v>
      </c>
      <c r="D50" s="11" t="str">
        <f ca="1">IFERROR(__xludf.dummyfunction("""COMPUTED_VALUE"""),"70755947100")</f>
        <v>70755947100</v>
      </c>
      <c r="E50" s="11" t="str">
        <f ca="1">IFERROR(__xludf.dummyfunction("""COMPUTED_VALUE"""),"LORENNA-LEITE01@HOTMAIL.COM")</f>
        <v>LORENNA-LEITE01@HOTMAIL.COM</v>
      </c>
      <c r="F50" s="11"/>
      <c r="G50" s="11" t="str">
        <f ca="1">IFERROR(__xludf.dummyfunction("""COMPUTED_VALUE"""),"(62) 993541526")</f>
        <v>(62) 993541526</v>
      </c>
      <c r="H50" s="11" t="str">
        <f ca="1">IFERROR(__xludf.dummyfunction("""COMPUTED_VALUE"""),"SUPERIOR")</f>
        <v>SUPERIOR</v>
      </c>
      <c r="I50" s="10" t="str">
        <f ca="1">IFERROR(__xludf.dummyfunction("""COMPUTED_VALUE"""),"DIREITO")</f>
        <v>DIREITO</v>
      </c>
      <c r="J50" s="10" t="str">
        <f ca="1">IFERROR(__xludf.dummyfunction("""COMPUTED_VALUE"""),"NOITE")</f>
        <v>NOITE</v>
      </c>
      <c r="K50" s="10" t="str">
        <f ca="1">IFERROR(__xludf.dummyfunction("""COMPUTED_VALUE"""),"TARDE")</f>
        <v>TARDE</v>
      </c>
      <c r="L50" s="10" t="str">
        <f ca="1">IFERROR(__xludf.dummyfunction("""COMPUTED_VALUE"""),"ANÁPOLIS - GO")</f>
        <v>ANÁPOLIS - GO</v>
      </c>
      <c r="M50" s="10">
        <f ca="1">IFERROR(__xludf.dummyfunction("""COMPUTED_VALUE"""),8)</f>
        <v>8</v>
      </c>
      <c r="N50" s="10" t="str">
        <f ca="1">IFERROR(__xludf.dummyfunction("""COMPUTED_VALUE"""),"DISPONÍVEL")</f>
        <v>DISPONÍVEL</v>
      </c>
      <c r="O50" s="11"/>
      <c r="P50" s="11"/>
      <c r="Q50" s="11"/>
      <c r="R50" s="11"/>
    </row>
    <row r="51" spans="1:18">
      <c r="A51" s="10">
        <f ca="1">IFERROR(__xludf.dummyfunction("""COMPUTED_VALUE"""),27)</f>
        <v>27</v>
      </c>
      <c r="B51" s="11" t="str">
        <f ca="1">IFERROR(__xludf.dummyfunction("""COMPUTED_VALUE"""),"LAÍS DE ALMEIDA LOURES")</f>
        <v>LAÍS DE ALMEIDA LOURES</v>
      </c>
      <c r="C51" s="11" t="str">
        <f ca="1">IFERROR(__xludf.dummyfunction("""COMPUTED_VALUE"""),"7477894")</f>
        <v>7477894</v>
      </c>
      <c r="D51" s="11" t="str">
        <f ca="1">IFERROR(__xludf.dummyfunction("""COMPUTED_VALUE"""),"70255662173")</f>
        <v>70255662173</v>
      </c>
      <c r="E51" s="11" t="str">
        <f ca="1">IFERROR(__xludf.dummyfunction("""COMPUTED_VALUE"""),"LAISLOURES2003@GMAIL.COM")</f>
        <v>LAISLOURES2003@GMAIL.COM</v>
      </c>
      <c r="F51" s="11"/>
      <c r="G51" s="11" t="str">
        <f ca="1">IFERROR(__xludf.dummyfunction("""COMPUTED_VALUE"""),"(62) 992787301")</f>
        <v>(62) 992787301</v>
      </c>
      <c r="H51" s="11" t="str">
        <f ca="1">IFERROR(__xludf.dummyfunction("""COMPUTED_VALUE"""),"SUPERIOR")</f>
        <v>SUPERIOR</v>
      </c>
      <c r="I51" s="10" t="str">
        <f ca="1">IFERROR(__xludf.dummyfunction("""COMPUTED_VALUE"""),"DIREITO")</f>
        <v>DIREITO</v>
      </c>
      <c r="J51" s="10" t="str">
        <f ca="1">IFERROR(__xludf.dummyfunction("""COMPUTED_VALUE"""),"MANHÃ")</f>
        <v>MANHÃ</v>
      </c>
      <c r="K51" s="10" t="str">
        <f ca="1">IFERROR(__xludf.dummyfunction("""COMPUTED_VALUE"""),"TARDE")</f>
        <v>TARDE</v>
      </c>
      <c r="L51" s="10" t="str">
        <f ca="1">IFERROR(__xludf.dummyfunction("""COMPUTED_VALUE"""),"ANÁPOLIS - GO")</f>
        <v>ANÁPOLIS - GO</v>
      </c>
      <c r="M51" s="10">
        <f ca="1">IFERROR(__xludf.dummyfunction("""COMPUTED_VALUE"""),5)</f>
        <v>5</v>
      </c>
      <c r="N51" s="10" t="str">
        <f ca="1">IFERROR(__xludf.dummyfunction("""COMPUTED_VALUE"""),"DISPONÍVEL")</f>
        <v>DISPONÍVEL</v>
      </c>
      <c r="O51" s="11"/>
      <c r="P51" s="11"/>
      <c r="Q51" s="11"/>
      <c r="R51" s="11"/>
    </row>
    <row r="52" spans="1:18">
      <c r="A52" s="10">
        <f ca="1">IFERROR(__xludf.dummyfunction("""COMPUTED_VALUE"""),28)</f>
        <v>28</v>
      </c>
      <c r="B52" s="11" t="str">
        <f ca="1">IFERROR(__xludf.dummyfunction("""COMPUTED_VALUE"""),"JULIANA MARIA SANTOS MELO")</f>
        <v>JULIANA MARIA SANTOS MELO</v>
      </c>
      <c r="C52" s="11"/>
      <c r="D52" s="11" t="str">
        <f ca="1">IFERROR(__xludf.dummyfunction("""COMPUTED_VALUE"""),"06248464316")</f>
        <v>06248464316</v>
      </c>
      <c r="E52" s="11" t="str">
        <f ca="1">IFERROR(__xludf.dummyfunction("""COMPUTED_VALUE"""),"JULIANAMELO1104@GMAIL.COM")</f>
        <v>JULIANAMELO1104@GMAIL.COM</v>
      </c>
      <c r="F52" s="11" t="str">
        <f ca="1">IFERROR(__xludf.dummyfunction("""COMPUTED_VALUE"""),"(62) 92708767")</f>
        <v>(62) 92708767</v>
      </c>
      <c r="G52" s="11" t="str">
        <f ca="1">IFERROR(__xludf.dummyfunction("""COMPUTED_VALUE"""),"(62) 996088166")</f>
        <v>(62) 996088166</v>
      </c>
      <c r="H52" s="11" t="str">
        <f ca="1">IFERROR(__xludf.dummyfunction("""COMPUTED_VALUE"""),"SUPERIOR")</f>
        <v>SUPERIOR</v>
      </c>
      <c r="I52" s="10" t="str">
        <f ca="1">IFERROR(__xludf.dummyfunction("""COMPUTED_VALUE"""),"DIREITO")</f>
        <v>DIREITO</v>
      </c>
      <c r="J52" s="10" t="str">
        <f ca="1">IFERROR(__xludf.dummyfunction("""COMPUTED_VALUE"""),"NOITE")</f>
        <v>NOITE</v>
      </c>
      <c r="K52" s="10" t="str">
        <f ca="1">IFERROR(__xludf.dummyfunction("""COMPUTED_VALUE"""),"TARDE")</f>
        <v>TARDE</v>
      </c>
      <c r="L52" s="10" t="str">
        <f ca="1">IFERROR(__xludf.dummyfunction("""COMPUTED_VALUE"""),"ANÁPOLIS - GO")</f>
        <v>ANÁPOLIS - GO</v>
      </c>
      <c r="M52" s="10">
        <f ca="1">IFERROR(__xludf.dummyfunction("""COMPUTED_VALUE"""),9)</f>
        <v>9</v>
      </c>
      <c r="N52" s="10" t="str">
        <f ca="1">IFERROR(__xludf.dummyfunction("""COMPUTED_VALUE"""),"DISPONÍVEL")</f>
        <v>DISPONÍVEL</v>
      </c>
      <c r="O52" s="11"/>
      <c r="P52" s="11"/>
      <c r="Q52" s="11"/>
      <c r="R52" s="11"/>
    </row>
    <row r="53" spans="1:18">
      <c r="A53" s="10">
        <f ca="1">IFERROR(__xludf.dummyfunction("""COMPUTED_VALUE"""),29)</f>
        <v>29</v>
      </c>
      <c r="B53" s="11" t="str">
        <f ca="1">IFERROR(__xludf.dummyfunction("""COMPUTED_VALUE"""),"ANDRESSA GABRIELLA FERREIRA SOARES")</f>
        <v>ANDRESSA GABRIELLA FERREIRA SOARES</v>
      </c>
      <c r="C53" s="11" t="str">
        <f ca="1">IFERROR(__xludf.dummyfunction("""COMPUTED_VALUE"""),"7181902")</f>
        <v>7181902</v>
      </c>
      <c r="D53" s="11" t="str">
        <f ca="1">IFERROR(__xludf.dummyfunction("""COMPUTED_VALUE"""),"71123491178")</f>
        <v>71123491178</v>
      </c>
      <c r="E53" s="11" t="str">
        <f ca="1">IFERROR(__xludf.dummyfunction("""COMPUTED_VALUE"""),"ANDRESSAGABRIELLA876@GMAIL.COM")</f>
        <v>ANDRESSAGABRIELLA876@GMAIL.COM</v>
      </c>
      <c r="F53" s="11"/>
      <c r="G53" s="11" t="str">
        <f ca="1">IFERROR(__xludf.dummyfunction("""COMPUTED_VALUE"""),"(62) 993378996")</f>
        <v>(62) 993378996</v>
      </c>
      <c r="H53" s="11" t="str">
        <f ca="1">IFERROR(__xludf.dummyfunction("""COMPUTED_VALUE"""),"SUPERIOR")</f>
        <v>SUPERIOR</v>
      </c>
      <c r="I53" s="10" t="str">
        <f ca="1">IFERROR(__xludf.dummyfunction("""COMPUTED_VALUE"""),"DIREITO")</f>
        <v>DIREITO</v>
      </c>
      <c r="J53" s="10" t="str">
        <f ca="1">IFERROR(__xludf.dummyfunction("""COMPUTED_VALUE"""),"NOITE")</f>
        <v>NOITE</v>
      </c>
      <c r="K53" s="10" t="str">
        <f ca="1">IFERROR(__xludf.dummyfunction("""COMPUTED_VALUE"""),"TARDE")</f>
        <v>TARDE</v>
      </c>
      <c r="L53" s="10" t="str">
        <f ca="1">IFERROR(__xludf.dummyfunction("""COMPUTED_VALUE"""),"ANÁPOLIS - GO")</f>
        <v>ANÁPOLIS - GO</v>
      </c>
      <c r="M53" s="10">
        <f ca="1">IFERROR(__xludf.dummyfunction("""COMPUTED_VALUE"""),5)</f>
        <v>5</v>
      </c>
      <c r="N53" s="10" t="str">
        <f ca="1">IFERROR(__xludf.dummyfunction("""COMPUTED_VALUE"""),"DISPONÍVEL")</f>
        <v>DISPONÍVEL</v>
      </c>
      <c r="O53" s="11"/>
      <c r="P53" s="11"/>
      <c r="Q53" s="11"/>
      <c r="R53" s="11"/>
    </row>
    <row r="54" spans="1:18">
      <c r="A54" s="10">
        <f ca="1">IFERROR(__xludf.dummyfunction("""COMPUTED_VALUE"""),30)</f>
        <v>30</v>
      </c>
      <c r="B54" s="11" t="str">
        <f ca="1">IFERROR(__xludf.dummyfunction("""COMPUTED_VALUE"""),"JOYCE SILVA SIQUEIRA")</f>
        <v>JOYCE SILVA SIQUEIRA</v>
      </c>
      <c r="C54" s="11" t="str">
        <f ca="1">IFERROR(__xludf.dummyfunction("""COMPUTED_VALUE"""),"6140511")</f>
        <v>6140511</v>
      </c>
      <c r="D54" s="11" t="str">
        <f ca="1">IFERROR(__xludf.dummyfunction("""COMPUTED_VALUE"""),"70225245132")</f>
        <v>70225245132</v>
      </c>
      <c r="E54" s="11" t="str">
        <f ca="1">IFERROR(__xludf.dummyfunction("""COMPUTED_VALUE"""),"JOYCESILVASIQUEIRA15@GMAIL.COM")</f>
        <v>JOYCESILVASIQUEIRA15@GMAIL.COM</v>
      </c>
      <c r="F54" s="11"/>
      <c r="G54" s="11" t="str">
        <f ca="1">IFERROR(__xludf.dummyfunction("""COMPUTED_VALUE"""),"(62) 991238702")</f>
        <v>(62) 991238702</v>
      </c>
      <c r="H54" s="11" t="str">
        <f ca="1">IFERROR(__xludf.dummyfunction("""COMPUTED_VALUE"""),"SUPERIOR")</f>
        <v>SUPERIOR</v>
      </c>
      <c r="I54" s="10" t="str">
        <f ca="1">IFERROR(__xludf.dummyfunction("""COMPUTED_VALUE"""),"DIREITO")</f>
        <v>DIREITO</v>
      </c>
      <c r="J54" s="10" t="str">
        <f ca="1">IFERROR(__xludf.dummyfunction("""COMPUTED_VALUE"""),"NOITE")</f>
        <v>NOITE</v>
      </c>
      <c r="K54" s="10" t="str">
        <f ca="1">IFERROR(__xludf.dummyfunction("""COMPUTED_VALUE"""),"TARDE")</f>
        <v>TARDE</v>
      </c>
      <c r="L54" s="10" t="str">
        <f ca="1">IFERROR(__xludf.dummyfunction("""COMPUTED_VALUE"""),"ANÁPOLIS - GO")</f>
        <v>ANÁPOLIS - GO</v>
      </c>
      <c r="M54" s="10">
        <f ca="1">IFERROR(__xludf.dummyfunction("""COMPUTED_VALUE"""),8)</f>
        <v>8</v>
      </c>
      <c r="N54" s="10" t="str">
        <f ca="1">IFERROR(__xludf.dummyfunction("""COMPUTED_VALUE"""),"DISPONÍVEL")</f>
        <v>DISPONÍVEL</v>
      </c>
      <c r="O54" s="11"/>
      <c r="P54" s="11"/>
      <c r="Q54" s="11"/>
      <c r="R54" s="11"/>
    </row>
    <row r="55" spans="1:18">
      <c r="A55" s="10">
        <f ca="1">IFERROR(__xludf.dummyfunction("""COMPUTED_VALUE"""),31)</f>
        <v>31</v>
      </c>
      <c r="B55" s="11" t="str">
        <f ca="1">IFERROR(__xludf.dummyfunction("""COMPUTED_VALUE"""),"HILLARY VITORIA DE OLIVEIRA")</f>
        <v>HILLARY VITORIA DE OLIVEIRA</v>
      </c>
      <c r="C55" s="11"/>
      <c r="D55" s="11" t="str">
        <f ca="1">IFERROR(__xludf.dummyfunction("""COMPUTED_VALUE"""),"70612969177")</f>
        <v>70612969177</v>
      </c>
      <c r="E55" s="11" t="str">
        <f ca="1">IFERROR(__xludf.dummyfunction("""COMPUTED_VALUE"""),"HILLARYVITTORIA1623@GMAIL.COM")</f>
        <v>HILLARYVITTORIA1623@GMAIL.COM</v>
      </c>
      <c r="F55" s="11"/>
      <c r="G55" s="11" t="str">
        <f ca="1">IFERROR(__xludf.dummyfunction("""COMPUTED_VALUE"""),"(62) 994896751")</f>
        <v>(62) 994896751</v>
      </c>
      <c r="H55" s="11" t="str">
        <f ca="1">IFERROR(__xludf.dummyfunction("""COMPUTED_VALUE"""),"SUPERIOR")</f>
        <v>SUPERIOR</v>
      </c>
      <c r="I55" s="10" t="str">
        <f ca="1">IFERROR(__xludf.dummyfunction("""COMPUTED_VALUE"""),"DIREITO")</f>
        <v>DIREITO</v>
      </c>
      <c r="J55" s="10" t="str">
        <f ca="1">IFERROR(__xludf.dummyfunction("""COMPUTED_VALUE"""),"NOITE")</f>
        <v>NOITE</v>
      </c>
      <c r="K55" s="10" t="str">
        <f ca="1">IFERROR(__xludf.dummyfunction("""COMPUTED_VALUE"""),"TARDE")</f>
        <v>TARDE</v>
      </c>
      <c r="L55" s="10" t="str">
        <f ca="1">IFERROR(__xludf.dummyfunction("""COMPUTED_VALUE"""),"ANÁPOLIS - GO")</f>
        <v>ANÁPOLIS - GO</v>
      </c>
      <c r="M55" s="10">
        <f ca="1">IFERROR(__xludf.dummyfunction("""COMPUTED_VALUE"""),6)</f>
        <v>6</v>
      </c>
      <c r="N55" s="10" t="str">
        <f ca="1">IFERROR(__xludf.dummyfunction("""COMPUTED_VALUE"""),"DISPONÍVEL")</f>
        <v>DISPONÍVEL</v>
      </c>
      <c r="O55" s="11"/>
      <c r="P55" s="11"/>
      <c r="Q55" s="11"/>
      <c r="R55" s="11"/>
    </row>
    <row r="56" spans="1:18">
      <c r="A56" s="10">
        <f ca="1">IFERROR(__xludf.dummyfunction("""COMPUTED_VALUE"""),32)</f>
        <v>32</v>
      </c>
      <c r="B56" s="11" t="str">
        <f ca="1">IFERROR(__xludf.dummyfunction("""COMPUTED_VALUE"""),"GEOVANNA MARTINELLI DE CASTRO")</f>
        <v>GEOVANNA MARTINELLI DE CASTRO</v>
      </c>
      <c r="C56" s="11"/>
      <c r="D56" s="11" t="str">
        <f ca="1">IFERROR(__xludf.dummyfunction("""COMPUTED_VALUE"""),"71464958173")</f>
        <v>71464958173</v>
      </c>
      <c r="E56" s="11" t="str">
        <f ca="1">IFERROR(__xludf.dummyfunction("""COMPUTED_VALUE"""),"GEOVANNA.MARTINELLI@HOTMAIL.COM")</f>
        <v>GEOVANNA.MARTINELLI@HOTMAIL.COM</v>
      </c>
      <c r="F56" s="11" t="str">
        <f ca="1">IFERROR(__xludf.dummyfunction("""COMPUTED_VALUE"""),"(62) 30985406")</f>
        <v>(62) 30985406</v>
      </c>
      <c r="G56" s="11" t="str">
        <f ca="1">IFERROR(__xludf.dummyfunction("""COMPUTED_VALUE"""),"(62) 984009680")</f>
        <v>(62) 984009680</v>
      </c>
      <c r="H56" s="11" t="str">
        <f ca="1">IFERROR(__xludf.dummyfunction("""COMPUTED_VALUE"""),"SUPERIOR")</f>
        <v>SUPERIOR</v>
      </c>
      <c r="I56" s="10" t="str">
        <f ca="1">IFERROR(__xludf.dummyfunction("""COMPUTED_VALUE"""),"DIREITO")</f>
        <v>DIREITO</v>
      </c>
      <c r="J56" s="10" t="str">
        <f ca="1">IFERROR(__xludf.dummyfunction("""COMPUTED_VALUE"""),"MANHÃ")</f>
        <v>MANHÃ</v>
      </c>
      <c r="K56" s="10" t="str">
        <f ca="1">IFERROR(__xludf.dummyfunction("""COMPUTED_VALUE"""),"TARDE")</f>
        <v>TARDE</v>
      </c>
      <c r="L56" s="10" t="str">
        <f ca="1">IFERROR(__xludf.dummyfunction("""COMPUTED_VALUE"""),"ANÁPOLIS - GO")</f>
        <v>ANÁPOLIS - GO</v>
      </c>
      <c r="M56" s="10">
        <f ca="1">IFERROR(__xludf.dummyfunction("""COMPUTED_VALUE"""),5)</f>
        <v>5</v>
      </c>
      <c r="N56" s="10" t="str">
        <f ca="1">IFERROR(__xludf.dummyfunction("""COMPUTED_VALUE"""),"DISPONÍVEL")</f>
        <v>DISPONÍVEL</v>
      </c>
      <c r="O56" s="11"/>
      <c r="P56" s="11"/>
      <c r="Q56" s="11"/>
      <c r="R56" s="11"/>
    </row>
    <row r="57" spans="1:18">
      <c r="A57" s="10">
        <f ca="1">IFERROR(__xludf.dummyfunction("""COMPUTED_VALUE"""),33)</f>
        <v>33</v>
      </c>
      <c r="B57" s="11" t="str">
        <f ca="1">IFERROR(__xludf.dummyfunction("""COMPUTED_VALUE"""),"DANIEL PEREIRA LOPES")</f>
        <v>DANIEL PEREIRA LOPES</v>
      </c>
      <c r="C57" s="11"/>
      <c r="D57" s="11" t="str">
        <f ca="1">IFERROR(__xludf.dummyfunction("""COMPUTED_VALUE"""),"70456861106")</f>
        <v>70456861106</v>
      </c>
      <c r="E57" s="11" t="str">
        <f ca="1">IFERROR(__xludf.dummyfunction("""COMPUTED_VALUE"""),"DANIELPEREIRA747@ICLOUD.COM")</f>
        <v>DANIELPEREIRA747@ICLOUD.COM</v>
      </c>
      <c r="F57" s="11"/>
      <c r="G57" s="11" t="str">
        <f ca="1">IFERROR(__xludf.dummyfunction("""COMPUTED_VALUE"""),"(62) 984994865")</f>
        <v>(62) 984994865</v>
      </c>
      <c r="H57" s="11" t="str">
        <f ca="1">IFERROR(__xludf.dummyfunction("""COMPUTED_VALUE"""),"SUPERIOR")</f>
        <v>SUPERIOR</v>
      </c>
      <c r="I57" s="10" t="str">
        <f ca="1">IFERROR(__xludf.dummyfunction("""COMPUTED_VALUE"""),"DIREITO")</f>
        <v>DIREITO</v>
      </c>
      <c r="J57" s="10" t="str">
        <f ca="1">IFERROR(__xludf.dummyfunction("""COMPUTED_VALUE"""),"NOITE")</f>
        <v>NOITE</v>
      </c>
      <c r="K57" s="10" t="str">
        <f ca="1">IFERROR(__xludf.dummyfunction("""COMPUTED_VALUE"""),"TARDE")</f>
        <v>TARDE</v>
      </c>
      <c r="L57" s="10" t="str">
        <f ca="1">IFERROR(__xludf.dummyfunction("""COMPUTED_VALUE"""),"ANÁPOLIS - GO")</f>
        <v>ANÁPOLIS - GO</v>
      </c>
      <c r="M57" s="10">
        <f ca="1">IFERROR(__xludf.dummyfunction("""COMPUTED_VALUE"""),8)</f>
        <v>8</v>
      </c>
      <c r="N57" s="10" t="str">
        <f ca="1">IFERROR(__xludf.dummyfunction("""COMPUTED_VALUE"""),"DISPONÍVEL")</f>
        <v>DISPONÍVEL</v>
      </c>
      <c r="O57" s="11"/>
      <c r="P57" s="11"/>
      <c r="Q57" s="11"/>
      <c r="R57" s="11"/>
    </row>
    <row r="58" spans="1:18">
      <c r="A58" s="10">
        <f ca="1">IFERROR(__xludf.dummyfunction("""COMPUTED_VALUE"""),1)</f>
        <v>1</v>
      </c>
      <c r="B58" s="11" t="str">
        <f ca="1">IFERROR(__xludf.dummyfunction("""COMPUTED_VALUE"""),"JULIANE FLÁVIA CANÇADO VIANA")</f>
        <v>JULIANE FLÁVIA CANÇADO VIANA</v>
      </c>
      <c r="C58" s="11"/>
      <c r="D58" s="11" t="str">
        <f ca="1">IFERROR(__xludf.dummyfunction("""COMPUTED_VALUE"""),"97977330687")</f>
        <v>97977330687</v>
      </c>
      <c r="E58" s="11" t="str">
        <f ca="1">IFERROR(__xludf.dummyfunction("""COMPUTED_VALUE"""),"JULIANE.VIANA@GMAIL.COM")</f>
        <v>JULIANE.VIANA@GMAIL.COM</v>
      </c>
      <c r="F58" s="11"/>
      <c r="G58" s="11" t="str">
        <f ca="1">IFERROR(__xludf.dummyfunction("""COMPUTED_VALUE"""),"(62) 983220176")</f>
        <v>(62) 983220176</v>
      </c>
      <c r="H58" s="11" t="str">
        <f ca="1">IFERROR(__xludf.dummyfunction("""COMPUTED_VALUE"""),"SUPERIOR")</f>
        <v>SUPERIOR</v>
      </c>
      <c r="I58" s="10" t="str">
        <f ca="1">IFERROR(__xludf.dummyfunction("""COMPUTED_VALUE"""),"PEDAGOGIA")</f>
        <v>PEDAGOGIA</v>
      </c>
      <c r="J58" s="10" t="str">
        <f ca="1">IFERROR(__xludf.dummyfunction("""COMPUTED_VALUE"""),"VARIÁVEL")</f>
        <v>VARIÁVEL</v>
      </c>
      <c r="K58" s="10" t="str">
        <f ca="1">IFERROR(__xludf.dummyfunction("""COMPUTED_VALUE"""),"TARDE")</f>
        <v>TARDE</v>
      </c>
      <c r="L58" s="10" t="str">
        <f ca="1">IFERROR(__xludf.dummyfunction("""COMPUTED_VALUE"""),"ANÁPOLIS - GO")</f>
        <v>ANÁPOLIS - GO</v>
      </c>
      <c r="M58" s="10">
        <f ca="1">IFERROR(__xludf.dummyfunction("""COMPUTED_VALUE"""),5)</f>
        <v>5</v>
      </c>
      <c r="N58" s="10" t="str">
        <f ca="1">IFERROR(__xludf.dummyfunction("""COMPUTED_VALUE"""),"DISPONÍVEL")</f>
        <v>DISPONÍVEL</v>
      </c>
      <c r="O58" s="11"/>
      <c r="P58" s="11"/>
      <c r="Q58" s="11"/>
      <c r="R58" s="11"/>
    </row>
    <row r="59" spans="1:18">
      <c r="A59" s="10">
        <f ca="1">IFERROR(__xludf.dummyfunction("""COMPUTED_VALUE"""),2)</f>
        <v>2</v>
      </c>
      <c r="B59" s="11" t="str">
        <f ca="1">IFERROR(__xludf.dummyfunction("""COMPUTED_VALUE"""),"YARA ROCHA MARTINS")</f>
        <v>YARA ROCHA MARTINS</v>
      </c>
      <c r="C59" s="11" t="str">
        <f ca="1">IFERROR(__xludf.dummyfunction("""COMPUTED_VALUE"""),"42953442")</f>
        <v>42953442</v>
      </c>
      <c r="D59" s="11" t="str">
        <f ca="1">IFERROR(__xludf.dummyfunction("""COMPUTED_VALUE"""),"00332121127")</f>
        <v>00332121127</v>
      </c>
      <c r="E59" s="11" t="str">
        <f ca="1">IFERROR(__xludf.dummyfunction("""COMPUTED_VALUE"""),"YROCHAMARTINS@HOTMAIL.COM")</f>
        <v>YROCHAMARTINS@HOTMAIL.COM</v>
      </c>
      <c r="F59" s="11"/>
      <c r="G59" s="11" t="str">
        <f ca="1">IFERROR(__xludf.dummyfunction("""COMPUTED_VALUE"""),"(62) 992881131")</f>
        <v>(62) 992881131</v>
      </c>
      <c r="H59" s="11" t="str">
        <f ca="1">IFERROR(__xludf.dummyfunction("""COMPUTED_VALUE"""),"SUPERIOR")</f>
        <v>SUPERIOR</v>
      </c>
      <c r="I59" s="10" t="str">
        <f ca="1">IFERROR(__xludf.dummyfunction("""COMPUTED_VALUE"""),"PEDAGOGIA")</f>
        <v>PEDAGOGIA</v>
      </c>
      <c r="J59" s="10" t="str">
        <f ca="1">IFERROR(__xludf.dummyfunction("""COMPUTED_VALUE"""),"NOITE")</f>
        <v>NOITE</v>
      </c>
      <c r="K59" s="10" t="str">
        <f ca="1">IFERROR(__xludf.dummyfunction("""COMPUTED_VALUE"""),"TARDE")</f>
        <v>TARDE</v>
      </c>
      <c r="L59" s="10" t="str">
        <f ca="1">IFERROR(__xludf.dummyfunction("""COMPUTED_VALUE"""),"ANÁPOLIS - GO")</f>
        <v>ANÁPOLIS - GO</v>
      </c>
      <c r="M59" s="10">
        <f ca="1">IFERROR(__xludf.dummyfunction("""COMPUTED_VALUE"""),6)</f>
        <v>6</v>
      </c>
      <c r="N59" s="10" t="str">
        <f ca="1">IFERROR(__xludf.dummyfunction("""COMPUTED_VALUE"""),"DISPONÍVEL")</f>
        <v>DISPONÍVEL</v>
      </c>
      <c r="O59" s="11"/>
      <c r="P59" s="11"/>
      <c r="Q59" s="11"/>
      <c r="R59" s="11"/>
    </row>
    <row r="60" spans="1:18">
      <c r="A60" s="10">
        <f ca="1">IFERROR(__xludf.dummyfunction("""COMPUTED_VALUE"""),3)</f>
        <v>3</v>
      </c>
      <c r="B60" s="11" t="str">
        <f ca="1">IFERROR(__xludf.dummyfunction("""COMPUTED_VALUE"""),"ERICA DIAS ANDRADE")</f>
        <v>ERICA DIAS ANDRADE</v>
      </c>
      <c r="C60" s="11" t="str">
        <f ca="1">IFERROR(__xludf.dummyfunction("""COMPUTED_VALUE"""),"6303455")</f>
        <v>6303455</v>
      </c>
      <c r="D60" s="11" t="str">
        <f ca="1">IFERROR(__xludf.dummyfunction("""COMPUTED_VALUE"""),"02269060199")</f>
        <v>02269060199</v>
      </c>
      <c r="E60" s="11" t="str">
        <f ca="1">IFERROR(__xludf.dummyfunction("""COMPUTED_VALUE"""),"ERICADIASJEL@GMAIL.COM")</f>
        <v>ERICADIASJEL@GMAIL.COM</v>
      </c>
      <c r="F60" s="11"/>
      <c r="G60" s="11" t="str">
        <f ca="1">IFERROR(__xludf.dummyfunction("""COMPUTED_VALUE"""),"(62) 991702570")</f>
        <v>(62) 991702570</v>
      </c>
      <c r="H60" s="11" t="str">
        <f ca="1">IFERROR(__xludf.dummyfunction("""COMPUTED_VALUE"""),"SUPERIOR")</f>
        <v>SUPERIOR</v>
      </c>
      <c r="I60" s="10" t="str">
        <f ca="1">IFERROR(__xludf.dummyfunction("""COMPUTED_VALUE"""),"PEDAGOGIA")</f>
        <v>PEDAGOGIA</v>
      </c>
      <c r="J60" s="10" t="str">
        <f ca="1">IFERROR(__xludf.dummyfunction("""COMPUTED_VALUE"""),"VARIÁVEL")</f>
        <v>VARIÁVEL</v>
      </c>
      <c r="K60" s="10" t="str">
        <f ca="1">IFERROR(__xludf.dummyfunction("""COMPUTED_VALUE"""),"TARDE")</f>
        <v>TARDE</v>
      </c>
      <c r="L60" s="10" t="str">
        <f ca="1">IFERROR(__xludf.dummyfunction("""COMPUTED_VALUE"""),"ANÁPOLIS - GO")</f>
        <v>ANÁPOLIS - GO</v>
      </c>
      <c r="M60" s="10">
        <f ca="1">IFERROR(__xludf.dummyfunction("""COMPUTED_VALUE"""),5)</f>
        <v>5</v>
      </c>
      <c r="N60" s="10" t="str">
        <f ca="1">IFERROR(__xludf.dummyfunction("""COMPUTED_VALUE"""),"DISPONÍVEL")</f>
        <v>DISPONÍVEL</v>
      </c>
      <c r="O60" s="11"/>
      <c r="P60" s="11"/>
      <c r="Q60" s="11"/>
      <c r="R60" s="11"/>
    </row>
    <row r="61" spans="1:18">
      <c r="A61" s="10">
        <f ca="1">IFERROR(__xludf.dummyfunction("""COMPUTED_VALUE"""),4)</f>
        <v>4</v>
      </c>
      <c r="B61" s="11" t="str">
        <f ca="1">IFERROR(__xludf.dummyfunction("""COMPUTED_VALUE"""),"MICHELLE AGUIAR DOS SANTOS")</f>
        <v>MICHELLE AGUIAR DOS SANTOS</v>
      </c>
      <c r="C61" s="11" t="str">
        <f ca="1">IFERROR(__xludf.dummyfunction("""COMPUTED_VALUE"""),"1050673")</f>
        <v>1050673</v>
      </c>
      <c r="D61" s="11" t="str">
        <f ca="1">IFERROR(__xludf.dummyfunction("""COMPUTED_VALUE"""),"03332299166")</f>
        <v>03332299166</v>
      </c>
      <c r="E61" s="11" t="str">
        <f ca="1">IFERROR(__xludf.dummyfunction("""COMPUTED_VALUE"""),"MICHELLEADDSC@GMAIL.COM")</f>
        <v>MICHELLEADDSC@GMAIL.COM</v>
      </c>
      <c r="F61" s="11"/>
      <c r="G61" s="11" t="str">
        <f ca="1">IFERROR(__xludf.dummyfunction("""COMPUTED_VALUE"""),"(63) 992400484")</f>
        <v>(63) 992400484</v>
      </c>
      <c r="H61" s="11" t="str">
        <f ca="1">IFERROR(__xludf.dummyfunction("""COMPUTED_VALUE"""),"SUPERIOR")</f>
        <v>SUPERIOR</v>
      </c>
      <c r="I61" s="10" t="str">
        <f ca="1">IFERROR(__xludf.dummyfunction("""COMPUTED_VALUE"""),"PSICOLOGIA")</f>
        <v>PSICOLOGIA</v>
      </c>
      <c r="J61" s="10" t="str">
        <f ca="1">IFERROR(__xludf.dummyfunction("""COMPUTED_VALUE"""),"NOITE")</f>
        <v>NOITE</v>
      </c>
      <c r="K61" s="10" t="str">
        <f ca="1">IFERROR(__xludf.dummyfunction("""COMPUTED_VALUE"""),"TARDE")</f>
        <v>TARDE</v>
      </c>
      <c r="L61" s="10" t="str">
        <f ca="1">IFERROR(__xludf.dummyfunction("""COMPUTED_VALUE"""),"ANÁPOLIS - GO")</f>
        <v>ANÁPOLIS - GO</v>
      </c>
      <c r="M61" s="10">
        <f ca="1">IFERROR(__xludf.dummyfunction("""COMPUTED_VALUE"""),6)</f>
        <v>6</v>
      </c>
      <c r="N61" s="10" t="str">
        <f ca="1">IFERROR(__xludf.dummyfunction("""COMPUTED_VALUE"""),"DISPONÍVEL")</f>
        <v>DISPONÍVEL</v>
      </c>
      <c r="O61" s="11"/>
      <c r="P61" s="11"/>
      <c r="Q61" s="11"/>
      <c r="R61" s="11"/>
    </row>
    <row r="62" spans="1:18">
      <c r="A62" s="10">
        <f ca="1">IFERROR(__xludf.dummyfunction("""COMPUTED_VALUE"""),5)</f>
        <v>5</v>
      </c>
      <c r="B62" s="11" t="str">
        <f ca="1">IFERROR(__xludf.dummyfunction("""COMPUTED_VALUE"""),"NATHÁLIA BORGES PACHECO")</f>
        <v>NATHÁLIA BORGES PACHECO</v>
      </c>
      <c r="C62" s="11" t="str">
        <f ca="1">IFERROR(__xludf.dummyfunction("""COMPUTED_VALUE"""),"6861555")</f>
        <v>6861555</v>
      </c>
      <c r="D62" s="11" t="str">
        <f ca="1">IFERROR(__xludf.dummyfunction("""COMPUTED_VALUE"""),"70891609121")</f>
        <v>70891609121</v>
      </c>
      <c r="E62" s="11" t="str">
        <f ca="1">IFERROR(__xludf.dummyfunction("""COMPUTED_VALUE"""),"NATHALIAPACHECO1408@GMAIL.COM")</f>
        <v>NATHALIAPACHECO1408@GMAIL.COM</v>
      </c>
      <c r="F62" s="11"/>
      <c r="G62" s="11" t="str">
        <f ca="1">IFERROR(__xludf.dummyfunction("""COMPUTED_VALUE"""),"(62) 994894607")</f>
        <v>(62) 994894607</v>
      </c>
      <c r="H62" s="11" t="str">
        <f ca="1">IFERROR(__xludf.dummyfunction("""COMPUTED_VALUE"""),"SUPERIOR")</f>
        <v>SUPERIOR</v>
      </c>
      <c r="I62" s="10" t="str">
        <f ca="1">IFERROR(__xludf.dummyfunction("""COMPUTED_VALUE"""),"PSICOLOGIA")</f>
        <v>PSICOLOGIA</v>
      </c>
      <c r="J62" s="10" t="str">
        <f ca="1">IFERROR(__xludf.dummyfunction("""COMPUTED_VALUE"""),"NOITE")</f>
        <v>NOITE</v>
      </c>
      <c r="K62" s="10" t="str">
        <f ca="1">IFERROR(__xludf.dummyfunction("""COMPUTED_VALUE"""),"TARDE")</f>
        <v>TARDE</v>
      </c>
      <c r="L62" s="10" t="str">
        <f ca="1">IFERROR(__xludf.dummyfunction("""COMPUTED_VALUE"""),"ANÁPOLIS - GO")</f>
        <v>ANÁPOLIS - GO</v>
      </c>
      <c r="M62" s="10">
        <f ca="1">IFERROR(__xludf.dummyfunction("""COMPUTED_VALUE"""),8)</f>
        <v>8</v>
      </c>
      <c r="N62" s="10" t="str">
        <f ca="1">IFERROR(__xludf.dummyfunction("""COMPUTED_VALUE"""),"DISPONÍVEL")</f>
        <v>DISPONÍVEL</v>
      </c>
      <c r="O62" s="11"/>
      <c r="P62" s="11"/>
      <c r="Q62" s="11"/>
      <c r="R62" s="11"/>
    </row>
    <row r="63" spans="1:18">
      <c r="A63" s="10">
        <f ca="1">IFERROR(__xludf.dummyfunction("""COMPUTED_VALUE"""),6)</f>
        <v>6</v>
      </c>
      <c r="B63" s="11" t="str">
        <f ca="1">IFERROR(__xludf.dummyfunction("""COMPUTED_VALUE"""),"ISABELLA CARDOSO FAUSTINO")</f>
        <v>ISABELLA CARDOSO FAUSTINO</v>
      </c>
      <c r="C63" s="11"/>
      <c r="D63" s="11" t="str">
        <f ca="1">IFERROR(__xludf.dummyfunction("""COMPUTED_VALUE"""),"70260677108")</f>
        <v>70260677108</v>
      </c>
      <c r="E63" s="11" t="str">
        <f ca="1">IFERROR(__xludf.dummyfunction("""COMPUTED_VALUE"""),"ISABELLA.FAUSTINO@HOTMAIL.COM")</f>
        <v>ISABELLA.FAUSTINO@HOTMAIL.COM</v>
      </c>
      <c r="F63" s="11" t="str">
        <f ca="1">IFERROR(__xludf.dummyfunction("""COMPUTED_VALUE"""),"(62) 99362805")</f>
        <v>(62) 99362805</v>
      </c>
      <c r="G63" s="11" t="str">
        <f ca="1">IFERROR(__xludf.dummyfunction("""COMPUTED_VALUE"""),"(62) 993628052")</f>
        <v>(62) 993628052</v>
      </c>
      <c r="H63" s="11" t="str">
        <f ca="1">IFERROR(__xludf.dummyfunction("""COMPUTED_VALUE"""),"SUPERIOR")</f>
        <v>SUPERIOR</v>
      </c>
      <c r="I63" s="10" t="str">
        <f ca="1">IFERROR(__xludf.dummyfunction("""COMPUTED_VALUE"""),"PSICOLOGIA")</f>
        <v>PSICOLOGIA</v>
      </c>
      <c r="J63" s="10" t="str">
        <f ca="1">IFERROR(__xludf.dummyfunction("""COMPUTED_VALUE"""),"NOITE")</f>
        <v>NOITE</v>
      </c>
      <c r="K63" s="10" t="str">
        <f ca="1">IFERROR(__xludf.dummyfunction("""COMPUTED_VALUE"""),"TARDE")</f>
        <v>TARDE</v>
      </c>
      <c r="L63" s="10" t="str">
        <f ca="1">IFERROR(__xludf.dummyfunction("""COMPUTED_VALUE"""),"ANÁPOLIS - GO")</f>
        <v>ANÁPOLIS - GO</v>
      </c>
      <c r="M63" s="10">
        <f ca="1">IFERROR(__xludf.dummyfunction("""COMPUTED_VALUE"""),5)</f>
        <v>5</v>
      </c>
      <c r="N63" s="10" t="str">
        <f ca="1">IFERROR(__xludf.dummyfunction("""COMPUTED_VALUE"""),"DISPONÍVEL")</f>
        <v>DISPONÍVEL</v>
      </c>
      <c r="O63" s="11"/>
      <c r="P63" s="11"/>
      <c r="Q63" s="11"/>
      <c r="R63" s="11"/>
    </row>
    <row r="64" spans="1:18">
      <c r="A64" s="10">
        <f ca="1">IFERROR(__xludf.dummyfunction("""COMPUTED_VALUE"""),7)</f>
        <v>7</v>
      </c>
      <c r="B64" s="11" t="str">
        <f ca="1">IFERROR(__xludf.dummyfunction("""COMPUTED_VALUE"""),"KAROLAINY RODRIGUES DA SILVA")</f>
        <v>KAROLAINY RODRIGUES DA SILVA</v>
      </c>
      <c r="C64" s="11" t="str">
        <f ca="1">IFERROR(__xludf.dummyfunction("""COMPUTED_VALUE"""),"6873541")</f>
        <v>6873541</v>
      </c>
      <c r="D64" s="11" t="str">
        <f ca="1">IFERROR(__xludf.dummyfunction("""COMPUTED_VALUE"""),"09029174129")</f>
        <v>09029174129</v>
      </c>
      <c r="E64" s="11" t="str">
        <f ca="1">IFERROR(__xludf.dummyfunction("""COMPUTED_VALUE"""),"KAROLSILVA0530@ICLOUD.COM")</f>
        <v>KAROLSILVA0530@ICLOUD.COM</v>
      </c>
      <c r="F64" s="11"/>
      <c r="G64" s="11" t="str">
        <f ca="1">IFERROR(__xludf.dummyfunction("""COMPUTED_VALUE"""),"(62) 999667248")</f>
        <v>(62) 999667248</v>
      </c>
      <c r="H64" s="11" t="str">
        <f ca="1">IFERROR(__xludf.dummyfunction("""COMPUTED_VALUE"""),"SUPERIOR")</f>
        <v>SUPERIOR</v>
      </c>
      <c r="I64" s="10" t="str">
        <f ca="1">IFERROR(__xludf.dummyfunction("""COMPUTED_VALUE"""),"PSICOLOGIA")</f>
        <v>PSICOLOGIA</v>
      </c>
      <c r="J64" s="10" t="str">
        <f ca="1">IFERROR(__xludf.dummyfunction("""COMPUTED_VALUE"""),"NOITE")</f>
        <v>NOITE</v>
      </c>
      <c r="K64" s="10" t="str">
        <f ca="1">IFERROR(__xludf.dummyfunction("""COMPUTED_VALUE"""),"TARDE")</f>
        <v>TARDE</v>
      </c>
      <c r="L64" s="10" t="str">
        <f ca="1">IFERROR(__xludf.dummyfunction("""COMPUTED_VALUE"""),"ANÁPOLIS - GO")</f>
        <v>ANÁPOLIS - GO</v>
      </c>
      <c r="M64" s="10">
        <f ca="1">IFERROR(__xludf.dummyfunction("""COMPUTED_VALUE"""),8)</f>
        <v>8</v>
      </c>
      <c r="N64" s="10" t="str">
        <f ca="1">IFERROR(__xludf.dummyfunction("""COMPUTED_VALUE"""),"DISPONÍVEL")</f>
        <v>DISPONÍVEL</v>
      </c>
      <c r="O64" s="11"/>
      <c r="P64" s="11"/>
      <c r="Q64" s="11"/>
      <c r="R64" s="11"/>
    </row>
    <row r="65" spans="1:18">
      <c r="A65" s="10">
        <f ca="1">IFERROR(__xludf.dummyfunction("""COMPUTED_VALUE"""),8)</f>
        <v>8</v>
      </c>
      <c r="B65" s="11" t="str">
        <f ca="1">IFERROR(__xludf.dummyfunction("""COMPUTED_VALUE"""),"MÁBILY VITÓRIA DA CUNHA PIRES")</f>
        <v>MÁBILY VITÓRIA DA CUNHA PIRES</v>
      </c>
      <c r="C65" s="11" t="str">
        <f ca="1">IFERROR(__xludf.dummyfunction("""COMPUTED_VALUE"""),"5491586")</f>
        <v>5491586</v>
      </c>
      <c r="D65" s="11" t="str">
        <f ca="1">IFERROR(__xludf.dummyfunction("""COMPUTED_VALUE"""),"03562015119")</f>
        <v>03562015119</v>
      </c>
      <c r="E65" s="11" t="str">
        <f ca="1">IFERROR(__xludf.dummyfunction("""COMPUTED_VALUE"""),"PIRESMABILY@GMAIL.COM")</f>
        <v>PIRESMABILY@GMAIL.COM</v>
      </c>
      <c r="F65" s="11"/>
      <c r="G65" s="11" t="str">
        <f ca="1">IFERROR(__xludf.dummyfunction("""COMPUTED_VALUE"""),"(62) 996382577")</f>
        <v>(62) 996382577</v>
      </c>
      <c r="H65" s="11" t="str">
        <f ca="1">IFERROR(__xludf.dummyfunction("""COMPUTED_VALUE"""),"SUPERIOR")</f>
        <v>SUPERIOR</v>
      </c>
      <c r="I65" s="10" t="str">
        <f ca="1">IFERROR(__xludf.dummyfunction("""COMPUTED_VALUE"""),"PSICOLOGIA")</f>
        <v>PSICOLOGIA</v>
      </c>
      <c r="J65" s="10" t="str">
        <f ca="1">IFERROR(__xludf.dummyfunction("""COMPUTED_VALUE"""),"NOITE")</f>
        <v>NOITE</v>
      </c>
      <c r="K65" s="10" t="str">
        <f ca="1">IFERROR(__xludf.dummyfunction("""COMPUTED_VALUE"""),"TARDE")</f>
        <v>TARDE</v>
      </c>
      <c r="L65" s="10" t="str">
        <f ca="1">IFERROR(__xludf.dummyfunction("""COMPUTED_VALUE"""),"ANÁPOLIS - GO")</f>
        <v>ANÁPOLIS - GO</v>
      </c>
      <c r="M65" s="10">
        <f ca="1">IFERROR(__xludf.dummyfunction("""COMPUTED_VALUE"""),6)</f>
        <v>6</v>
      </c>
      <c r="N65" s="10" t="str">
        <f ca="1">IFERROR(__xludf.dummyfunction("""COMPUTED_VALUE"""),"DISPONÍVEL")</f>
        <v>DISPONÍVEL</v>
      </c>
      <c r="O65" s="11"/>
      <c r="P65" s="11"/>
      <c r="Q65" s="11"/>
      <c r="R65" s="11"/>
    </row>
    <row r="66" spans="1:18">
      <c r="A66" s="10">
        <f ca="1">IFERROR(__xludf.dummyfunction("""COMPUTED_VALUE"""),9)</f>
        <v>9</v>
      </c>
      <c r="B66" s="11" t="str">
        <f ca="1">IFERROR(__xludf.dummyfunction("""COMPUTED_VALUE"""),"WITHNEY KELLY MARQUES DA SILVA")</f>
        <v>WITHNEY KELLY MARQUES DA SILVA</v>
      </c>
      <c r="C66" s="11" t="str">
        <f ca="1">IFERROR(__xludf.dummyfunction("""COMPUTED_VALUE"""),"7380709")</f>
        <v>7380709</v>
      </c>
      <c r="D66" s="11" t="str">
        <f ca="1">IFERROR(__xludf.dummyfunction("""COMPUTED_VALUE"""),"03455760201")</f>
        <v>03455760201</v>
      </c>
      <c r="E66" s="11" t="str">
        <f ca="1">IFERROR(__xludf.dummyfunction("""COMPUTED_VALUE"""),"WITHNEYMARQUES@GMAIL.COM")</f>
        <v>WITHNEYMARQUES@GMAIL.COM</v>
      </c>
      <c r="F66" s="11"/>
      <c r="G66" s="11" t="str">
        <f ca="1">IFERROR(__xludf.dummyfunction("""COMPUTED_VALUE"""),"(62) 991755524")</f>
        <v>(62) 991755524</v>
      </c>
      <c r="H66" s="11" t="str">
        <f ca="1">IFERROR(__xludf.dummyfunction("""COMPUTED_VALUE"""),"SUPERIOR")</f>
        <v>SUPERIOR</v>
      </c>
      <c r="I66" s="10" t="str">
        <f ca="1">IFERROR(__xludf.dummyfunction("""COMPUTED_VALUE"""),"PSICOLOGIA")</f>
        <v>PSICOLOGIA</v>
      </c>
      <c r="J66" s="10" t="str">
        <f ca="1">IFERROR(__xludf.dummyfunction("""COMPUTED_VALUE"""),"NOITE")</f>
        <v>NOITE</v>
      </c>
      <c r="K66" s="10" t="str">
        <f ca="1">IFERROR(__xludf.dummyfunction("""COMPUTED_VALUE"""),"TARDE")</f>
        <v>TARDE</v>
      </c>
      <c r="L66" s="10" t="str">
        <f ca="1">IFERROR(__xludf.dummyfunction("""COMPUTED_VALUE"""),"ANÁPOLIS - GO")</f>
        <v>ANÁPOLIS - GO</v>
      </c>
      <c r="M66" s="10">
        <f ca="1">IFERROR(__xludf.dummyfunction("""COMPUTED_VALUE"""),7)</f>
        <v>7</v>
      </c>
      <c r="N66" s="10" t="str">
        <f ca="1">IFERROR(__xludf.dummyfunction("""COMPUTED_VALUE"""),"DISPONÍVEL")</f>
        <v>DISPONÍVEL</v>
      </c>
      <c r="O66" s="11"/>
      <c r="P66" s="11"/>
      <c r="Q66" s="11"/>
      <c r="R66" s="11"/>
    </row>
    <row r="67" spans="1:18">
      <c r="A67" s="10">
        <f ca="1">IFERROR(__xludf.dummyfunction("""COMPUTED_VALUE"""),10)</f>
        <v>10</v>
      </c>
      <c r="B67" s="11" t="str">
        <f ca="1">IFERROR(__xludf.dummyfunction("""COMPUTED_VALUE"""),"SARAH STEFFANIE DE LIMA BORGES ASSUNÇÃO")</f>
        <v>SARAH STEFFANIE DE LIMA BORGES ASSUNÇÃO</v>
      </c>
      <c r="C67" s="11" t="str">
        <f ca="1">IFERROR(__xludf.dummyfunction("""COMPUTED_VALUE"""),"5594177")</f>
        <v>5594177</v>
      </c>
      <c r="D67" s="11" t="str">
        <f ca="1">IFERROR(__xludf.dummyfunction("""COMPUTED_VALUE"""),"03253212130")</f>
        <v>03253212130</v>
      </c>
      <c r="E67" s="11" t="str">
        <f ca="1">IFERROR(__xludf.dummyfunction("""COMPUTED_VALUE"""),"STEFFANIEASSUNCAO@GMAIL.COM")</f>
        <v>STEFFANIEASSUNCAO@GMAIL.COM</v>
      </c>
      <c r="F67" s="11"/>
      <c r="G67" s="11" t="str">
        <f ca="1">IFERROR(__xludf.dummyfunction("""COMPUTED_VALUE"""),"(62) 991562303")</f>
        <v>(62) 991562303</v>
      </c>
      <c r="H67" s="11" t="str">
        <f ca="1">IFERROR(__xludf.dummyfunction("""COMPUTED_VALUE"""),"SUPERIOR")</f>
        <v>SUPERIOR</v>
      </c>
      <c r="I67" s="10" t="str">
        <f ca="1">IFERROR(__xludf.dummyfunction("""COMPUTED_VALUE"""),"PSICOLOGIA")</f>
        <v>PSICOLOGIA</v>
      </c>
      <c r="J67" s="10" t="str">
        <f ca="1">IFERROR(__xludf.dummyfunction("""COMPUTED_VALUE"""),"NOITE")</f>
        <v>NOITE</v>
      </c>
      <c r="K67" s="10" t="str">
        <f ca="1">IFERROR(__xludf.dummyfunction("""COMPUTED_VALUE"""),"TARDE")</f>
        <v>TARDE</v>
      </c>
      <c r="L67" s="10" t="str">
        <f ca="1">IFERROR(__xludf.dummyfunction("""COMPUTED_VALUE"""),"ANÁPOLIS - GO")</f>
        <v>ANÁPOLIS - GO</v>
      </c>
      <c r="M67" s="10">
        <f ca="1">IFERROR(__xludf.dummyfunction("""COMPUTED_VALUE"""),5)</f>
        <v>5</v>
      </c>
      <c r="N67" s="10" t="str">
        <f ca="1">IFERROR(__xludf.dummyfunction("""COMPUTED_VALUE"""),"DISPONÍVEL")</f>
        <v>DISPONÍVEL</v>
      </c>
      <c r="O67" s="11"/>
      <c r="P67" s="11"/>
      <c r="Q67" s="11"/>
      <c r="R67" s="11"/>
    </row>
    <row r="68" spans="1:18">
      <c r="A68" s="10">
        <f ca="1">IFERROR(__xludf.dummyfunction("QUERY(ANICUNS!A5:A8)"),1)</f>
        <v>1</v>
      </c>
      <c r="B68" s="9" t="str">
        <f ca="1">IFERROR(__xludf.dummyfunction("QUERY(ANICUNS!B5:B8)"),"PENÉLLOPE PERES DOS SANTOS")</f>
        <v>PENÉLLOPE PERES DOS SANTOS</v>
      </c>
      <c r="C68" s="9" t="str">
        <f ca="1">IFERROR(__xludf.dummyfunction("QUERY(ANICUNS!C5:C8)"),"")</f>
        <v/>
      </c>
      <c r="D68" s="9" t="str">
        <f ca="1">IFERROR(__xludf.dummyfunction("QUERY(ANICUNS!D5:D8)"),"01851712143")</f>
        <v>01851712143</v>
      </c>
      <c r="E68" s="9" t="str">
        <f ca="1">IFERROR(__xludf.dummyfunction("QUERY(ANICUNS!E5:E8)"),"PENELLOPEPERESS@OUTLOOK.COM")</f>
        <v>PENELLOPEPERESS@OUTLOOK.COM</v>
      </c>
      <c r="F68" s="9" t="str">
        <f ca="1">IFERROR(__xludf.dummyfunction("QUERY(ANICUNS!F5:F8)"),"(64) 92460197")</f>
        <v>(64) 92460197</v>
      </c>
      <c r="G68" s="9" t="str">
        <f ca="1">IFERROR(__xludf.dummyfunction("QUERY(ANICUNS!G5:G8)"),"(64) 92880431")</f>
        <v>(64) 92880431</v>
      </c>
      <c r="H68" s="9" t="str">
        <f ca="1">IFERROR(__xludf.dummyfunction("QUERY(ANICUNS!H5:H8)"),"SUPERIOR")</f>
        <v>SUPERIOR</v>
      </c>
      <c r="I68" s="10" t="str">
        <f ca="1">IFERROR(__xludf.dummyfunction("QUERY(ANICUNS!I5:I8)"),"DIREITO")</f>
        <v>DIREITO</v>
      </c>
      <c r="J68" s="10" t="str">
        <f ca="1">IFERROR(__xludf.dummyfunction("QUERY(ANICUNS!J5:J8)"),"NOITE")</f>
        <v>NOITE</v>
      </c>
      <c r="K68" s="10" t="str">
        <f ca="1">IFERROR(__xludf.dummyfunction("QUERY(ANICUNS!K5:K8)"),"TARDE")</f>
        <v>TARDE</v>
      </c>
      <c r="L68" s="10" t="str">
        <f ca="1">IFERROR(__xludf.dummyfunction("QUERY(ANICUNS!L5:L8)"),"ANICUNS - GO")</f>
        <v>ANICUNS - GO</v>
      </c>
      <c r="M68" s="10">
        <f ca="1">IFERROR(__xludf.dummyfunction("QUERY(ANICUNS!M5:M8)"),6)</f>
        <v>6</v>
      </c>
      <c r="N68" s="10" t="str">
        <f ca="1">IFERROR(__xludf.dummyfunction("QUERY(ANICUNS!N5:N8)"),"DISPONÍVEL")</f>
        <v>DISPONÍVEL</v>
      </c>
      <c r="O68" s="9" t="str">
        <f ca="1">IFERROR(__xludf.dummyfunction("QUERY(ANICUNS!O5:O8)"),"")</f>
        <v/>
      </c>
      <c r="P68" s="9" t="str">
        <f ca="1">IFERROR(__xludf.dummyfunction("QUERY(ANICUNS!P5:P8)"),"")</f>
        <v/>
      </c>
      <c r="Q68" s="9" t="str">
        <f ca="1">IFERROR(__xludf.dummyfunction("QUERY(ANICUNS!Q5:Q8)"),"")</f>
        <v/>
      </c>
      <c r="R68" s="9" t="str">
        <f ca="1">IFERROR(__xludf.dummyfunction("QUERY(ANICUNS!R5:R8)"),"")</f>
        <v/>
      </c>
    </row>
    <row r="69" spans="1:18">
      <c r="A69" s="10">
        <f ca="1">IFERROR(__xludf.dummyfunction("""COMPUTED_VALUE"""),2)</f>
        <v>2</v>
      </c>
      <c r="B69" s="11" t="str">
        <f ca="1">IFERROR(__xludf.dummyfunction("""COMPUTED_VALUE"""),"SILMARA SANTOS OLIVEIRA")</f>
        <v>SILMARA SANTOS OLIVEIRA</v>
      </c>
      <c r="C69" s="11"/>
      <c r="D69" s="11" t="str">
        <f ca="1">IFERROR(__xludf.dummyfunction("""COMPUTED_VALUE"""),"60939612305")</f>
        <v>60939612305</v>
      </c>
      <c r="E69" s="11" t="str">
        <f ca="1">IFERROR(__xludf.dummyfunction("""COMPUTED_VALUE"""),"SILMARAOLIVEIRA452@GMAIL.COM")</f>
        <v>SILMARAOLIVEIRA452@GMAIL.COM</v>
      </c>
      <c r="F69" s="11"/>
      <c r="G69" s="11" t="str">
        <f ca="1">IFERROR(__xludf.dummyfunction("""COMPUTED_VALUE"""),"(64) 992298935")</f>
        <v>(64) 992298935</v>
      </c>
      <c r="H69" s="11" t="str">
        <f ca="1">IFERROR(__xludf.dummyfunction("""COMPUTED_VALUE"""),"SUPERIOR")</f>
        <v>SUPERIOR</v>
      </c>
      <c r="I69" s="10" t="str">
        <f ca="1">IFERROR(__xludf.dummyfunction("""COMPUTED_VALUE"""),"DIREITO")</f>
        <v>DIREITO</v>
      </c>
      <c r="J69" s="10" t="str">
        <f ca="1">IFERROR(__xludf.dummyfunction("""COMPUTED_VALUE"""),"NOITE")</f>
        <v>NOITE</v>
      </c>
      <c r="K69" s="10" t="str">
        <f ca="1">IFERROR(__xludf.dummyfunction("""COMPUTED_VALUE"""),"TARDE")</f>
        <v>TARDE</v>
      </c>
      <c r="L69" s="10" t="str">
        <f ca="1">IFERROR(__xludf.dummyfunction("""COMPUTED_VALUE"""),"ANICUNS - GO")</f>
        <v>ANICUNS - GO</v>
      </c>
      <c r="M69" s="10">
        <f ca="1">IFERROR(__xludf.dummyfunction("""COMPUTED_VALUE"""),5)</f>
        <v>5</v>
      </c>
      <c r="N69" s="10" t="str">
        <f ca="1">IFERROR(__xludf.dummyfunction("""COMPUTED_VALUE"""),"DISPONÍVEL")</f>
        <v>DISPONÍVEL</v>
      </c>
      <c r="O69" s="11"/>
      <c r="P69" s="11"/>
      <c r="Q69" s="11"/>
      <c r="R69" s="11"/>
    </row>
    <row r="70" spans="1:18">
      <c r="A70" s="10">
        <f ca="1">IFERROR(__xludf.dummyfunction("""COMPUTED_VALUE"""),3)</f>
        <v>3</v>
      </c>
      <c r="B70" s="11" t="str">
        <f ca="1">IFERROR(__xludf.dummyfunction("""COMPUTED_VALUE"""),"NAYSA FERREIRA DOS REIS")</f>
        <v>NAYSA FERREIRA DOS REIS</v>
      </c>
      <c r="C70" s="11"/>
      <c r="D70" s="11" t="str">
        <f ca="1">IFERROR(__xludf.dummyfunction("""COMPUTED_VALUE"""),"70025176196")</f>
        <v>70025176196</v>
      </c>
      <c r="E70" s="11" t="str">
        <f ca="1">IFERROR(__xludf.dummyfunction("""COMPUTED_VALUE"""),"NAYSAFERRR100@HOTMAIL.COM")</f>
        <v>NAYSAFERRR100@HOTMAIL.COM</v>
      </c>
      <c r="F70" s="11" t="str">
        <f ca="1">IFERROR(__xludf.dummyfunction("""COMPUTED_VALUE"""),"(00) 00000000")</f>
        <v>(00) 00000000</v>
      </c>
      <c r="G70" s="11" t="str">
        <f ca="1">IFERROR(__xludf.dummyfunction("""COMPUTED_VALUE"""),"(64) 993055454")</f>
        <v>(64) 993055454</v>
      </c>
      <c r="H70" s="11" t="str">
        <f ca="1">IFERROR(__xludf.dummyfunction("""COMPUTED_VALUE"""),"SUPERIOR")</f>
        <v>SUPERIOR</v>
      </c>
      <c r="I70" s="10" t="str">
        <f ca="1">IFERROR(__xludf.dummyfunction("""COMPUTED_VALUE"""),"DIREITO")</f>
        <v>DIREITO</v>
      </c>
      <c r="J70" s="10" t="str">
        <f ca="1">IFERROR(__xludf.dummyfunction("""COMPUTED_VALUE"""),"NOITE")</f>
        <v>NOITE</v>
      </c>
      <c r="K70" s="10" t="str">
        <f ca="1">IFERROR(__xludf.dummyfunction("""COMPUTED_VALUE"""),"TARDE")</f>
        <v>TARDE</v>
      </c>
      <c r="L70" s="10" t="str">
        <f ca="1">IFERROR(__xludf.dummyfunction("""COMPUTED_VALUE"""),"ANICUNS - GO")</f>
        <v>ANICUNS - GO</v>
      </c>
      <c r="M70" s="10">
        <f ca="1">IFERROR(__xludf.dummyfunction("""COMPUTED_VALUE"""),6)</f>
        <v>6</v>
      </c>
      <c r="N70" s="10" t="str">
        <f ca="1">IFERROR(__xludf.dummyfunction("""COMPUTED_VALUE"""),"DISPONÍVEL")</f>
        <v>DISPONÍVEL</v>
      </c>
      <c r="O70" s="11"/>
      <c r="P70" s="11"/>
      <c r="Q70" s="11"/>
      <c r="R70" s="11"/>
    </row>
    <row r="71" spans="1:18">
      <c r="A71" s="10">
        <f ca="1">IFERROR(__xludf.dummyfunction("""COMPUTED_VALUE"""),4)</f>
        <v>4</v>
      </c>
      <c r="B71" s="11" t="str">
        <f ca="1">IFERROR(__xludf.dummyfunction("""COMPUTED_VALUE"""),"HODOALDO RIBEIRO NUNES")</f>
        <v>HODOALDO RIBEIRO NUNES</v>
      </c>
      <c r="C71" s="11" t="str">
        <f ca="1">IFERROR(__xludf.dummyfunction("""COMPUTED_VALUE"""),"2916551")</f>
        <v>2916551</v>
      </c>
      <c r="D71" s="11" t="str">
        <f ca="1">IFERROR(__xludf.dummyfunction("""COMPUTED_VALUE"""),"04371785107")</f>
        <v>04371785107</v>
      </c>
      <c r="E71" s="11" t="str">
        <f ca="1">IFERROR(__xludf.dummyfunction("""COMPUTED_VALUE"""),"HODOALDO_01@HOTMAIL.COM")</f>
        <v>HODOALDO_01@HOTMAIL.COM</v>
      </c>
      <c r="F71" s="11"/>
      <c r="G71" s="11" t="str">
        <f ca="1">IFERROR(__xludf.dummyfunction("""COMPUTED_VALUE"""),"(64) 992408290")</f>
        <v>(64) 992408290</v>
      </c>
      <c r="H71" s="11" t="str">
        <f ca="1">IFERROR(__xludf.dummyfunction("""COMPUTED_VALUE"""),"SUPERIOR")</f>
        <v>SUPERIOR</v>
      </c>
      <c r="I71" s="10" t="str">
        <f ca="1">IFERROR(__xludf.dummyfunction("""COMPUTED_VALUE"""),"DIREITO")</f>
        <v>DIREITO</v>
      </c>
      <c r="J71" s="10" t="str">
        <f ca="1">IFERROR(__xludf.dummyfunction("""COMPUTED_VALUE"""),"NOITE")</f>
        <v>NOITE</v>
      </c>
      <c r="K71" s="10" t="str">
        <f ca="1">IFERROR(__xludf.dummyfunction("""COMPUTED_VALUE"""),"TARDE")</f>
        <v>TARDE</v>
      </c>
      <c r="L71" s="10" t="str">
        <f ca="1">IFERROR(__xludf.dummyfunction("""COMPUTED_VALUE"""),"ANICUNS - GO")</f>
        <v>ANICUNS - GO</v>
      </c>
      <c r="M71" s="10">
        <f ca="1">IFERROR(__xludf.dummyfunction("""COMPUTED_VALUE"""),6)</f>
        <v>6</v>
      </c>
      <c r="N71" s="10" t="str">
        <f ca="1">IFERROR(__xludf.dummyfunction("""COMPUTED_VALUE"""),"DISPONÍVEL")</f>
        <v>DISPONÍVEL</v>
      </c>
      <c r="O71" s="11"/>
      <c r="P71" s="11"/>
      <c r="Q71" s="11"/>
      <c r="R71" s="11"/>
    </row>
    <row r="72" spans="1:18">
      <c r="A72" s="10">
        <f ca="1">IFERROR(__xludf.dummyfunction("QUERY('APARECIDA DE GOIÂNIA'!A5:A20)"),1)</f>
        <v>1</v>
      </c>
      <c r="B72" s="9" t="str">
        <f ca="1">IFERROR(__xludf.dummyfunction("QUERY('APARECIDA DE GOIÂNIA'!B5:B20)"),"RAFAELA MONIQUE DA SILVA MOTA AMARAL")</f>
        <v>RAFAELA MONIQUE DA SILVA MOTA AMARAL</v>
      </c>
      <c r="C72" s="9" t="str">
        <f ca="1">IFERROR(__xludf.dummyfunction("QUERY('APARECIDA DE GOIÂNIA'!C5:C20)"),"")</f>
        <v/>
      </c>
      <c r="D72" s="9" t="str">
        <f ca="1">IFERROR(__xludf.dummyfunction("QUERY('APARECIDA DE GOIÂNIA'!D5:D20)"),"70077023170")</f>
        <v>70077023170</v>
      </c>
      <c r="E72" s="9" t="str">
        <f ca="1">IFERROR(__xludf.dummyfunction("QUERY('APARECIDA DE GOIÂNIA'!E5:E20)"),"RAFAELAAMONIQUE@HOTMAIL.COM")</f>
        <v>RAFAELAAMONIQUE@HOTMAIL.COM</v>
      </c>
      <c r="F72" s="9" t="str">
        <f ca="1">IFERROR(__xludf.dummyfunction("QUERY('APARECIDA DE GOIÂNIA'!F5:F20)"),"")</f>
        <v/>
      </c>
      <c r="G72" s="9" t="str">
        <f ca="1">IFERROR(__xludf.dummyfunction("QUERY('APARECIDA DE GOIÂNIA'!G5:G20)"),"(62) 994375195")</f>
        <v>(62) 994375195</v>
      </c>
      <c r="H72" s="9" t="str">
        <f ca="1">IFERROR(__xludf.dummyfunction("QUERY('APARECIDA DE GOIÂNIA'!H5:H20)"),"SUPERIOR")</f>
        <v>SUPERIOR</v>
      </c>
      <c r="I72" s="10" t="str">
        <f ca="1">IFERROR(__xludf.dummyfunction("QUERY('APARECIDA DE GOIÂNIA'!I5:I20)"),"CIÊNCIAS CONTÁBEIS")</f>
        <v>CIÊNCIAS CONTÁBEIS</v>
      </c>
      <c r="J72" s="10" t="str">
        <f ca="1">IFERROR(__xludf.dummyfunction("QUERY('APARECIDA DE GOIÂNIA'!J5:J20)"),"NOITE")</f>
        <v>NOITE</v>
      </c>
      <c r="K72" s="10" t="str">
        <f ca="1">IFERROR(__xludf.dummyfunction("QUERY('APARECIDA DE GOIÂNIA'!K5:K20)"),"TARDE")</f>
        <v>TARDE</v>
      </c>
      <c r="L72" s="10" t="str">
        <f ca="1">IFERROR(__xludf.dummyfunction("QUERY('APARECIDA DE GOIÂNIA'!L5:L20)"),"APARECIDA DE GOIÂNIA - GO")</f>
        <v>APARECIDA DE GOIÂNIA - GO</v>
      </c>
      <c r="M72" s="10">
        <f ca="1">IFERROR(__xludf.dummyfunction("QUERY('APARECIDA DE GOIÂNIA'!M5:M20)"),4)</f>
        <v>4</v>
      </c>
      <c r="N72" s="10" t="str">
        <f ca="1">IFERROR(__xludf.dummyfunction("QUERY('APARECIDA DE GOIÂNIA'!N5:N20)"),"DISPONÍVEL")</f>
        <v>DISPONÍVEL</v>
      </c>
      <c r="O72" s="9" t="str">
        <f ca="1">IFERROR(__xludf.dummyfunction("QUERY('APARECIDA DE GOIÂNIA'!O5:O20)"),"")</f>
        <v/>
      </c>
      <c r="P72" s="9" t="str">
        <f ca="1">IFERROR(__xludf.dummyfunction("QUERY('APARECIDA DE GOIÂNIA'!P5:P20)"),"")</f>
        <v/>
      </c>
      <c r="Q72" s="9" t="str">
        <f ca="1">IFERROR(__xludf.dummyfunction("QUERY('APARECIDA DE GOIÂNIA'!Q5:Q20)"),"")</f>
        <v/>
      </c>
      <c r="R72" s="9" t="str">
        <f ca="1">IFERROR(__xludf.dummyfunction("QUERY('APARECIDA DE GOIÂNIA'!R5:R20)"),"")</f>
        <v/>
      </c>
    </row>
    <row r="73" spans="1:18">
      <c r="A73" s="10">
        <f ca="1">IFERROR(__xludf.dummyfunction("""COMPUTED_VALUE"""),1)</f>
        <v>1</v>
      </c>
      <c r="B73" s="11" t="str">
        <f ca="1">IFERROR(__xludf.dummyfunction("""COMPUTED_VALUE"""),"PEDRO ALLYSON CASTRO BARROSO")</f>
        <v>PEDRO ALLYSON CASTRO BARROSO</v>
      </c>
      <c r="C73" s="11" t="str">
        <f ca="1">IFERROR(__xludf.dummyfunction("""COMPUTED_VALUE"""),"7132286")</f>
        <v>7132286</v>
      </c>
      <c r="D73" s="11" t="str">
        <f ca="1">IFERROR(__xludf.dummyfunction("""COMPUTED_VALUE"""),"04728121143")</f>
        <v>04728121143</v>
      </c>
      <c r="E73" s="11" t="str">
        <f ca="1">IFERROR(__xludf.dummyfunction("""COMPUTED_VALUE"""),"PEDROALLYSON@LIVE.COM")</f>
        <v>PEDROALLYSON@LIVE.COM</v>
      </c>
      <c r="F73" s="11" t="str">
        <f ca="1">IFERROR(__xludf.dummyfunction("""COMPUTED_VALUE"""),"(62) 41055934")</f>
        <v>(62) 41055934</v>
      </c>
      <c r="G73" s="11" t="str">
        <f ca="1">IFERROR(__xludf.dummyfunction("""COMPUTED_VALUE"""),"(62) 982868662")</f>
        <v>(62) 982868662</v>
      </c>
      <c r="H73" s="11" t="str">
        <f ca="1">IFERROR(__xludf.dummyfunction("""COMPUTED_VALUE"""),"SUPERIOR")</f>
        <v>SUPERIOR</v>
      </c>
      <c r="I73" s="10" t="str">
        <f ca="1">IFERROR(__xludf.dummyfunction("""COMPUTED_VALUE"""),"DIREITO")</f>
        <v>DIREITO</v>
      </c>
      <c r="J73" s="10" t="str">
        <f ca="1">IFERROR(__xludf.dummyfunction("""COMPUTED_VALUE"""),"MANHÃ")</f>
        <v>MANHÃ</v>
      </c>
      <c r="K73" s="10" t="str">
        <f ca="1">IFERROR(__xludf.dummyfunction("""COMPUTED_VALUE"""),"TARDE")</f>
        <v>TARDE</v>
      </c>
      <c r="L73" s="10" t="str">
        <f ca="1">IFERROR(__xludf.dummyfunction("""COMPUTED_VALUE"""),"APARECIDA DE GOIÂNIA - GO")</f>
        <v>APARECIDA DE GOIÂNIA - GO</v>
      </c>
      <c r="M73" s="10">
        <f ca="1">IFERROR(__xludf.dummyfunction("""COMPUTED_VALUE"""),5)</f>
        <v>5</v>
      </c>
      <c r="N73" s="10" t="str">
        <f ca="1">IFERROR(__xludf.dummyfunction("""COMPUTED_VALUE"""),"2ª CONVOCAÇÃO")</f>
        <v>2ª CONVOCAÇÃO</v>
      </c>
      <c r="O73" s="11" t="str">
        <f ca="1">IFERROR(__xludf.dummyfunction("""COMPUTED_VALUE"""),"16/11 - 08:15")</f>
        <v>16/11 - 08:15</v>
      </c>
      <c r="P73" s="11" t="str">
        <f ca="1">IFERROR(__xludf.dummyfunction("""COMPUTED_VALUE"""),"Sem retorno")</f>
        <v>Sem retorno</v>
      </c>
      <c r="Q73" s="11"/>
      <c r="R73" s="11"/>
    </row>
    <row r="74" spans="1:18">
      <c r="A74" s="10">
        <f ca="1">IFERROR(__xludf.dummyfunction("""COMPUTED_VALUE"""),2)</f>
        <v>2</v>
      </c>
      <c r="B74" s="11" t="str">
        <f ca="1">IFERROR(__xludf.dummyfunction("""COMPUTED_VALUE"""),"THALITA EVELY LINO DE OLIVEIRA")</f>
        <v>THALITA EVELY LINO DE OLIVEIRA</v>
      </c>
      <c r="C74" s="11" t="str">
        <f ca="1">IFERROR(__xludf.dummyfunction("""COMPUTED_VALUE"""),"6428644")</f>
        <v>6428644</v>
      </c>
      <c r="D74" s="11" t="str">
        <f ca="1">IFERROR(__xludf.dummyfunction("""COMPUTED_VALUE"""),"04318302156")</f>
        <v>04318302156</v>
      </c>
      <c r="E74" s="11" t="str">
        <f ca="1">IFERROR(__xludf.dummyfunction("""COMPUTED_VALUE"""),"THALITAEVELYNLO@GMAIL.COM")</f>
        <v>THALITAEVELYNLO@GMAIL.COM</v>
      </c>
      <c r="F74" s="11"/>
      <c r="G74" s="11" t="str">
        <f ca="1">IFERROR(__xludf.dummyfunction("""COMPUTED_VALUE"""),"(62) 981777797")</f>
        <v>(62) 981777797</v>
      </c>
      <c r="H74" s="11" t="str">
        <f ca="1">IFERROR(__xludf.dummyfunction("""COMPUTED_VALUE"""),"SUPERIOR")</f>
        <v>SUPERIOR</v>
      </c>
      <c r="I74" s="10" t="str">
        <f ca="1">IFERROR(__xludf.dummyfunction("""COMPUTED_VALUE"""),"DIREITO")</f>
        <v>DIREITO</v>
      </c>
      <c r="J74" s="10" t="str">
        <f ca="1">IFERROR(__xludf.dummyfunction("""COMPUTED_VALUE"""),"VARIÁVEL")</f>
        <v>VARIÁVEL</v>
      </c>
      <c r="K74" s="10" t="str">
        <f ca="1">IFERROR(__xludf.dummyfunction("""COMPUTED_VALUE"""),"TARDE")</f>
        <v>TARDE</v>
      </c>
      <c r="L74" s="10" t="str">
        <f ca="1">IFERROR(__xludf.dummyfunction("""COMPUTED_VALUE"""),"APARECIDA DE GOIÂNIA - GO")</f>
        <v>APARECIDA DE GOIÂNIA - GO</v>
      </c>
      <c r="M74" s="10">
        <f ca="1">IFERROR(__xludf.dummyfunction("""COMPUTED_VALUE"""),6)</f>
        <v>6</v>
      </c>
      <c r="N74" s="10" t="str">
        <f ca="1">IFERROR(__xludf.dummyfunction("""COMPUTED_VALUE"""),"CONTRATADO")</f>
        <v>CONTRATADO</v>
      </c>
      <c r="O74" s="11" t="str">
        <f ca="1">IFERROR(__xludf.dummyfunction("""COMPUTED_VALUE"""),"16/11 - 08:15")</f>
        <v>16/11 - 08:15</v>
      </c>
      <c r="P74" s="11"/>
      <c r="Q74" s="11"/>
      <c r="R74" s="11"/>
    </row>
    <row r="75" spans="1:18">
      <c r="A75" s="10">
        <f ca="1">IFERROR(__xludf.dummyfunction("""COMPUTED_VALUE"""),3)</f>
        <v>3</v>
      </c>
      <c r="B75" s="11" t="str">
        <f ca="1">IFERROR(__xludf.dummyfunction("""COMPUTED_VALUE"""),"VITOR ELIAS GUARBIM")</f>
        <v>VITOR ELIAS GUARBIM</v>
      </c>
      <c r="C75" s="11"/>
      <c r="D75" s="11" t="str">
        <f ca="1">IFERROR(__xludf.dummyfunction("""COMPUTED_VALUE"""),"08535858148")</f>
        <v>08535858148</v>
      </c>
      <c r="E75" s="11" t="str">
        <f ca="1">IFERROR(__xludf.dummyfunction("""COMPUTED_VALUE"""),"VGUARBIM@GMAIL.COM")</f>
        <v>VGUARBIM@GMAIL.COM</v>
      </c>
      <c r="F75" s="11"/>
      <c r="G75" s="11" t="str">
        <f ca="1">IFERROR(__xludf.dummyfunction("""COMPUTED_VALUE"""),"(62) 981490072")</f>
        <v>(62) 981490072</v>
      </c>
      <c r="H75" s="11" t="str">
        <f ca="1">IFERROR(__xludf.dummyfunction("""COMPUTED_VALUE"""),"SUPERIOR")</f>
        <v>SUPERIOR</v>
      </c>
      <c r="I75" s="10" t="str">
        <f ca="1">IFERROR(__xludf.dummyfunction("""COMPUTED_VALUE"""),"DIREITO")</f>
        <v>DIREITO</v>
      </c>
      <c r="J75" s="10" t="str">
        <f ca="1">IFERROR(__xludf.dummyfunction("""COMPUTED_VALUE"""),"MANHÃ")</f>
        <v>MANHÃ</v>
      </c>
      <c r="K75" s="10" t="str">
        <f ca="1">IFERROR(__xludf.dummyfunction("""COMPUTED_VALUE"""),"TARDE")</f>
        <v>TARDE</v>
      </c>
      <c r="L75" s="10" t="str">
        <f ca="1">IFERROR(__xludf.dummyfunction("""COMPUTED_VALUE"""),"APARECIDA DE GOIÂNIA - GO")</f>
        <v>APARECIDA DE GOIÂNIA - GO</v>
      </c>
      <c r="M75" s="10">
        <f ca="1">IFERROR(__xludf.dummyfunction("""COMPUTED_VALUE"""),6)</f>
        <v>6</v>
      </c>
      <c r="N75" s="10" t="str">
        <f ca="1">IFERROR(__xludf.dummyfunction("""COMPUTED_VALUE"""),"CONTRATADO")</f>
        <v>CONTRATADO</v>
      </c>
      <c r="O75" s="11" t="str">
        <f ca="1">IFERROR(__xludf.dummyfunction("""COMPUTED_VALUE"""),"16/11 - 08:15")</f>
        <v>16/11 - 08:15</v>
      </c>
      <c r="P75" s="11"/>
      <c r="Q75" s="11"/>
      <c r="R75" s="11"/>
    </row>
    <row r="76" spans="1:18">
      <c r="A76" s="10">
        <f ca="1">IFERROR(__xludf.dummyfunction("""COMPUTED_VALUE"""),4)</f>
        <v>4</v>
      </c>
      <c r="B76" s="11" t="str">
        <f ca="1">IFERROR(__xludf.dummyfunction("""COMPUTED_VALUE"""),"ROBERTA AGUIAR DE MORAIS")</f>
        <v>ROBERTA AGUIAR DE MORAIS</v>
      </c>
      <c r="C76" s="11" t="str">
        <f ca="1">IFERROR(__xludf.dummyfunction("""COMPUTED_VALUE"""),"7072881")</f>
        <v>7072881</v>
      </c>
      <c r="D76" s="11" t="str">
        <f ca="1">IFERROR(__xludf.dummyfunction("""COMPUTED_VALUE"""),"01049379209")</f>
        <v>01049379209</v>
      </c>
      <c r="E76" s="11" t="str">
        <f ca="1">IFERROR(__xludf.dummyfunction("""COMPUTED_VALUE"""),"ROBBAMORAIS@GMAIL.COM")</f>
        <v>ROBBAMORAIS@GMAIL.COM</v>
      </c>
      <c r="F76" s="11"/>
      <c r="G76" s="11" t="str">
        <f ca="1">IFERROR(__xludf.dummyfunction("""COMPUTED_VALUE"""),"(93) 992022260")</f>
        <v>(93) 992022260</v>
      </c>
      <c r="H76" s="11" t="str">
        <f ca="1">IFERROR(__xludf.dummyfunction("""COMPUTED_VALUE"""),"SUPERIOR")</f>
        <v>SUPERIOR</v>
      </c>
      <c r="I76" s="10" t="str">
        <f ca="1">IFERROR(__xludf.dummyfunction("""COMPUTED_VALUE"""),"DIREITO")</f>
        <v>DIREITO</v>
      </c>
      <c r="J76" s="10" t="str">
        <f ca="1">IFERROR(__xludf.dummyfunction("""COMPUTED_VALUE"""),"MANHÃ")</f>
        <v>MANHÃ</v>
      </c>
      <c r="K76" s="10" t="str">
        <f ca="1">IFERROR(__xludf.dummyfunction("""COMPUTED_VALUE"""),"TARDE")</f>
        <v>TARDE</v>
      </c>
      <c r="L76" s="10" t="str">
        <f ca="1">IFERROR(__xludf.dummyfunction("""COMPUTED_VALUE"""),"APARECIDA DE GOIÂNIA - GO")</f>
        <v>APARECIDA DE GOIÂNIA - GO</v>
      </c>
      <c r="M76" s="10">
        <f ca="1">IFERROR(__xludf.dummyfunction("""COMPUTED_VALUE"""),5)</f>
        <v>5</v>
      </c>
      <c r="N76" s="10" t="str">
        <f ca="1">IFERROR(__xludf.dummyfunction("""COMPUTED_VALUE"""),"CONTRATADO")</f>
        <v>CONTRATADO</v>
      </c>
      <c r="O76" s="11" t="str">
        <f ca="1">IFERROR(__xludf.dummyfunction("""COMPUTED_VALUE"""),"16/11 - 08:15")</f>
        <v>16/11 - 08:15</v>
      </c>
      <c r="P76" s="11"/>
      <c r="Q76" s="11"/>
      <c r="R76" s="11"/>
    </row>
    <row r="77" spans="1:18">
      <c r="A77" s="10">
        <f ca="1">IFERROR(__xludf.dummyfunction("""COMPUTED_VALUE"""),5)</f>
        <v>5</v>
      </c>
      <c r="B77" s="11" t="str">
        <f ca="1">IFERROR(__xludf.dummyfunction("""COMPUTED_VALUE"""),"ALAN MASCIMIANO DOS SANTOS")</f>
        <v>ALAN MASCIMIANO DOS SANTOS</v>
      </c>
      <c r="C77" s="11" t="str">
        <f ca="1">IFERROR(__xludf.dummyfunction("""COMPUTED_VALUE"""),"6243653")</f>
        <v>6243653</v>
      </c>
      <c r="D77" s="11" t="str">
        <f ca="1">IFERROR(__xludf.dummyfunction("""COMPUTED_VALUE"""),"06454819124")</f>
        <v>06454819124</v>
      </c>
      <c r="E77" s="11" t="str">
        <f ca="1">IFERROR(__xludf.dummyfunction("""COMPUTED_VALUE"""),"ALANMASCIMIANO1997@GMAIL.COM")</f>
        <v>ALANMASCIMIANO1997@GMAIL.COM</v>
      </c>
      <c r="F77" s="11" t="str">
        <f ca="1">IFERROR(__xludf.dummyfunction("""COMPUTED_VALUE"""),"(62) 35378860")</f>
        <v>(62) 35378860</v>
      </c>
      <c r="G77" s="11" t="str">
        <f ca="1">IFERROR(__xludf.dummyfunction("""COMPUTED_VALUE"""),"(62) 982768585")</f>
        <v>(62) 982768585</v>
      </c>
      <c r="H77" s="11" t="str">
        <f ca="1">IFERROR(__xludf.dummyfunction("""COMPUTED_VALUE"""),"SUPERIOR")</f>
        <v>SUPERIOR</v>
      </c>
      <c r="I77" s="10" t="str">
        <f ca="1">IFERROR(__xludf.dummyfunction("""COMPUTED_VALUE"""),"DIREITO")</f>
        <v>DIREITO</v>
      </c>
      <c r="J77" s="10" t="str">
        <f ca="1">IFERROR(__xludf.dummyfunction("""COMPUTED_VALUE"""),"MANHÃ")</f>
        <v>MANHÃ</v>
      </c>
      <c r="K77" s="10" t="str">
        <f ca="1">IFERROR(__xludf.dummyfunction("""COMPUTED_VALUE"""),"TARDE")</f>
        <v>TARDE</v>
      </c>
      <c r="L77" s="10" t="str">
        <f ca="1">IFERROR(__xludf.dummyfunction("""COMPUTED_VALUE"""),"APARECIDA DE GOIÂNIA - GO")</f>
        <v>APARECIDA DE GOIÂNIA - GO</v>
      </c>
      <c r="M77" s="10">
        <f ca="1">IFERROR(__xludf.dummyfunction("""COMPUTED_VALUE"""),8)</f>
        <v>8</v>
      </c>
      <c r="N77" s="10" t="str">
        <f ca="1">IFERROR(__xludf.dummyfunction("""COMPUTED_VALUE"""),"CONTRATADO")</f>
        <v>CONTRATADO</v>
      </c>
      <c r="O77" s="11" t="str">
        <f ca="1">IFERROR(__xludf.dummyfunction("""COMPUTED_VALUE"""),"16/11 - 08:15")</f>
        <v>16/11 - 08:15</v>
      </c>
      <c r="P77" s="11"/>
      <c r="Q77" s="11"/>
      <c r="R77" s="11"/>
    </row>
    <row r="78" spans="1:18">
      <c r="A78" s="10">
        <f ca="1">IFERROR(__xludf.dummyfunction("""COMPUTED_VALUE"""),6)</f>
        <v>6</v>
      </c>
      <c r="B78" s="11" t="str">
        <f ca="1">IFERROR(__xludf.dummyfunction("""COMPUTED_VALUE"""),"VICTOR PEIXOTO BARBOSA")</f>
        <v>VICTOR PEIXOTO BARBOSA</v>
      </c>
      <c r="C78" s="11" t="str">
        <f ca="1">IFERROR(__xludf.dummyfunction("""COMPUTED_VALUE"""),"6815606")</f>
        <v>6815606</v>
      </c>
      <c r="D78" s="11" t="str">
        <f ca="1">IFERROR(__xludf.dummyfunction("""COMPUTED_VALUE"""),"04078618154")</f>
        <v>04078618154</v>
      </c>
      <c r="E78" s="11" t="str">
        <f ca="1">IFERROR(__xludf.dummyfunction("""COMPUTED_VALUE"""),"VICTORBARBOSA2710@HOTMAIL.COM")</f>
        <v>VICTORBARBOSA2710@HOTMAIL.COM</v>
      </c>
      <c r="F78" s="11"/>
      <c r="G78" s="11" t="str">
        <f ca="1">IFERROR(__xludf.dummyfunction("""COMPUTED_VALUE"""),"(62) 996743700")</f>
        <v>(62) 996743700</v>
      </c>
      <c r="H78" s="11" t="str">
        <f ca="1">IFERROR(__xludf.dummyfunction("""COMPUTED_VALUE"""),"SUPERIOR")</f>
        <v>SUPERIOR</v>
      </c>
      <c r="I78" s="10" t="str">
        <f ca="1">IFERROR(__xludf.dummyfunction("""COMPUTED_VALUE"""),"DIREITO")</f>
        <v>DIREITO</v>
      </c>
      <c r="J78" s="10" t="str">
        <f ca="1">IFERROR(__xludf.dummyfunction("""COMPUTED_VALUE"""),"MANHÃ")</f>
        <v>MANHÃ</v>
      </c>
      <c r="K78" s="10" t="str">
        <f ca="1">IFERROR(__xludf.dummyfunction("""COMPUTED_VALUE"""),"TARDE")</f>
        <v>TARDE</v>
      </c>
      <c r="L78" s="10" t="str">
        <f ca="1">IFERROR(__xludf.dummyfunction("""COMPUTED_VALUE"""),"APARECIDA DE GOIÂNIA - GO")</f>
        <v>APARECIDA DE GOIÂNIA - GO</v>
      </c>
      <c r="M78" s="10">
        <f ca="1">IFERROR(__xludf.dummyfunction("""COMPUTED_VALUE"""),8)</f>
        <v>8</v>
      </c>
      <c r="N78" s="10" t="str">
        <f ca="1">IFERROR(__xludf.dummyfunction("""COMPUTED_VALUE"""),"CONTRATADO")</f>
        <v>CONTRATADO</v>
      </c>
      <c r="O78" s="11" t="str">
        <f ca="1">IFERROR(__xludf.dummyfunction("""COMPUTED_VALUE"""),"16/11 - 08:15")</f>
        <v>16/11 - 08:15</v>
      </c>
      <c r="P78" s="11"/>
      <c r="Q78" s="11"/>
      <c r="R78" s="11"/>
    </row>
    <row r="79" spans="1:18">
      <c r="A79" s="10">
        <f ca="1">IFERROR(__xludf.dummyfunction("""COMPUTED_VALUE"""),7)</f>
        <v>7</v>
      </c>
      <c r="B79" s="11" t="str">
        <f ca="1">IFERROR(__xludf.dummyfunction("""COMPUTED_VALUE"""),"ATHALINY PEREIRA RODRIGUES")</f>
        <v>ATHALINY PEREIRA RODRIGUES</v>
      </c>
      <c r="C79" s="11"/>
      <c r="D79" s="11" t="str">
        <f ca="1">IFERROR(__xludf.dummyfunction("""COMPUTED_VALUE"""),"70379663120")</f>
        <v>70379663120</v>
      </c>
      <c r="E79" s="11" t="str">
        <f ca="1">IFERROR(__xludf.dummyfunction("""COMPUTED_VALUE"""),"ATHALINY42@GMAIL.COM")</f>
        <v>ATHALINY42@GMAIL.COM</v>
      </c>
      <c r="F79" s="11"/>
      <c r="G79" s="11" t="str">
        <f ca="1">IFERROR(__xludf.dummyfunction("""COMPUTED_VALUE"""),"(62) 999510906")</f>
        <v>(62) 999510906</v>
      </c>
      <c r="H79" s="11" t="str">
        <f ca="1">IFERROR(__xludf.dummyfunction("""COMPUTED_VALUE"""),"SUPERIOR")</f>
        <v>SUPERIOR</v>
      </c>
      <c r="I79" s="10" t="str">
        <f ca="1">IFERROR(__xludf.dummyfunction("""COMPUTED_VALUE"""),"DIREITO")</f>
        <v>DIREITO</v>
      </c>
      <c r="J79" s="10" t="str">
        <f ca="1">IFERROR(__xludf.dummyfunction("""COMPUTED_VALUE"""),"MANHÃ")</f>
        <v>MANHÃ</v>
      </c>
      <c r="K79" s="10" t="str">
        <f ca="1">IFERROR(__xludf.dummyfunction("""COMPUTED_VALUE"""),"TARDE")</f>
        <v>TARDE</v>
      </c>
      <c r="L79" s="10" t="str">
        <f ca="1">IFERROR(__xludf.dummyfunction("""COMPUTED_VALUE"""),"APARECIDA DE GOIÂNIA - GO")</f>
        <v>APARECIDA DE GOIÂNIA - GO</v>
      </c>
      <c r="M79" s="10">
        <f ca="1">IFERROR(__xludf.dummyfunction("""COMPUTED_VALUE"""),8)</f>
        <v>8</v>
      </c>
      <c r="N79" s="10" t="str">
        <f ca="1">IFERROR(__xludf.dummyfunction("""COMPUTED_VALUE"""),"CONTRATADO")</f>
        <v>CONTRATADO</v>
      </c>
      <c r="O79" s="11" t="str">
        <f ca="1">IFERROR(__xludf.dummyfunction("""COMPUTED_VALUE"""),"16/11 - 08:15")</f>
        <v>16/11 - 08:15</v>
      </c>
      <c r="P79" s="11"/>
      <c r="Q79" s="11"/>
      <c r="R79" s="11"/>
    </row>
    <row r="80" spans="1:18">
      <c r="A80" s="10">
        <f ca="1">IFERROR(__xludf.dummyfunction("""COMPUTED_VALUE"""),8)</f>
        <v>8</v>
      </c>
      <c r="B80" s="11" t="str">
        <f ca="1">IFERROR(__xludf.dummyfunction("""COMPUTED_VALUE"""),"PABLINY VIEIRA NOGUEIRA")</f>
        <v>PABLINY VIEIRA NOGUEIRA</v>
      </c>
      <c r="C80" s="11" t="str">
        <f ca="1">IFERROR(__xludf.dummyfunction("""COMPUTED_VALUE"""),"6709632")</f>
        <v>6709632</v>
      </c>
      <c r="D80" s="11" t="str">
        <f ca="1">IFERROR(__xludf.dummyfunction("""COMPUTED_VALUE"""),"70404230148")</f>
        <v>70404230148</v>
      </c>
      <c r="E80" s="11" t="str">
        <f ca="1">IFERROR(__xludf.dummyfunction("""COMPUTED_VALUE"""),"PABLINYVIEIRAA@GMAIL.COM")</f>
        <v>PABLINYVIEIRAA@GMAIL.COM</v>
      </c>
      <c r="F80" s="11"/>
      <c r="G80" s="11" t="str">
        <f ca="1">IFERROR(__xludf.dummyfunction("""COMPUTED_VALUE"""),"(62) 993012934")</f>
        <v>(62) 993012934</v>
      </c>
      <c r="H80" s="11" t="str">
        <f ca="1">IFERROR(__xludf.dummyfunction("""COMPUTED_VALUE"""),"SUPERIOR")</f>
        <v>SUPERIOR</v>
      </c>
      <c r="I80" s="10" t="str">
        <f ca="1">IFERROR(__xludf.dummyfunction("""COMPUTED_VALUE"""),"DIREITO")</f>
        <v>DIREITO</v>
      </c>
      <c r="J80" s="10" t="str">
        <f ca="1">IFERROR(__xludf.dummyfunction("""COMPUTED_VALUE"""),"VARIÁVEL")</f>
        <v>VARIÁVEL</v>
      </c>
      <c r="K80" s="10" t="str">
        <f ca="1">IFERROR(__xludf.dummyfunction("""COMPUTED_VALUE"""),"TARDE")</f>
        <v>TARDE</v>
      </c>
      <c r="L80" s="10" t="str">
        <f ca="1">IFERROR(__xludf.dummyfunction("""COMPUTED_VALUE"""),"APARECIDA DE GOIÂNIA - GO")</f>
        <v>APARECIDA DE GOIÂNIA - GO</v>
      </c>
      <c r="M80" s="10">
        <f ca="1">IFERROR(__xludf.dummyfunction("""COMPUTED_VALUE"""),8)</f>
        <v>8</v>
      </c>
      <c r="N80" s="10" t="str">
        <f ca="1">IFERROR(__xludf.dummyfunction("""COMPUTED_VALUE"""),"2ª CONVOCAÇÃO")</f>
        <v>2ª CONVOCAÇÃO</v>
      </c>
      <c r="O80" s="11" t="str">
        <f ca="1">IFERROR(__xludf.dummyfunction("""COMPUTED_VALUE"""),"16/11 - 08:34")</f>
        <v>16/11 - 08:34</v>
      </c>
      <c r="P80" s="11" t="str">
        <f ca="1">IFERROR(__xludf.dummyfunction("""COMPUTED_VALUE"""),"sem retorno")</f>
        <v>sem retorno</v>
      </c>
      <c r="Q80" s="11"/>
      <c r="R80" s="11"/>
    </row>
    <row r="81" spans="1:18">
      <c r="A81" s="10">
        <f ca="1">IFERROR(__xludf.dummyfunction("""COMPUTED_VALUE"""),9)</f>
        <v>9</v>
      </c>
      <c r="B81" s="11" t="str">
        <f ca="1">IFERROR(__xludf.dummyfunction("""COMPUTED_VALUE"""),"ESTHER BRINGEL DE SOUSA")</f>
        <v>ESTHER BRINGEL DE SOUSA</v>
      </c>
      <c r="C81" s="11" t="str">
        <f ca="1">IFERROR(__xludf.dummyfunction("""COMPUTED_VALUE"""),"6801941")</f>
        <v>6801941</v>
      </c>
      <c r="D81" s="11" t="str">
        <f ca="1">IFERROR(__xludf.dummyfunction("""COMPUTED_VALUE"""),"70850614139")</f>
        <v>70850614139</v>
      </c>
      <c r="E81" s="11" t="str">
        <f ca="1">IFERROR(__xludf.dummyfunction("""COMPUTED_VALUE"""),"ESTHERB.S11@HOTMAIL.COM")</f>
        <v>ESTHERB.S11@HOTMAIL.COM</v>
      </c>
      <c r="F81" s="11" t="str">
        <f ca="1">IFERROR(__xludf.dummyfunction("""COMPUTED_VALUE"""),"(62) 32771858")</f>
        <v>(62) 32771858</v>
      </c>
      <c r="G81" s="11" t="str">
        <f ca="1">IFERROR(__xludf.dummyfunction("""COMPUTED_VALUE"""),"(62) 985205104")</f>
        <v>(62) 985205104</v>
      </c>
      <c r="H81" s="11" t="str">
        <f ca="1">IFERROR(__xludf.dummyfunction("""COMPUTED_VALUE"""),"SUPERIOR")</f>
        <v>SUPERIOR</v>
      </c>
      <c r="I81" s="10" t="str">
        <f ca="1">IFERROR(__xludf.dummyfunction("""COMPUTED_VALUE"""),"DIREITO")</f>
        <v>DIREITO</v>
      </c>
      <c r="J81" s="10" t="str">
        <f ca="1">IFERROR(__xludf.dummyfunction("""COMPUTED_VALUE"""),"MANHÃ")</f>
        <v>MANHÃ</v>
      </c>
      <c r="K81" s="10" t="str">
        <f ca="1">IFERROR(__xludf.dummyfunction("""COMPUTED_VALUE"""),"TARDE")</f>
        <v>TARDE</v>
      </c>
      <c r="L81" s="10" t="str">
        <f ca="1">IFERROR(__xludf.dummyfunction("""COMPUTED_VALUE"""),"APARECIDA DE GOIÂNIA - GO")</f>
        <v>APARECIDA DE GOIÂNIA - GO</v>
      </c>
      <c r="M81" s="10">
        <f ca="1">IFERROR(__xludf.dummyfunction("""COMPUTED_VALUE"""),5)</f>
        <v>5</v>
      </c>
      <c r="N81" s="10" t="str">
        <f ca="1">IFERROR(__xludf.dummyfunction("""COMPUTED_VALUE"""),"CONTRATADO")</f>
        <v>CONTRATADO</v>
      </c>
      <c r="O81" s="11" t="str">
        <f ca="1">IFERROR(__xludf.dummyfunction("""COMPUTED_VALUE"""),"16/11 - 08:34")</f>
        <v>16/11 - 08:34</v>
      </c>
      <c r="P81" s="11"/>
      <c r="Q81" s="11"/>
      <c r="R81" s="11"/>
    </row>
    <row r="82" spans="1:18">
      <c r="A82" s="10">
        <f ca="1">IFERROR(__xludf.dummyfunction("""COMPUTED_VALUE"""),10)</f>
        <v>10</v>
      </c>
      <c r="B82" s="11" t="str">
        <f ca="1">IFERROR(__xludf.dummyfunction("""COMPUTED_VALUE"""),"NICOLE ESTER APARECIDA DE SÁ")</f>
        <v>NICOLE ESTER APARECIDA DE SÁ</v>
      </c>
      <c r="C82" s="11"/>
      <c r="D82" s="11" t="str">
        <f ca="1">IFERROR(__xludf.dummyfunction("""COMPUTED_VALUE"""),"70787248100")</f>
        <v>70787248100</v>
      </c>
      <c r="E82" s="11" t="str">
        <f ca="1">IFERROR(__xludf.dummyfunction("""COMPUTED_VALUE"""),"NICOLEESTER987@GMAIL.COM")</f>
        <v>NICOLEESTER987@GMAIL.COM</v>
      </c>
      <c r="F82" s="11"/>
      <c r="G82" s="11" t="str">
        <f ca="1">IFERROR(__xludf.dummyfunction("""COMPUTED_VALUE"""),"(62) 991275231")</f>
        <v>(62) 991275231</v>
      </c>
      <c r="H82" s="11" t="str">
        <f ca="1">IFERROR(__xludf.dummyfunction("""COMPUTED_VALUE"""),"SUPERIOR")</f>
        <v>SUPERIOR</v>
      </c>
      <c r="I82" s="10" t="str">
        <f ca="1">IFERROR(__xludf.dummyfunction("""COMPUTED_VALUE"""),"DIREITO")</f>
        <v>DIREITO</v>
      </c>
      <c r="J82" s="10" t="str">
        <f ca="1">IFERROR(__xludf.dummyfunction("""COMPUTED_VALUE"""),"NOITE")</f>
        <v>NOITE</v>
      </c>
      <c r="K82" s="10" t="str">
        <f ca="1">IFERROR(__xludf.dummyfunction("""COMPUTED_VALUE"""),"TARDE")</f>
        <v>TARDE</v>
      </c>
      <c r="L82" s="10" t="str">
        <f ca="1">IFERROR(__xludf.dummyfunction("""COMPUTED_VALUE"""),"APARECIDA DE GOIÂNIA - GO")</f>
        <v>APARECIDA DE GOIÂNIA - GO</v>
      </c>
      <c r="M82" s="10">
        <f ca="1">IFERROR(__xludf.dummyfunction("""COMPUTED_VALUE"""),5)</f>
        <v>5</v>
      </c>
      <c r="N82" s="10" t="str">
        <f ca="1">IFERROR(__xludf.dummyfunction("""COMPUTED_VALUE"""),"CONTRATADO")</f>
        <v>CONTRATADO</v>
      </c>
      <c r="O82" s="11" t="str">
        <f ca="1">IFERROR(__xludf.dummyfunction("""COMPUTED_VALUE"""),"16/11 - 08:34")</f>
        <v>16/11 - 08:34</v>
      </c>
      <c r="P82" s="11"/>
      <c r="Q82" s="11"/>
      <c r="R82" s="11"/>
    </row>
    <row r="83" spans="1:18">
      <c r="A83" s="10">
        <f ca="1">IFERROR(__xludf.dummyfunction("""COMPUTED_VALUE"""),11)</f>
        <v>11</v>
      </c>
      <c r="B83" s="11" t="str">
        <f ca="1">IFERROR(__xludf.dummyfunction("""COMPUTED_VALUE"""),"RENATA SILVA DE SOUSA")</f>
        <v>RENATA SILVA DE SOUSA</v>
      </c>
      <c r="C83" s="11"/>
      <c r="D83" s="11" t="str">
        <f ca="1">IFERROR(__xludf.dummyfunction("""COMPUTED_VALUE"""),"71980601291")</f>
        <v>71980601291</v>
      </c>
      <c r="E83" s="11" t="str">
        <f ca="1">IFERROR(__xludf.dummyfunction("""COMPUTED_VALUE"""),"RENATABRIGIDA36@GMAIL.COM")</f>
        <v>RENATABRIGIDA36@GMAIL.COM</v>
      </c>
      <c r="F83" s="11" t="str">
        <f ca="1">IFERROR(__xludf.dummyfunction("""COMPUTED_VALUE"""),"(62) 98163139")</f>
        <v>(62) 98163139</v>
      </c>
      <c r="G83" s="11" t="str">
        <f ca="1">IFERROR(__xludf.dummyfunction("""COMPUTED_VALUE"""),"(62) 994251977")</f>
        <v>(62) 994251977</v>
      </c>
      <c r="H83" s="11" t="str">
        <f ca="1">IFERROR(__xludf.dummyfunction("""COMPUTED_VALUE"""),"SUPERIOR")</f>
        <v>SUPERIOR</v>
      </c>
      <c r="I83" s="10" t="str">
        <f ca="1">IFERROR(__xludf.dummyfunction("""COMPUTED_VALUE"""),"DIREITO")</f>
        <v>DIREITO</v>
      </c>
      <c r="J83" s="10" t="str">
        <f ca="1">IFERROR(__xludf.dummyfunction("""COMPUTED_VALUE"""),"MANHÃ")</f>
        <v>MANHÃ</v>
      </c>
      <c r="K83" s="10" t="str">
        <f ca="1">IFERROR(__xludf.dummyfunction("""COMPUTED_VALUE"""),"TARDE")</f>
        <v>TARDE</v>
      </c>
      <c r="L83" s="10" t="str">
        <f ca="1">IFERROR(__xludf.dummyfunction("""COMPUTED_VALUE"""),"APARECIDA DE GOIÂNIA - GO")</f>
        <v>APARECIDA DE GOIÂNIA - GO</v>
      </c>
      <c r="M83" s="10">
        <f ca="1">IFERROR(__xludf.dummyfunction("""COMPUTED_VALUE"""),7)</f>
        <v>7</v>
      </c>
      <c r="N83" s="10" t="str">
        <f ca="1">IFERROR(__xludf.dummyfunction("""COMPUTED_VALUE"""),"2ª CONVOCAÇÃO")</f>
        <v>2ª CONVOCAÇÃO</v>
      </c>
      <c r="O83" s="11" t="str">
        <f ca="1">IFERROR(__xludf.dummyfunction("""COMPUTED_VALUE"""),"16/11 - 08:34")</f>
        <v>16/11 - 08:34</v>
      </c>
      <c r="P83" s="11"/>
      <c r="Q83" s="11"/>
      <c r="R83" s="11"/>
    </row>
    <row r="84" spans="1:18">
      <c r="A84" s="10">
        <f ca="1">IFERROR(__xludf.dummyfunction("""COMPUTED_VALUE"""),12)</f>
        <v>12</v>
      </c>
      <c r="B84" s="11" t="str">
        <f ca="1">IFERROR(__xludf.dummyfunction("""COMPUTED_VALUE"""),"JOSÉ LUCAS DE SOUSA MARQUES ARAÚJO")</f>
        <v>JOSÉ LUCAS DE SOUSA MARQUES ARAÚJO</v>
      </c>
      <c r="C84" s="11"/>
      <c r="D84" s="11" t="str">
        <f ca="1">IFERROR(__xludf.dummyfunction("""COMPUTED_VALUE"""),"08572458301")</f>
        <v>08572458301</v>
      </c>
      <c r="E84" s="11" t="str">
        <f ca="1">IFERROR(__xludf.dummyfunction("""COMPUTED_VALUE"""),"JOSELUCASARA@GMAIL.COM")</f>
        <v>JOSELUCASARA@GMAIL.COM</v>
      </c>
      <c r="F84" s="11"/>
      <c r="G84" s="11" t="str">
        <f ca="1">IFERROR(__xludf.dummyfunction("""COMPUTED_VALUE"""),"(89) 981436980")</f>
        <v>(89) 981436980</v>
      </c>
      <c r="H84" s="11" t="str">
        <f ca="1">IFERROR(__xludf.dummyfunction("""COMPUTED_VALUE"""),"SUPERIOR")</f>
        <v>SUPERIOR</v>
      </c>
      <c r="I84" s="10" t="str">
        <f ca="1">IFERROR(__xludf.dummyfunction("""COMPUTED_VALUE"""),"DIREITO")</f>
        <v>DIREITO</v>
      </c>
      <c r="J84" s="10" t="str">
        <f ca="1">IFERROR(__xludf.dummyfunction("""COMPUTED_VALUE"""),"VARIÁVEL")</f>
        <v>VARIÁVEL</v>
      </c>
      <c r="K84" s="10" t="str">
        <f ca="1">IFERROR(__xludf.dummyfunction("""COMPUTED_VALUE"""),"TARDE")</f>
        <v>TARDE</v>
      </c>
      <c r="L84" s="10" t="str">
        <f ca="1">IFERROR(__xludf.dummyfunction("""COMPUTED_VALUE"""),"APARECIDA DE GOIÂNIA - GO")</f>
        <v>APARECIDA DE GOIÂNIA - GO</v>
      </c>
      <c r="M84" s="10">
        <f ca="1">IFERROR(__xludf.dummyfunction("""COMPUTED_VALUE"""),5)</f>
        <v>5</v>
      </c>
      <c r="N84" s="10" t="str">
        <f ca="1">IFERROR(__xludf.dummyfunction("""COMPUTED_VALUE"""),"CONTRATADO")</f>
        <v>CONTRATADO</v>
      </c>
      <c r="O84" s="11" t="str">
        <f ca="1">IFERROR(__xludf.dummyfunction("""COMPUTED_VALUE"""),"16/11 - 08:34")</f>
        <v>16/11 - 08:34</v>
      </c>
      <c r="P84" s="11"/>
      <c r="Q84" s="11"/>
      <c r="R84" s="11"/>
    </row>
    <row r="85" spans="1:18">
      <c r="A85" s="10">
        <f ca="1">IFERROR(__xludf.dummyfunction("""COMPUTED_VALUE"""),1)</f>
        <v>1</v>
      </c>
      <c r="B85" s="11" t="str">
        <f ca="1">IFERROR(__xludf.dummyfunction("""COMPUTED_VALUE"""),"MACIONIL CESAR DE SANTANA FILHO")</f>
        <v>MACIONIL CESAR DE SANTANA FILHO</v>
      </c>
      <c r="C85" s="11" t="str">
        <f ca="1">IFERROR(__xludf.dummyfunction("""COMPUTED_VALUE"""),"5219107")</f>
        <v>5219107</v>
      </c>
      <c r="D85" s="11" t="str">
        <f ca="1">IFERROR(__xludf.dummyfunction("""COMPUTED_VALUE"""),"02688756184")</f>
        <v>02688756184</v>
      </c>
      <c r="E85" s="11" t="str">
        <f ca="1">IFERROR(__xludf.dummyfunction("""COMPUTED_VALUE"""),"MACIONILCESAR23@GMAIL.COM")</f>
        <v>MACIONILCESAR23@GMAIL.COM</v>
      </c>
      <c r="F85" s="11" t="str">
        <f ca="1">IFERROR(__xludf.dummyfunction("""COMPUTED_VALUE"""),"(62) 32330891")</f>
        <v>(62) 32330891</v>
      </c>
      <c r="G85" s="11" t="str">
        <f ca="1">IFERROR(__xludf.dummyfunction("""COMPUTED_VALUE"""),"(62) 993270246")</f>
        <v>(62) 993270246</v>
      </c>
      <c r="H85" s="11" t="str">
        <f ca="1">IFERROR(__xludf.dummyfunction("""COMPUTED_VALUE"""),"SUPERIOR")</f>
        <v>SUPERIOR</v>
      </c>
      <c r="I85" s="10" t="str">
        <f ca="1">IFERROR(__xludf.dummyfunction("""COMPUTED_VALUE"""),"PSICOLOGIA")</f>
        <v>PSICOLOGIA</v>
      </c>
      <c r="J85" s="10" t="str">
        <f ca="1">IFERROR(__xludf.dummyfunction("""COMPUTED_VALUE"""),"NOITE")</f>
        <v>NOITE</v>
      </c>
      <c r="K85" s="10" t="str">
        <f ca="1">IFERROR(__xludf.dummyfunction("""COMPUTED_VALUE"""),"TARDE")</f>
        <v>TARDE</v>
      </c>
      <c r="L85" s="10" t="str">
        <f ca="1">IFERROR(__xludf.dummyfunction("""COMPUTED_VALUE"""),"APARECIDA DE GOIÂNIA - GO")</f>
        <v>APARECIDA DE GOIÂNIA - GO</v>
      </c>
      <c r="M85" s="10">
        <f ca="1">IFERROR(__xludf.dummyfunction("""COMPUTED_VALUE"""),9)</f>
        <v>9</v>
      </c>
      <c r="N85" s="10" t="str">
        <f ca="1">IFERROR(__xludf.dummyfunction("""COMPUTED_VALUE"""),"DISPONÍVEL")</f>
        <v>DISPONÍVEL</v>
      </c>
      <c r="O85" s="11"/>
      <c r="P85" s="11"/>
      <c r="Q85" s="11"/>
      <c r="R85" s="11"/>
    </row>
    <row r="86" spans="1:18">
      <c r="A86" s="10">
        <f ca="1">IFERROR(__xludf.dummyfunction("""COMPUTED_VALUE"""),2)</f>
        <v>2</v>
      </c>
      <c r="B86" s="11" t="str">
        <f ca="1">IFERROR(__xludf.dummyfunction("""COMPUTED_VALUE"""),"JAKELINY CAMILA VAZ")</f>
        <v>JAKELINY CAMILA VAZ</v>
      </c>
      <c r="C86" s="11"/>
      <c r="D86" s="11" t="str">
        <f ca="1">IFERROR(__xludf.dummyfunction("""COMPUTED_VALUE"""),"04001361124")</f>
        <v>04001361124</v>
      </c>
      <c r="E86" s="11" t="str">
        <f ca="1">IFERROR(__xludf.dummyfunction("""COMPUTED_VALUE"""),"JAKEVAAZ7@GMAIL.COM")</f>
        <v>JAKEVAAZ7@GMAIL.COM</v>
      </c>
      <c r="F86" s="11"/>
      <c r="G86" s="11" t="str">
        <f ca="1">IFERROR(__xludf.dummyfunction("""COMPUTED_VALUE"""),"(62) 981853416")</f>
        <v>(62) 981853416</v>
      </c>
      <c r="H86" s="11" t="str">
        <f ca="1">IFERROR(__xludf.dummyfunction("""COMPUTED_VALUE"""),"SUPERIOR")</f>
        <v>SUPERIOR</v>
      </c>
      <c r="I86" s="10" t="str">
        <f ca="1">IFERROR(__xludf.dummyfunction("""COMPUTED_VALUE"""),"PSICOLOGIA")</f>
        <v>PSICOLOGIA</v>
      </c>
      <c r="J86" s="10" t="str">
        <f ca="1">IFERROR(__xludf.dummyfunction("""COMPUTED_VALUE"""),"NOITE")</f>
        <v>NOITE</v>
      </c>
      <c r="K86" s="10" t="str">
        <f ca="1">IFERROR(__xludf.dummyfunction("""COMPUTED_VALUE"""),"TARDE")</f>
        <v>TARDE</v>
      </c>
      <c r="L86" s="10" t="str">
        <f ca="1">IFERROR(__xludf.dummyfunction("""COMPUTED_VALUE"""),"APARECIDA DE GOIÂNIA - GO")</f>
        <v>APARECIDA DE GOIÂNIA - GO</v>
      </c>
      <c r="M86" s="10">
        <f ca="1">IFERROR(__xludf.dummyfunction("""COMPUTED_VALUE"""),9)</f>
        <v>9</v>
      </c>
      <c r="N86" s="10" t="str">
        <f ca="1">IFERROR(__xludf.dummyfunction("""COMPUTED_VALUE"""),"DISPONÍVEL")</f>
        <v>DISPONÍVEL</v>
      </c>
      <c r="O86" s="11"/>
      <c r="P86" s="11"/>
      <c r="Q86" s="11"/>
      <c r="R86" s="11"/>
    </row>
    <row r="87" spans="1:18">
      <c r="A87" s="10">
        <f ca="1">IFERROR(__xludf.dummyfunction("""COMPUTED_VALUE"""),3)</f>
        <v>3</v>
      </c>
      <c r="B87" s="11" t="str">
        <f ca="1">IFERROR(__xludf.dummyfunction("""COMPUTED_VALUE"""),"ALICE FORTUNA DE SOUZA DUARTE")</f>
        <v>ALICE FORTUNA DE SOUZA DUARTE</v>
      </c>
      <c r="C87" s="11"/>
      <c r="D87" s="11" t="str">
        <f ca="1">IFERROR(__xludf.dummyfunction("""COMPUTED_VALUE"""),"06225943110")</f>
        <v>06225943110</v>
      </c>
      <c r="E87" s="11" t="str">
        <f ca="1">IFERROR(__xludf.dummyfunction("""COMPUTED_VALUE"""),"ALICEFORTUNADESOUZA@GMAIIL.COM")</f>
        <v>ALICEFORTUNADESOUZA@GMAIIL.COM</v>
      </c>
      <c r="F87" s="11" t="str">
        <f ca="1">IFERROR(__xludf.dummyfunction("""COMPUTED_VALUE"""),"(62) 32411905")</f>
        <v>(62) 32411905</v>
      </c>
      <c r="G87" s="11" t="str">
        <f ca="1">IFERROR(__xludf.dummyfunction("""COMPUTED_VALUE"""),"(62) 995463374")</f>
        <v>(62) 995463374</v>
      </c>
      <c r="H87" s="11" t="str">
        <f ca="1">IFERROR(__xludf.dummyfunction("""COMPUTED_VALUE"""),"SUPERIOR")</f>
        <v>SUPERIOR</v>
      </c>
      <c r="I87" s="10" t="str">
        <f ca="1">IFERROR(__xludf.dummyfunction("""COMPUTED_VALUE"""),"PSICOLOGIA")</f>
        <v>PSICOLOGIA</v>
      </c>
      <c r="J87" s="10" t="str">
        <f ca="1">IFERROR(__xludf.dummyfunction("""COMPUTED_VALUE"""),"MANHÃ")</f>
        <v>MANHÃ</v>
      </c>
      <c r="K87" s="10" t="str">
        <f ca="1">IFERROR(__xludf.dummyfunction("""COMPUTED_VALUE"""),"TARDE")</f>
        <v>TARDE</v>
      </c>
      <c r="L87" s="10" t="str">
        <f ca="1">IFERROR(__xludf.dummyfunction("""COMPUTED_VALUE"""),"APARECIDA DE GOIÂNIA - GO")</f>
        <v>APARECIDA DE GOIÂNIA - GO</v>
      </c>
      <c r="M87" s="10">
        <f ca="1">IFERROR(__xludf.dummyfunction("""COMPUTED_VALUE"""),6)</f>
        <v>6</v>
      </c>
      <c r="N87" s="10" t="str">
        <f ca="1">IFERROR(__xludf.dummyfunction("""COMPUTED_VALUE"""),"DISPONÍVEL")</f>
        <v>DISPONÍVEL</v>
      </c>
      <c r="O87" s="11"/>
      <c r="P87" s="11"/>
      <c r="Q87" s="11"/>
      <c r="R87" s="11"/>
    </row>
    <row r="88" spans="1:18">
      <c r="A88" s="10">
        <f ca="1">IFERROR(__xludf.dummyfunction("QUERY('ARAGARÇAS'!A5:A15)"),1)</f>
        <v>1</v>
      </c>
      <c r="B88" s="9" t="str">
        <f ca="1">IFERROR(__xludf.dummyfunction("QUERY('ARAGARÇAS'!B5:B15)"),"YAGO ALEXANDRE ABREU SILVA")</f>
        <v>YAGO ALEXANDRE ABREU SILVA</v>
      </c>
      <c r="C88" s="9" t="str">
        <f ca="1">IFERROR(__xludf.dummyfunction("QUERY('ARAGARÇAS'!C5:C15)"),"")</f>
        <v/>
      </c>
      <c r="D88" s="9" t="str">
        <f ca="1">IFERROR(__xludf.dummyfunction("QUERY('ARAGARÇAS'!D5:D15)"),"06060747167")</f>
        <v>06060747167</v>
      </c>
      <c r="E88" s="9" t="str">
        <f ca="1">IFERROR(__xludf.dummyfunction("QUERY('ARAGARÇAS'!E5:E15)"),"ALEXANDREYAGO3@GMAIL.COM")</f>
        <v>ALEXANDREYAGO3@GMAIL.COM</v>
      </c>
      <c r="F88" s="9" t="str">
        <f ca="1">IFERROR(__xludf.dummyfunction("QUERY('ARAGARÇAS'!F5:F15)"),"")</f>
        <v/>
      </c>
      <c r="G88" s="9" t="str">
        <f ca="1">IFERROR(__xludf.dummyfunction("QUERY('ARAGARÇAS'!G5:G15)"),"(66) 996559145")</f>
        <v>(66) 996559145</v>
      </c>
      <c r="H88" s="9" t="str">
        <f ca="1">IFERROR(__xludf.dummyfunction("QUERY('ARAGARÇAS'!H5:H15)"),"SUPERIOR")</f>
        <v>SUPERIOR</v>
      </c>
      <c r="I88" s="10" t="str">
        <f ca="1">IFERROR(__xludf.dummyfunction("QUERY('ARAGARÇAS'!I5:I15)"),"DIREITO")</f>
        <v>DIREITO</v>
      </c>
      <c r="J88" s="10" t="str">
        <f ca="1">IFERROR(__xludf.dummyfunction("QUERY('ARAGARÇAS'!J5:J15)"),"INTEGRAL")</f>
        <v>INTEGRAL</v>
      </c>
      <c r="K88" s="10" t="str">
        <f ca="1">IFERROR(__xludf.dummyfunction("QUERY('ARAGARÇAS'!K5:K15)"),"TARDE")</f>
        <v>TARDE</v>
      </c>
      <c r="L88" s="10" t="str">
        <f ca="1">IFERROR(__xludf.dummyfunction("QUERY('ARAGARÇAS'!L5:L15)"),"ARAGARÇAS - GO")</f>
        <v>ARAGARÇAS - GO</v>
      </c>
      <c r="M88" s="10">
        <f ca="1">IFERROR(__xludf.dummyfunction("QUERY('ARAGARÇAS'!M5:M15)"),5)</f>
        <v>5</v>
      </c>
      <c r="N88" s="10" t="str">
        <f ca="1">IFERROR(__xludf.dummyfunction("QUERY('ARAGARÇAS'!N5:N15)"),"DISPONÍVEL")</f>
        <v>DISPONÍVEL</v>
      </c>
      <c r="O88" s="9" t="str">
        <f ca="1">IFERROR(__xludf.dummyfunction("QUERY('ARAGARÇAS'!O5:O15)"),"")</f>
        <v/>
      </c>
      <c r="P88" s="9" t="str">
        <f ca="1">IFERROR(__xludf.dummyfunction("QUERY('ARAGARÇAS'!P5:P15)"),"")</f>
        <v/>
      </c>
      <c r="Q88" s="9" t="str">
        <f ca="1">IFERROR(__xludf.dummyfunction("QUERY('ARAGARÇAS'!Q5:Q15)"),"")</f>
        <v/>
      </c>
      <c r="R88" s="9" t="str">
        <f ca="1">IFERROR(__xludf.dummyfunction("QUERY('ARAGARÇAS'!R5:R15)"),"")</f>
        <v/>
      </c>
    </row>
    <row r="89" spans="1:18">
      <c r="A89" s="10">
        <f ca="1">IFERROR(__xludf.dummyfunction("""COMPUTED_VALUE"""),2)</f>
        <v>2</v>
      </c>
      <c r="B89" s="11" t="str">
        <f ca="1">IFERROR(__xludf.dummyfunction("""COMPUTED_VALUE"""),"LAURA C B. KOTHE")</f>
        <v>LAURA C B. KOTHE</v>
      </c>
      <c r="C89" s="11"/>
      <c r="D89" s="11" t="str">
        <f ca="1">IFERROR(__xludf.dummyfunction("""COMPUTED_VALUE"""),"05616729116")</f>
        <v>05616729116</v>
      </c>
      <c r="E89" s="11" t="str">
        <f ca="1">IFERROR(__xludf.dummyfunction("""COMPUTED_VALUE"""),"LAURAKOTHE121@HOTMAIL.COM")</f>
        <v>LAURAKOTHE121@HOTMAIL.COM</v>
      </c>
      <c r="F89" s="11"/>
      <c r="G89" s="11" t="str">
        <f ca="1">IFERROR(__xludf.dummyfunction("""COMPUTED_VALUE"""),"(66) 992826683")</f>
        <v>(66) 992826683</v>
      </c>
      <c r="H89" s="11" t="str">
        <f ca="1">IFERROR(__xludf.dummyfunction("""COMPUTED_VALUE"""),"SUPERIOR")</f>
        <v>SUPERIOR</v>
      </c>
      <c r="I89" s="10" t="str">
        <f ca="1">IFERROR(__xludf.dummyfunction("""COMPUTED_VALUE"""),"DIREITO")</f>
        <v>DIREITO</v>
      </c>
      <c r="J89" s="10" t="str">
        <f ca="1">IFERROR(__xludf.dummyfunction("""COMPUTED_VALUE"""),"NOITE")</f>
        <v>NOITE</v>
      </c>
      <c r="K89" s="10" t="str">
        <f ca="1">IFERROR(__xludf.dummyfunction("""COMPUTED_VALUE"""),"TARDE")</f>
        <v>TARDE</v>
      </c>
      <c r="L89" s="10" t="str">
        <f ca="1">IFERROR(__xludf.dummyfunction("""COMPUTED_VALUE"""),"ARAGARÇAS - GO")</f>
        <v>ARAGARÇAS - GO</v>
      </c>
      <c r="M89" s="10">
        <f ca="1">IFERROR(__xludf.dummyfunction("""COMPUTED_VALUE"""),5)</f>
        <v>5</v>
      </c>
      <c r="N89" s="10" t="str">
        <f ca="1">IFERROR(__xludf.dummyfunction("""COMPUTED_VALUE"""),"DISPONÍVEL")</f>
        <v>DISPONÍVEL</v>
      </c>
      <c r="O89" s="11"/>
      <c r="P89" s="11"/>
      <c r="Q89" s="11"/>
      <c r="R89" s="11"/>
    </row>
    <row r="90" spans="1:18">
      <c r="A90" s="10">
        <f ca="1">IFERROR(__xludf.dummyfunction("""COMPUTED_VALUE"""),3)</f>
        <v>3</v>
      </c>
      <c r="B90" s="11" t="str">
        <f ca="1">IFERROR(__xludf.dummyfunction("""COMPUTED_VALUE"""),"LARA LUIZA NERES BARBOSA")</f>
        <v>LARA LUIZA NERES BARBOSA</v>
      </c>
      <c r="C90" s="11"/>
      <c r="D90" s="11" t="str">
        <f ca="1">IFERROR(__xludf.dummyfunction("""COMPUTED_VALUE"""),"12985000602")</f>
        <v>12985000602</v>
      </c>
      <c r="E90" s="11" t="str">
        <f ca="1">IFERROR(__xludf.dummyfunction("""COMPUTED_VALUE"""),"LARANERES2016@GMAIL.COM")</f>
        <v>LARANERES2016@GMAIL.COM</v>
      </c>
      <c r="F90" s="11"/>
      <c r="G90" s="11" t="str">
        <f ca="1">IFERROR(__xludf.dummyfunction("""COMPUTED_VALUE"""),"(38) 999187860")</f>
        <v>(38) 999187860</v>
      </c>
      <c r="H90" s="11" t="str">
        <f ca="1">IFERROR(__xludf.dummyfunction("""COMPUTED_VALUE"""),"SUPERIOR")</f>
        <v>SUPERIOR</v>
      </c>
      <c r="I90" s="10" t="str">
        <f ca="1">IFERROR(__xludf.dummyfunction("""COMPUTED_VALUE"""),"DIREITO")</f>
        <v>DIREITO</v>
      </c>
      <c r="J90" s="10" t="str">
        <f ca="1">IFERROR(__xludf.dummyfunction("""COMPUTED_VALUE"""),"INTEGRAL")</f>
        <v>INTEGRAL</v>
      </c>
      <c r="K90" s="10" t="str">
        <f ca="1">IFERROR(__xludf.dummyfunction("""COMPUTED_VALUE"""),"TARDE")</f>
        <v>TARDE</v>
      </c>
      <c r="L90" s="10" t="str">
        <f ca="1">IFERROR(__xludf.dummyfunction("""COMPUTED_VALUE"""),"ARAGARÇAS - GO")</f>
        <v>ARAGARÇAS - GO</v>
      </c>
      <c r="M90" s="10">
        <f ca="1">IFERROR(__xludf.dummyfunction("""COMPUTED_VALUE"""),5)</f>
        <v>5</v>
      </c>
      <c r="N90" s="10" t="str">
        <f ca="1">IFERROR(__xludf.dummyfunction("""COMPUTED_VALUE"""),"DISPONÍVEL")</f>
        <v>DISPONÍVEL</v>
      </c>
      <c r="O90" s="11"/>
      <c r="P90" s="11"/>
      <c r="Q90" s="11"/>
      <c r="R90" s="11"/>
    </row>
    <row r="91" spans="1:18">
      <c r="A91" s="10">
        <f ca="1">IFERROR(__xludf.dummyfunction("""COMPUTED_VALUE"""),4)</f>
        <v>4</v>
      </c>
      <c r="B91" s="11" t="str">
        <f ca="1">IFERROR(__xludf.dummyfunction("""COMPUTED_VALUE"""),"PEDRO OLYMPYO NASCIMENTO AMORIM")</f>
        <v>PEDRO OLYMPYO NASCIMENTO AMORIM</v>
      </c>
      <c r="C91" s="11"/>
      <c r="D91" s="11" t="str">
        <f ca="1">IFERROR(__xludf.dummyfunction("""COMPUTED_VALUE"""),"08325132108")</f>
        <v>08325132108</v>
      </c>
      <c r="E91" s="11" t="str">
        <f ca="1">IFERROR(__xludf.dummyfunction("""COMPUTED_VALUE"""),"OLYMPYOPEDRO07@GMAIL.COM")</f>
        <v>OLYMPYOPEDRO07@GMAIL.COM</v>
      </c>
      <c r="F91" s="11"/>
      <c r="G91" s="11" t="str">
        <f ca="1">IFERROR(__xludf.dummyfunction("""COMPUTED_VALUE"""),"(66) 992468516")</f>
        <v>(66) 992468516</v>
      </c>
      <c r="H91" s="11" t="str">
        <f ca="1">IFERROR(__xludf.dummyfunction("""COMPUTED_VALUE"""),"SUPERIOR")</f>
        <v>SUPERIOR</v>
      </c>
      <c r="I91" s="10" t="str">
        <f ca="1">IFERROR(__xludf.dummyfunction("""COMPUTED_VALUE"""),"DIREITO")</f>
        <v>DIREITO</v>
      </c>
      <c r="J91" s="10" t="str">
        <f ca="1">IFERROR(__xludf.dummyfunction("""COMPUTED_VALUE"""),"MANHÃ")</f>
        <v>MANHÃ</v>
      </c>
      <c r="K91" s="10" t="str">
        <f ca="1">IFERROR(__xludf.dummyfunction("""COMPUTED_VALUE"""),"TARDE")</f>
        <v>TARDE</v>
      </c>
      <c r="L91" s="10" t="str">
        <f ca="1">IFERROR(__xludf.dummyfunction("""COMPUTED_VALUE"""),"ARAGARÇAS - GO")</f>
        <v>ARAGARÇAS - GO</v>
      </c>
      <c r="M91" s="10">
        <f ca="1">IFERROR(__xludf.dummyfunction("""COMPUTED_VALUE"""),5)</f>
        <v>5</v>
      </c>
      <c r="N91" s="10" t="str">
        <f ca="1">IFERROR(__xludf.dummyfunction("""COMPUTED_VALUE"""),"DISPONÍVEL")</f>
        <v>DISPONÍVEL</v>
      </c>
      <c r="O91" s="11"/>
      <c r="P91" s="11"/>
      <c r="Q91" s="11"/>
      <c r="R91" s="11"/>
    </row>
    <row r="92" spans="1:18">
      <c r="A92" s="10">
        <f ca="1">IFERROR(__xludf.dummyfunction("""COMPUTED_VALUE"""),5)</f>
        <v>5</v>
      </c>
      <c r="B92" s="11" t="str">
        <f ca="1">IFERROR(__xludf.dummyfunction("""COMPUTED_VALUE"""),"MAURÍCIO DA COSTA")</f>
        <v>MAURÍCIO DA COSTA</v>
      </c>
      <c r="C92" s="11"/>
      <c r="D92" s="11" t="str">
        <f ca="1">IFERROR(__xludf.dummyfunction("""COMPUTED_VALUE"""),"88718107168")</f>
        <v>88718107168</v>
      </c>
      <c r="E92" s="11" t="str">
        <f ca="1">IFERROR(__xludf.dummyfunction("""COMPUTED_VALUE"""),"PRMAURICIODACOSTA@HOTMAIL.COM")</f>
        <v>PRMAURICIODACOSTA@HOTMAIL.COM</v>
      </c>
      <c r="F92" s="11"/>
      <c r="G92" s="11" t="str">
        <f ca="1">IFERROR(__xludf.dummyfunction("""COMPUTED_VALUE"""),"(62) 999988400")</f>
        <v>(62) 999988400</v>
      </c>
      <c r="H92" s="11" t="str">
        <f ca="1">IFERROR(__xludf.dummyfunction("""COMPUTED_VALUE"""),"SUPERIOR")</f>
        <v>SUPERIOR</v>
      </c>
      <c r="I92" s="10" t="str">
        <f ca="1">IFERROR(__xludf.dummyfunction("""COMPUTED_VALUE"""),"DIREITO")</f>
        <v>DIREITO</v>
      </c>
      <c r="J92" s="10" t="str">
        <f ca="1">IFERROR(__xludf.dummyfunction("""COMPUTED_VALUE"""),"MANHÃ")</f>
        <v>MANHÃ</v>
      </c>
      <c r="K92" s="10" t="str">
        <f ca="1">IFERROR(__xludf.dummyfunction("""COMPUTED_VALUE"""),"TARDE")</f>
        <v>TARDE</v>
      </c>
      <c r="L92" s="10" t="str">
        <f ca="1">IFERROR(__xludf.dummyfunction("""COMPUTED_VALUE"""),"ARAGARÇAS - GO")</f>
        <v>ARAGARÇAS - GO</v>
      </c>
      <c r="M92" s="10">
        <f ca="1">IFERROR(__xludf.dummyfunction("""COMPUTED_VALUE"""),5)</f>
        <v>5</v>
      </c>
      <c r="N92" s="10" t="str">
        <f ca="1">IFERROR(__xludf.dummyfunction("""COMPUTED_VALUE"""),"DISPONÍVEL")</f>
        <v>DISPONÍVEL</v>
      </c>
      <c r="O92" s="11"/>
      <c r="P92" s="11"/>
      <c r="Q92" s="11"/>
      <c r="R92" s="11"/>
    </row>
    <row r="93" spans="1:18">
      <c r="A93" s="10">
        <f ca="1">IFERROR(__xludf.dummyfunction("""COMPUTED_VALUE"""),6)</f>
        <v>6</v>
      </c>
      <c r="B93" s="11" t="str">
        <f ca="1">IFERROR(__xludf.dummyfunction("""COMPUTED_VALUE"""),"ROBERTTA RAYARA DE ABREU SOUSA")</f>
        <v>ROBERTTA RAYARA DE ABREU SOUSA</v>
      </c>
      <c r="C93" s="11"/>
      <c r="D93" s="11" t="str">
        <f ca="1">IFERROR(__xludf.dummyfunction("""COMPUTED_VALUE"""),"09091852127")</f>
        <v>09091852127</v>
      </c>
      <c r="E93" s="11" t="str">
        <f ca="1">IFERROR(__xludf.dummyfunction("""COMPUTED_VALUE"""),"ROBERTTRAYARA2019@OUTLOOK.COM")</f>
        <v>ROBERTTRAYARA2019@OUTLOOK.COM</v>
      </c>
      <c r="F93" s="11"/>
      <c r="G93" s="11" t="str">
        <f ca="1">IFERROR(__xludf.dummyfunction("""COMPUTED_VALUE"""),"(66) 999247330")</f>
        <v>(66) 999247330</v>
      </c>
      <c r="H93" s="11" t="str">
        <f ca="1">IFERROR(__xludf.dummyfunction("""COMPUTED_VALUE"""),"SUPERIOR")</f>
        <v>SUPERIOR</v>
      </c>
      <c r="I93" s="10" t="str">
        <f ca="1">IFERROR(__xludf.dummyfunction("""COMPUTED_VALUE"""),"DIREITO")</f>
        <v>DIREITO</v>
      </c>
      <c r="J93" s="10" t="str">
        <f ca="1">IFERROR(__xludf.dummyfunction("""COMPUTED_VALUE"""),"MANHÃ")</f>
        <v>MANHÃ</v>
      </c>
      <c r="K93" s="10" t="str">
        <f ca="1">IFERROR(__xludf.dummyfunction("""COMPUTED_VALUE"""),"TARDE")</f>
        <v>TARDE</v>
      </c>
      <c r="L93" s="10" t="str">
        <f ca="1">IFERROR(__xludf.dummyfunction("""COMPUTED_VALUE"""),"ARAGARÇAS - GO")</f>
        <v>ARAGARÇAS - GO</v>
      </c>
      <c r="M93" s="10">
        <f ca="1">IFERROR(__xludf.dummyfunction("""COMPUTED_VALUE"""),5)</f>
        <v>5</v>
      </c>
      <c r="N93" s="10" t="str">
        <f ca="1">IFERROR(__xludf.dummyfunction("""COMPUTED_VALUE"""),"DISPONÍVEL")</f>
        <v>DISPONÍVEL</v>
      </c>
      <c r="O93" s="11"/>
      <c r="P93" s="11"/>
      <c r="Q93" s="11"/>
      <c r="R93" s="11"/>
    </row>
    <row r="94" spans="1:18">
      <c r="A94" s="10">
        <f ca="1">IFERROR(__xludf.dummyfunction("""COMPUTED_VALUE"""),7)</f>
        <v>7</v>
      </c>
      <c r="B94" s="11" t="str">
        <f ca="1">IFERROR(__xludf.dummyfunction("""COMPUTED_VALUE"""),"FÉLIX PEREIRA CAIRES JÚNIOR")</f>
        <v>FÉLIX PEREIRA CAIRES JÚNIOR</v>
      </c>
      <c r="C94" s="11"/>
      <c r="D94" s="11" t="str">
        <f ca="1">IFERROR(__xludf.dummyfunction("""COMPUTED_VALUE"""),"08215427537")</f>
        <v>08215427537</v>
      </c>
      <c r="E94" s="11" t="str">
        <f ca="1">IFERROR(__xludf.dummyfunction("""COMPUTED_VALUE"""),"FELIXJUNIORPEREIRA@GMAIL.COM")</f>
        <v>FELIXJUNIORPEREIRA@GMAIL.COM</v>
      </c>
      <c r="F94" s="11"/>
      <c r="G94" s="11" t="str">
        <f ca="1">IFERROR(__xludf.dummyfunction("""COMPUTED_VALUE"""),"(77) 998192694")</f>
        <v>(77) 998192694</v>
      </c>
      <c r="H94" s="11" t="str">
        <f ca="1">IFERROR(__xludf.dummyfunction("""COMPUTED_VALUE"""),"SUPERIOR")</f>
        <v>SUPERIOR</v>
      </c>
      <c r="I94" s="10" t="str">
        <f ca="1">IFERROR(__xludf.dummyfunction("""COMPUTED_VALUE"""),"DIREITO")</f>
        <v>DIREITO</v>
      </c>
      <c r="J94" s="10" t="str">
        <f ca="1">IFERROR(__xludf.dummyfunction("""COMPUTED_VALUE"""),"VARIÁVEL")</f>
        <v>VARIÁVEL</v>
      </c>
      <c r="K94" s="10" t="str">
        <f ca="1">IFERROR(__xludf.dummyfunction("""COMPUTED_VALUE"""),"TARDE")</f>
        <v>TARDE</v>
      </c>
      <c r="L94" s="10" t="str">
        <f ca="1">IFERROR(__xludf.dummyfunction("""COMPUTED_VALUE"""),"ARAGARÇAS - GO")</f>
        <v>ARAGARÇAS - GO</v>
      </c>
      <c r="M94" s="10">
        <f ca="1">IFERROR(__xludf.dummyfunction("""COMPUTED_VALUE"""),5)</f>
        <v>5</v>
      </c>
      <c r="N94" s="10" t="str">
        <f ca="1">IFERROR(__xludf.dummyfunction("""COMPUTED_VALUE"""),"DISPONÍVEL")</f>
        <v>DISPONÍVEL</v>
      </c>
      <c r="O94" s="11"/>
      <c r="P94" s="11"/>
      <c r="Q94" s="11"/>
      <c r="R94" s="11"/>
    </row>
    <row r="95" spans="1:18">
      <c r="A95" s="10">
        <f ca="1">IFERROR(__xludf.dummyfunction("""COMPUTED_VALUE"""),8)</f>
        <v>8</v>
      </c>
      <c r="B95" s="11" t="str">
        <f ca="1">IFERROR(__xludf.dummyfunction("""COMPUTED_VALUE"""),"MARCOS MONTEIRO COSTA")</f>
        <v>MARCOS MONTEIRO COSTA</v>
      </c>
      <c r="C95" s="11"/>
      <c r="D95" s="11" t="str">
        <f ca="1">IFERROR(__xludf.dummyfunction("""COMPUTED_VALUE"""),"06657511175")</f>
        <v>06657511175</v>
      </c>
      <c r="E95" s="11" t="str">
        <f ca="1">IFERROR(__xludf.dummyfunction("""COMPUTED_VALUE"""),"MARCOSMONTEIROCOSTA774@GMAIL.COM")</f>
        <v>MARCOSMONTEIROCOSTA774@GMAIL.COM</v>
      </c>
      <c r="F95" s="11"/>
      <c r="G95" s="11" t="str">
        <f ca="1">IFERROR(__xludf.dummyfunction("""COMPUTED_VALUE"""),"(66) 992352358")</f>
        <v>(66) 992352358</v>
      </c>
      <c r="H95" s="11" t="str">
        <f ca="1">IFERROR(__xludf.dummyfunction("""COMPUTED_VALUE"""),"SUPERIOR")</f>
        <v>SUPERIOR</v>
      </c>
      <c r="I95" s="10" t="str">
        <f ca="1">IFERROR(__xludf.dummyfunction("""COMPUTED_VALUE"""),"DIREITO")</f>
        <v>DIREITO</v>
      </c>
      <c r="J95" s="10" t="str">
        <f ca="1">IFERROR(__xludf.dummyfunction("""COMPUTED_VALUE"""),"INTEGRAL")</f>
        <v>INTEGRAL</v>
      </c>
      <c r="K95" s="10" t="str">
        <f ca="1">IFERROR(__xludf.dummyfunction("""COMPUTED_VALUE"""),"TARDE")</f>
        <v>TARDE</v>
      </c>
      <c r="L95" s="10" t="str">
        <f ca="1">IFERROR(__xludf.dummyfunction("""COMPUTED_VALUE"""),"ARAGARÇAS - GO")</f>
        <v>ARAGARÇAS - GO</v>
      </c>
      <c r="M95" s="10">
        <f ca="1">IFERROR(__xludf.dummyfunction("""COMPUTED_VALUE"""),5)</f>
        <v>5</v>
      </c>
      <c r="N95" s="10" t="str">
        <f ca="1">IFERROR(__xludf.dummyfunction("""COMPUTED_VALUE"""),"DISPONÍVEL")</f>
        <v>DISPONÍVEL</v>
      </c>
      <c r="O95" s="11"/>
      <c r="P95" s="11"/>
      <c r="Q95" s="11"/>
      <c r="R95" s="11"/>
    </row>
    <row r="96" spans="1:18">
      <c r="A96" s="10">
        <f ca="1">IFERROR(__xludf.dummyfunction("""COMPUTED_VALUE"""),9)</f>
        <v>9</v>
      </c>
      <c r="B96" s="11" t="str">
        <f ca="1">IFERROR(__xludf.dummyfunction("""COMPUTED_VALUE"""),"ANA BEATRIZ CORREIA DORTA")</f>
        <v>ANA BEATRIZ CORREIA DORTA</v>
      </c>
      <c r="C96" s="11" t="str">
        <f ca="1">IFERROR(__xludf.dummyfunction("""COMPUTED_VALUE"""),"26489775")</f>
        <v>26489775</v>
      </c>
      <c r="D96" s="11" t="str">
        <f ca="1">IFERROR(__xludf.dummyfunction("""COMPUTED_VALUE"""),"05735450140")</f>
        <v>05735450140</v>
      </c>
      <c r="E96" s="11" t="str">
        <f ca="1">IFERROR(__xludf.dummyfunction("""COMPUTED_VALUE"""),"ANABEATRIZCORREIADORTA@GMAIL.COM")</f>
        <v>ANABEATRIZCORREIADORTA@GMAIL.COM</v>
      </c>
      <c r="F96" s="11"/>
      <c r="G96" s="11" t="str">
        <f ca="1">IFERROR(__xludf.dummyfunction("""COMPUTED_VALUE"""),"(66) 999099336")</f>
        <v>(66) 999099336</v>
      </c>
      <c r="H96" s="11" t="str">
        <f ca="1">IFERROR(__xludf.dummyfunction("""COMPUTED_VALUE"""),"SUPERIOR")</f>
        <v>SUPERIOR</v>
      </c>
      <c r="I96" s="10" t="str">
        <f ca="1">IFERROR(__xludf.dummyfunction("""COMPUTED_VALUE"""),"DIREITO")</f>
        <v>DIREITO</v>
      </c>
      <c r="J96" s="10" t="str">
        <f ca="1">IFERROR(__xludf.dummyfunction("""COMPUTED_VALUE"""),"MANHÃ")</f>
        <v>MANHÃ</v>
      </c>
      <c r="K96" s="10" t="str">
        <f ca="1">IFERROR(__xludf.dummyfunction("""COMPUTED_VALUE"""),"TARDE")</f>
        <v>TARDE</v>
      </c>
      <c r="L96" s="10" t="str">
        <f ca="1">IFERROR(__xludf.dummyfunction("""COMPUTED_VALUE"""),"ARAGARÇAS - GO")</f>
        <v>ARAGARÇAS - GO</v>
      </c>
      <c r="M96" s="10">
        <f ca="1">IFERROR(__xludf.dummyfunction("""COMPUTED_VALUE"""),5)</f>
        <v>5</v>
      </c>
      <c r="N96" s="10" t="str">
        <f ca="1">IFERROR(__xludf.dummyfunction("""COMPUTED_VALUE"""),"DISPONÍVEL")</f>
        <v>DISPONÍVEL</v>
      </c>
      <c r="O96" s="11"/>
      <c r="P96" s="11"/>
      <c r="Q96" s="11"/>
      <c r="R96" s="11"/>
    </row>
    <row r="97" spans="1:18">
      <c r="A97" s="10">
        <f ca="1">IFERROR(__xludf.dummyfunction("""COMPUTED_VALUE"""),10)</f>
        <v>10</v>
      </c>
      <c r="B97" s="11" t="str">
        <f ca="1">IFERROR(__xludf.dummyfunction("""COMPUTED_VALUE"""),"KARINA SILVA GOMES")</f>
        <v>KARINA SILVA GOMES</v>
      </c>
      <c r="C97" s="11"/>
      <c r="D97" s="11" t="str">
        <f ca="1">IFERROR(__xludf.dummyfunction("""COMPUTED_VALUE"""),"06316917155")</f>
        <v>06316917155</v>
      </c>
      <c r="E97" s="11" t="str">
        <f ca="1">IFERROR(__xludf.dummyfunction("""COMPUTED_VALUE"""),"KARINADHESSE@GMAIL.COM")</f>
        <v>KARINADHESSE@GMAIL.COM</v>
      </c>
      <c r="F97" s="11"/>
      <c r="G97" s="11" t="str">
        <f ca="1">IFERROR(__xludf.dummyfunction("""COMPUTED_VALUE"""),"(62) 998092853")</f>
        <v>(62) 998092853</v>
      </c>
      <c r="H97" s="11" t="str">
        <f ca="1">IFERROR(__xludf.dummyfunction("""COMPUTED_VALUE"""),"SUPERIOR")</f>
        <v>SUPERIOR</v>
      </c>
      <c r="I97" s="10" t="str">
        <f ca="1">IFERROR(__xludf.dummyfunction("""COMPUTED_VALUE"""),"DIREITO")</f>
        <v>DIREITO</v>
      </c>
      <c r="J97" s="10" t="str">
        <f ca="1">IFERROR(__xludf.dummyfunction("""COMPUTED_VALUE"""),"MANHÃ")</f>
        <v>MANHÃ</v>
      </c>
      <c r="K97" s="10" t="str">
        <f ca="1">IFERROR(__xludf.dummyfunction("""COMPUTED_VALUE"""),"TARDE")</f>
        <v>TARDE</v>
      </c>
      <c r="L97" s="10" t="str">
        <f ca="1">IFERROR(__xludf.dummyfunction("""COMPUTED_VALUE"""),"ARAGARÇAS - GO")</f>
        <v>ARAGARÇAS - GO</v>
      </c>
      <c r="M97" s="10">
        <f ca="1">IFERROR(__xludf.dummyfunction("""COMPUTED_VALUE"""),9)</f>
        <v>9</v>
      </c>
      <c r="N97" s="10" t="str">
        <f ca="1">IFERROR(__xludf.dummyfunction("""COMPUTED_VALUE"""),"DISPONÍVEL")</f>
        <v>DISPONÍVEL</v>
      </c>
      <c r="O97" s="11"/>
      <c r="P97" s="11"/>
      <c r="Q97" s="11"/>
      <c r="R97" s="11"/>
    </row>
    <row r="98" spans="1:18">
      <c r="A98" s="10">
        <f ca="1">IFERROR(__xludf.dummyfunction("""COMPUTED_VALUE"""),11)</f>
        <v>11</v>
      </c>
      <c r="B98" s="11" t="str">
        <f ca="1">IFERROR(__xludf.dummyfunction("""COMPUTED_VALUE"""),"SAMUEL BRAGA DA CRUZ")</f>
        <v>SAMUEL BRAGA DA CRUZ</v>
      </c>
      <c r="C98" s="11" t="str">
        <f ca="1">IFERROR(__xludf.dummyfunction("""COMPUTED_VALUE"""),"28214161")</f>
        <v>28214161</v>
      </c>
      <c r="D98" s="11" t="str">
        <f ca="1">IFERROR(__xludf.dummyfunction("""COMPUTED_VALUE"""),"06160092162")</f>
        <v>06160092162</v>
      </c>
      <c r="E98" s="11" t="str">
        <f ca="1">IFERROR(__xludf.dummyfunction("""COMPUTED_VALUE"""),"SAMUELBRAGA10077@GMAIL.COM")</f>
        <v>SAMUELBRAGA10077@GMAIL.COM</v>
      </c>
      <c r="F98" s="11" t="str">
        <f ca="1">IFERROR(__xludf.dummyfunction("""COMPUTED_VALUE"""),"(66) 84354058")</f>
        <v>(66) 84354058</v>
      </c>
      <c r="G98" s="11" t="str">
        <f ca="1">IFERROR(__xludf.dummyfunction("""COMPUTED_VALUE"""),"(66) 996146370")</f>
        <v>(66) 996146370</v>
      </c>
      <c r="H98" s="11" t="str">
        <f ca="1">IFERROR(__xludf.dummyfunction("""COMPUTED_VALUE"""),"SUPERIOR")</f>
        <v>SUPERIOR</v>
      </c>
      <c r="I98" s="10" t="str">
        <f ca="1">IFERROR(__xludf.dummyfunction("""COMPUTED_VALUE"""),"DIREITO")</f>
        <v>DIREITO</v>
      </c>
      <c r="J98" s="10" t="str">
        <f ca="1">IFERROR(__xludf.dummyfunction("""COMPUTED_VALUE"""),"NOITE")</f>
        <v>NOITE</v>
      </c>
      <c r="K98" s="10" t="str">
        <f ca="1">IFERROR(__xludf.dummyfunction("""COMPUTED_VALUE"""),"TARDE")</f>
        <v>TARDE</v>
      </c>
      <c r="L98" s="10" t="str">
        <f ca="1">IFERROR(__xludf.dummyfunction("""COMPUTED_VALUE"""),"ARAGARÇAS - GO")</f>
        <v>ARAGARÇAS - GO</v>
      </c>
      <c r="M98" s="10">
        <f ca="1">IFERROR(__xludf.dummyfunction("""COMPUTED_VALUE"""),7)</f>
        <v>7</v>
      </c>
      <c r="N98" s="10" t="str">
        <f ca="1">IFERROR(__xludf.dummyfunction("""COMPUTED_VALUE"""),"DISPONÍVEL")</f>
        <v>DISPONÍVEL</v>
      </c>
      <c r="O98" s="11"/>
      <c r="P98" s="11"/>
      <c r="Q98" s="11"/>
      <c r="R98" s="11"/>
    </row>
    <row r="99" spans="1:18">
      <c r="A99" s="10">
        <f ca="1">IFERROR(__xludf.dummyfunction("QUERY('BELA VISTA'!A5)"),1)</f>
        <v>1</v>
      </c>
      <c r="B99" s="11" t="str">
        <f ca="1">IFERROR(__xludf.dummyfunction("QUERY('BELA VISTA'!B5)"),"GABRIEL PIRES DE OLIVEIRA")</f>
        <v>GABRIEL PIRES DE OLIVEIRA</v>
      </c>
      <c r="C99" s="11" t="str">
        <f ca="1">IFERROR(__xludf.dummyfunction("QUERY('BELA VISTA'!C5)"),"")</f>
        <v/>
      </c>
      <c r="D99" s="11" t="str">
        <f ca="1">IFERROR(__xludf.dummyfunction("QUERY('BELA VISTA'!D5)"),"07166930110")</f>
        <v>07166930110</v>
      </c>
      <c r="E99" s="11" t="str">
        <f ca="1">IFERROR(__xludf.dummyfunction("QUERY('BELA VISTA'!E5)"),"GABRIELPIRES.77@GMAIL.COM")</f>
        <v>GABRIELPIRES.77@GMAIL.COM</v>
      </c>
      <c r="F99" s="11" t="str">
        <f ca="1">IFERROR(__xludf.dummyfunction("QUERY('BELA VISTA'!F5)"),"")</f>
        <v/>
      </c>
      <c r="G99" s="11" t="str">
        <f ca="1">IFERROR(__xludf.dummyfunction("QUERY('BELA VISTA'!G5)"),"(62) 998653547")</f>
        <v>(62) 998653547</v>
      </c>
      <c r="H99" s="11" t="str">
        <f ca="1">IFERROR(__xludf.dummyfunction("QUERY('BELA VISTA'!H5)"),"SUPERIOR")</f>
        <v>SUPERIOR</v>
      </c>
      <c r="I99" s="10" t="str">
        <f ca="1">IFERROR(__xludf.dummyfunction("QUERY('BELA VISTA'!I5)"),"DIREITO")</f>
        <v>DIREITO</v>
      </c>
      <c r="J99" s="10" t="str">
        <f ca="1">IFERROR(__xludf.dummyfunction("QUERY('BELA VISTA'!J5)"),"NOITE")</f>
        <v>NOITE</v>
      </c>
      <c r="K99" s="10" t="str">
        <f ca="1">IFERROR(__xludf.dummyfunction("QUERY('BELA VISTA'!K5)"),"TARDE")</f>
        <v>TARDE</v>
      </c>
      <c r="L99" s="10" t="str">
        <f ca="1">IFERROR(__xludf.dummyfunction("QUERY('BELA VISTA'!L5)"),"BELA VISTA - GO")</f>
        <v>BELA VISTA - GO</v>
      </c>
      <c r="M99" s="10">
        <f ca="1">IFERROR(__xludf.dummyfunction("QUERY('BELA VISTA'!M5)"),5)</f>
        <v>5</v>
      </c>
      <c r="N99" s="10" t="str">
        <f ca="1">IFERROR(__xludf.dummyfunction("QUERY('BELA VISTA'!N5)"),"CONTRATADO")</f>
        <v>CONTRATADO</v>
      </c>
      <c r="O99" s="11" t="str">
        <f ca="1">IFERROR(__xludf.dummyfunction("QUERY('BELA VISTA'!O5)"),"16/11 - 11:08")</f>
        <v>16/11 - 11:08</v>
      </c>
      <c r="P99" s="11" t="str">
        <f ca="1">IFERROR(__xludf.dummyfunction("QUERY('BELA VISTA'!P5)"),"")</f>
        <v/>
      </c>
      <c r="Q99" s="11" t="str">
        <f ca="1">IFERROR(__xludf.dummyfunction("QUERY('BELA VISTA'!Q5)"),"")</f>
        <v/>
      </c>
      <c r="R99" s="11" t="str">
        <f ca="1">IFERROR(__xludf.dummyfunction("QUERY('BELA VISTA'!R5)"),"")</f>
        <v/>
      </c>
    </row>
    <row r="100" spans="1:18">
      <c r="A100" s="10">
        <f ca="1">IFERROR(__xludf.dummyfunction("QUERY('BOM JESUS'!A5)"),1)</f>
        <v>1</v>
      </c>
      <c r="B100" s="11" t="str">
        <f ca="1">IFERROR(__xludf.dummyfunction("QUERY('BOM JESUS'!B5)"),"MYLENA KAROLINA MORAES DE AZEVEDO")</f>
        <v>MYLENA KAROLINA MORAES DE AZEVEDO</v>
      </c>
      <c r="C100" s="11" t="str">
        <f ca="1">IFERROR(__xludf.dummyfunction("QUERY('BOM JESUS'!C5)"),"7225826")</f>
        <v>7225826</v>
      </c>
      <c r="D100" s="11" t="str">
        <f ca="1">IFERROR(__xludf.dummyfunction("QUERY('BOM JESUS'!D5)"),"02122495170")</f>
        <v>02122495170</v>
      </c>
      <c r="E100" s="11" t="str">
        <f ca="1">IFERROR(__xludf.dummyfunction("QUERY('BOM JESUS'!E5)"),"MYKMDA250@GMAIL.COM")</f>
        <v>MYKMDA250@GMAIL.COM</v>
      </c>
      <c r="F100" s="11" t="str">
        <f ca="1">IFERROR(__xludf.dummyfunction("QUERY('BOM JESUS'!F5)"),"")</f>
        <v/>
      </c>
      <c r="G100" s="11" t="str">
        <f ca="1">IFERROR(__xludf.dummyfunction("QUERY('BOM JESUS'!G5)"),"(64) 992318324")</f>
        <v>(64) 992318324</v>
      </c>
      <c r="H100" s="11" t="str">
        <f ca="1">IFERROR(__xludf.dummyfunction("QUERY('BOM JESUS'!H5)"),"SUPERIOR")</f>
        <v>SUPERIOR</v>
      </c>
      <c r="I100" s="10" t="str">
        <f ca="1">IFERROR(__xludf.dummyfunction("QUERY('BOM JESUS'!I5)"),"DIREITO")</f>
        <v>DIREITO</v>
      </c>
      <c r="J100" s="10" t="str">
        <f ca="1">IFERROR(__xludf.dummyfunction("QUERY('BOM JESUS'!J5)"),"NOITE")</f>
        <v>NOITE</v>
      </c>
      <c r="K100" s="10" t="str">
        <f ca="1">IFERROR(__xludf.dummyfunction("QUERY('BOM JESUS'!K5)"),"TARDE")</f>
        <v>TARDE</v>
      </c>
      <c r="L100" s="10" t="str">
        <f ca="1">IFERROR(__xludf.dummyfunction("QUERY('BOM JESUS'!L5)"),"BOM JESUS - GO")</f>
        <v>BOM JESUS - GO</v>
      </c>
      <c r="M100" s="10">
        <f ca="1">IFERROR(__xludf.dummyfunction("QUERY('BOM JESUS'!M5)"),5)</f>
        <v>5</v>
      </c>
      <c r="N100" s="10" t="str">
        <f ca="1">IFERROR(__xludf.dummyfunction("QUERY('BOM JESUS'!N5)"),"CONTRATADO")</f>
        <v>CONTRATADO</v>
      </c>
      <c r="O100" s="11" t="str">
        <f ca="1">IFERROR(__xludf.dummyfunction("QUERY('BOM JESUS'!O5)"),"")</f>
        <v/>
      </c>
      <c r="P100" s="11" t="str">
        <f ca="1">IFERROR(__xludf.dummyfunction("QUERY('BOM JESUS'!P5)"),"")</f>
        <v/>
      </c>
      <c r="Q100" s="11" t="str">
        <f ca="1">IFERROR(__xludf.dummyfunction("QUERY('BOM JESUS'!Q5)"),"")</f>
        <v/>
      </c>
      <c r="R100" s="11" t="str">
        <f ca="1">IFERROR(__xludf.dummyfunction("QUERY('BOM JESUS'!R5)"),"")</f>
        <v/>
      </c>
    </row>
    <row r="101" spans="1:18">
      <c r="A101" s="10">
        <f ca="1">IFERROR(__xludf.dummyfunction("QUERY('CACHOEIRA ALTA'!A5)"),1)</f>
        <v>1</v>
      </c>
      <c r="B101" s="11" t="str">
        <f ca="1">IFERROR(__xludf.dummyfunction("QUERY('CACHOEIRA ALTA'!B5)"),"MARIA EDUARDA BORGES")</f>
        <v>MARIA EDUARDA BORGES</v>
      </c>
      <c r="C101" s="11" t="str">
        <f ca="1">IFERROR(__xludf.dummyfunction("QUERY('CACHOEIRA ALTA'!C5)"),"")</f>
        <v/>
      </c>
      <c r="D101" s="11" t="str">
        <f ca="1">IFERROR(__xludf.dummyfunction("QUERY('CACHOEIRA ALTA'!D5)"),"07742935198")</f>
        <v>07742935198</v>
      </c>
      <c r="E101" s="11" t="str">
        <f ca="1">IFERROR(__xludf.dummyfunction("QUERY('CACHOEIRA ALTA'!E5)"),"DUDAHHBORGEES@GMAIL.COM")</f>
        <v>DUDAHHBORGEES@GMAIL.COM</v>
      </c>
      <c r="F101" s="11" t="str">
        <f ca="1">IFERROR(__xludf.dummyfunction("QUERY('CACHOEIRA ALTA'!F5)"),"")</f>
        <v/>
      </c>
      <c r="G101" s="11" t="str">
        <f ca="1">IFERROR(__xludf.dummyfunction("QUERY('CACHOEIRA ALTA'!G5)"),"(64) 984079435")</f>
        <v>(64) 984079435</v>
      </c>
      <c r="H101" s="11" t="str">
        <f ca="1">IFERROR(__xludf.dummyfunction("QUERY('CACHOEIRA ALTA'!H5)"),"SUPERIOR")</f>
        <v>SUPERIOR</v>
      </c>
      <c r="I101" s="10" t="str">
        <f ca="1">IFERROR(__xludf.dummyfunction("QUERY('CACHOEIRA ALTA'!I5)"),"DIREITO")</f>
        <v>DIREITO</v>
      </c>
      <c r="J101" s="10" t="str">
        <f ca="1">IFERROR(__xludf.dummyfunction("QUERY('CACHOEIRA ALTA'!J5)"),"NOITE")</f>
        <v>NOITE</v>
      </c>
      <c r="K101" s="10" t="str">
        <f ca="1">IFERROR(__xludf.dummyfunction("QUERY('CACHOEIRA ALTA'!K5)"),"TARDE")</f>
        <v>TARDE</v>
      </c>
      <c r="L101" s="10" t="str">
        <f ca="1">IFERROR(__xludf.dummyfunction("QUERY('CACHOEIRA ALTA'!L5)"),"CACHOEIRA ALTA - GO")</f>
        <v>CACHOEIRA ALTA - GO</v>
      </c>
      <c r="M101" s="10">
        <f ca="1">IFERROR(__xludf.dummyfunction("QUERY('CACHOEIRA ALTA'!M5)"),6)</f>
        <v>6</v>
      </c>
      <c r="N101" s="10" t="str">
        <f ca="1">IFERROR(__xludf.dummyfunction("QUERY('CACHOEIRA ALTA'!N5)"),"CONTRATADO")</f>
        <v>CONTRATADO</v>
      </c>
      <c r="O101" s="11" t="str">
        <f ca="1">IFERROR(__xludf.dummyfunction("QUERY('CACHOEIRA ALTA'!O5)"),"16/11 - 11:21")</f>
        <v>16/11 - 11:21</v>
      </c>
      <c r="P101" s="11" t="str">
        <f ca="1">IFERROR(__xludf.dummyfunction("QUERY('CACHOEIRA ALTA'!P5)"),"")</f>
        <v/>
      </c>
      <c r="Q101" s="11" t="str">
        <f ca="1">IFERROR(__xludf.dummyfunction("QUERY('CACHOEIRA ALTA'!Q5)"),"")</f>
        <v/>
      </c>
      <c r="R101" s="11" t="str">
        <f ca="1">IFERROR(__xludf.dummyfunction("QUERY('CACHOEIRA ALTA'!R5)"),"")</f>
        <v/>
      </c>
    </row>
    <row r="102" spans="1:18">
      <c r="A102" s="10">
        <f ca="1">IFERROR(__xludf.dummyfunction("QUERY('CALDAS NOVAS'!A5:A15)"),1)</f>
        <v>1</v>
      </c>
      <c r="B102" s="11" t="str">
        <f ca="1">IFERROR(__xludf.dummyfunction("QUERY('CALDAS NOVAS'!B5:B15)"),"JOANA GRAZIELE MESQUITA")</f>
        <v>JOANA GRAZIELE MESQUITA</v>
      </c>
      <c r="C102" s="11" t="str">
        <f ca="1">IFERROR(__xludf.dummyfunction("QUERY('CALDAS NOVAS'!C5:C15)"),"6200034")</f>
        <v>6200034</v>
      </c>
      <c r="D102" s="11" t="str">
        <f ca="1">IFERROR(__xludf.dummyfunction("QUERY('CALDAS NOVAS'!D5:D15)"),"03366126132")</f>
        <v>03366126132</v>
      </c>
      <c r="E102" s="11" t="str">
        <f ca="1">IFERROR(__xludf.dummyfunction("QUERY('CALDAS NOVAS'!E5:E15)"),"JOANA_GRAZIELE@HOTMAIL.COM")</f>
        <v>JOANA_GRAZIELE@HOTMAIL.COM</v>
      </c>
      <c r="F102" s="11" t="str">
        <f ca="1">IFERROR(__xludf.dummyfunction("QUERY('CALDAS NOVAS'!F5:F15)"),"")</f>
        <v/>
      </c>
      <c r="G102" s="11" t="str">
        <f ca="1">IFERROR(__xludf.dummyfunction("QUERY('CALDAS NOVAS'!G5:G15)"),"(64) 992754984")</f>
        <v>(64) 992754984</v>
      </c>
      <c r="H102" s="11" t="str">
        <f ca="1">IFERROR(__xludf.dummyfunction("QUERY('CALDAS NOVAS'!H5:H15)"),"SUPERIOR")</f>
        <v>SUPERIOR</v>
      </c>
      <c r="I102" s="10" t="str">
        <f ca="1">IFERROR(__xludf.dummyfunction("QUERY('CALDAS NOVAS'!I5:I15)"),"ADMINISTRAÇÃO")</f>
        <v>ADMINISTRAÇÃO</v>
      </c>
      <c r="J102" s="10" t="str">
        <f ca="1">IFERROR(__xludf.dummyfunction("QUERY('CALDAS NOVAS'!J5:J15)"),"NOITE")</f>
        <v>NOITE</v>
      </c>
      <c r="K102" s="10" t="str">
        <f ca="1">IFERROR(__xludf.dummyfunction("QUERY('CALDAS NOVAS'!K5:K15)"),"TARDE")</f>
        <v>TARDE</v>
      </c>
      <c r="L102" s="10" t="str">
        <f ca="1">IFERROR(__xludf.dummyfunction("QUERY('CALDAS NOVAS'!L5:L15)"),"CALDAS NOVAS - GO")</f>
        <v>CALDAS NOVAS - GO</v>
      </c>
      <c r="M102" s="10">
        <f ca="1">IFERROR(__xludf.dummyfunction("QUERY('CALDAS NOVAS'!M5:M15)"),4)</f>
        <v>4</v>
      </c>
      <c r="N102" s="10" t="str">
        <f ca="1">IFERROR(__xludf.dummyfunction("QUERY('CALDAS NOVAS'!N5:N15)"),"DISPONÍVEL")</f>
        <v>DISPONÍVEL</v>
      </c>
      <c r="O102" s="11" t="str">
        <f ca="1">IFERROR(__xludf.dummyfunction("QUERY('CALDAS NOVAS'!O5:O15)"),"")</f>
        <v/>
      </c>
      <c r="P102" s="11" t="str">
        <f ca="1">IFERROR(__xludf.dummyfunction("QUERY('CALDAS NOVAS'!P5:P15)"),"")</f>
        <v/>
      </c>
      <c r="Q102" s="11" t="str">
        <f ca="1">IFERROR(__xludf.dummyfunction("QUERY('CALDAS NOVAS'!Q5:Q15)"),"  ")</f>
        <v xml:space="preserve">  </v>
      </c>
      <c r="R102" s="11" t="str">
        <f ca="1">IFERROR(__xludf.dummyfunction("QUERY('CALDAS NOVAS'!R5:R15)"),"")</f>
        <v/>
      </c>
    </row>
    <row r="103" spans="1:18">
      <c r="A103" s="10">
        <f ca="1">IFERROR(__xludf.dummyfunction("""COMPUTED_VALUE"""),1)</f>
        <v>1</v>
      </c>
      <c r="B103" s="11" t="str">
        <f ca="1">IFERROR(__xludf.dummyfunction("""COMPUTED_VALUE"""),"YASMIN WILLIANE PEREIRA DE SOUZA")</f>
        <v>YASMIN WILLIANE PEREIRA DE SOUZA</v>
      </c>
      <c r="C103" s="11"/>
      <c r="D103" s="11" t="str">
        <f ca="1">IFERROR(__xludf.dummyfunction("""COMPUTED_VALUE"""),"71071274112")</f>
        <v>71071274112</v>
      </c>
      <c r="E103" s="11" t="str">
        <f ca="1">IFERROR(__xludf.dummyfunction("""COMPUTED_VALUE"""),"YASMINWILLIANEE@GMAIL.COM")</f>
        <v>YASMINWILLIANEE@GMAIL.COM</v>
      </c>
      <c r="F103" s="11"/>
      <c r="G103" s="11" t="str">
        <f ca="1">IFERROR(__xludf.dummyfunction("""COMPUTED_VALUE"""),"(64) 992034576")</f>
        <v>(64) 992034576</v>
      </c>
      <c r="H103" s="11" t="str">
        <f ca="1">IFERROR(__xludf.dummyfunction("""COMPUTED_VALUE"""),"SUPERIOR")</f>
        <v>SUPERIOR</v>
      </c>
      <c r="I103" s="10" t="str">
        <f ca="1">IFERROR(__xludf.dummyfunction("""COMPUTED_VALUE"""),"DIREITO")</f>
        <v>DIREITO</v>
      </c>
      <c r="J103" s="10" t="str">
        <f ca="1">IFERROR(__xludf.dummyfunction("""COMPUTED_VALUE"""),"NOITE")</f>
        <v>NOITE</v>
      </c>
      <c r="K103" s="10" t="str">
        <f ca="1">IFERROR(__xludf.dummyfunction("""COMPUTED_VALUE"""),"TARDE")</f>
        <v>TARDE</v>
      </c>
      <c r="L103" s="10" t="str">
        <f ca="1">IFERROR(__xludf.dummyfunction("""COMPUTED_VALUE"""),"CALDAS NOVAS - GO")</f>
        <v>CALDAS NOVAS - GO</v>
      </c>
      <c r="M103" s="10">
        <f ca="1">IFERROR(__xludf.dummyfunction("""COMPUTED_VALUE"""),6)</f>
        <v>6</v>
      </c>
      <c r="N103" s="10" t="str">
        <f ca="1">IFERROR(__xludf.dummyfunction("""COMPUTED_VALUE"""),"CONTRATADO")</f>
        <v>CONTRATADO</v>
      </c>
      <c r="O103" s="11" t="str">
        <f ca="1">IFERROR(__xludf.dummyfunction("""COMPUTED_VALUE"""),"10/10 - 13:16")</f>
        <v>10/10 - 13:16</v>
      </c>
      <c r="P103" s="11"/>
      <c r="Q103" s="12">
        <f ca="1">IFERROR(__xludf.dummyfunction("""COMPUTED_VALUE"""),45230)</f>
        <v>45230</v>
      </c>
      <c r="R103" s="11"/>
    </row>
    <row r="104" spans="1:18">
      <c r="A104" s="10">
        <f ca="1">IFERROR(__xludf.dummyfunction("""COMPUTED_VALUE"""),2)</f>
        <v>2</v>
      </c>
      <c r="B104" s="11" t="str">
        <f ca="1">IFERROR(__xludf.dummyfunction("""COMPUTED_VALUE"""),"ANDERSON MURILO MARIANO MARTINS")</f>
        <v>ANDERSON MURILO MARIANO MARTINS</v>
      </c>
      <c r="C104" s="11"/>
      <c r="D104" s="11" t="str">
        <f ca="1">IFERROR(__xludf.dummyfunction("""COMPUTED_VALUE"""),"05456961199")</f>
        <v>05456961199</v>
      </c>
      <c r="E104" s="11" t="str">
        <f ca="1">IFERROR(__xludf.dummyfunction("""COMPUTED_VALUE"""),"ANDERSONMURILOJR0496@GMAIL.COM")</f>
        <v>ANDERSONMURILOJR0496@GMAIL.COM</v>
      </c>
      <c r="F104" s="11" t="str">
        <f ca="1">IFERROR(__xludf.dummyfunction("""COMPUTED_VALUE"""),"(64) 92524248")</f>
        <v>(64) 92524248</v>
      </c>
      <c r="G104" s="11" t="str">
        <f ca="1">IFERROR(__xludf.dummyfunction("""COMPUTED_VALUE"""),"(62) 999985718")</f>
        <v>(62) 999985718</v>
      </c>
      <c r="H104" s="11" t="str">
        <f ca="1">IFERROR(__xludf.dummyfunction("""COMPUTED_VALUE"""),"SUPERIOR")</f>
        <v>SUPERIOR</v>
      </c>
      <c r="I104" s="10" t="str">
        <f ca="1">IFERROR(__xludf.dummyfunction("""COMPUTED_VALUE"""),"DIREITO")</f>
        <v>DIREITO</v>
      </c>
      <c r="J104" s="10" t="str">
        <f ca="1">IFERROR(__xludf.dummyfunction("""COMPUTED_VALUE"""),"NOITE")</f>
        <v>NOITE</v>
      </c>
      <c r="K104" s="10" t="str">
        <f ca="1">IFERROR(__xludf.dummyfunction("""COMPUTED_VALUE"""),"TARDE")</f>
        <v>TARDE</v>
      </c>
      <c r="L104" s="10" t="str">
        <f ca="1">IFERROR(__xludf.dummyfunction("""COMPUTED_VALUE"""),"CALDAS NOVAS - GO")</f>
        <v>CALDAS NOVAS - GO</v>
      </c>
      <c r="M104" s="10">
        <f ca="1">IFERROR(__xludf.dummyfunction("""COMPUTED_VALUE"""),6)</f>
        <v>6</v>
      </c>
      <c r="N104" s="10" t="str">
        <f ca="1">IFERROR(__xludf.dummyfunction("""COMPUTED_VALUE"""),"CONTRATADO")</f>
        <v>CONTRATADO</v>
      </c>
      <c r="O104" s="11" t="str">
        <f ca="1">IFERROR(__xludf.dummyfunction("""COMPUTED_VALUE"""),"10/10 - 13:16")</f>
        <v>10/10 - 13:16</v>
      </c>
      <c r="P104" s="11"/>
      <c r="Q104" s="12"/>
      <c r="R104" s="11"/>
    </row>
    <row r="105" spans="1:18">
      <c r="A105" s="10">
        <f ca="1">IFERROR(__xludf.dummyfunction("""COMPUTED_VALUE"""),3)</f>
        <v>3</v>
      </c>
      <c r="B105" s="11" t="str">
        <f ca="1">IFERROR(__xludf.dummyfunction("""COMPUTED_VALUE"""),"EMANUEL BARROS XAVIER")</f>
        <v>EMANUEL BARROS XAVIER</v>
      </c>
      <c r="C105" s="11" t="str">
        <f ca="1">IFERROR(__xludf.dummyfunction("""COMPUTED_VALUE"""),"6215910")</f>
        <v>6215910</v>
      </c>
      <c r="D105" s="11" t="str">
        <f ca="1">IFERROR(__xludf.dummyfunction("""COMPUTED_VALUE"""),"04281739181")</f>
        <v>04281739181</v>
      </c>
      <c r="E105" s="11" t="str">
        <f ca="1">IFERROR(__xludf.dummyfunction("""COMPUTED_VALUE"""),"EMANUELBARROSXAVIER@GMAIL.COM")</f>
        <v>EMANUELBARROSXAVIER@GMAIL.COM</v>
      </c>
      <c r="F105" s="11"/>
      <c r="G105" s="11" t="str">
        <f ca="1">IFERROR(__xludf.dummyfunction("""COMPUTED_VALUE"""),"(64) 981391737")</f>
        <v>(64) 981391737</v>
      </c>
      <c r="H105" s="11" t="str">
        <f ca="1">IFERROR(__xludf.dummyfunction("""COMPUTED_VALUE"""),"SUPERIOR")</f>
        <v>SUPERIOR</v>
      </c>
      <c r="I105" s="10" t="str">
        <f ca="1">IFERROR(__xludf.dummyfunction("""COMPUTED_VALUE"""),"DIREITO")</f>
        <v>DIREITO</v>
      </c>
      <c r="J105" s="10" t="str">
        <f ca="1">IFERROR(__xludf.dummyfunction("""COMPUTED_VALUE"""),"MANHÃ")</f>
        <v>MANHÃ</v>
      </c>
      <c r="K105" s="10" t="str">
        <f ca="1">IFERROR(__xludf.dummyfunction("""COMPUTED_VALUE"""),"TARDE")</f>
        <v>TARDE</v>
      </c>
      <c r="L105" s="10" t="str">
        <f ca="1">IFERROR(__xludf.dummyfunction("""COMPUTED_VALUE"""),"CALDAS NOVAS - GO")</f>
        <v>CALDAS NOVAS - GO</v>
      </c>
      <c r="M105" s="10">
        <f ca="1">IFERROR(__xludf.dummyfunction("""COMPUTED_VALUE"""),6)</f>
        <v>6</v>
      </c>
      <c r="N105" s="10" t="str">
        <f ca="1">IFERROR(__xludf.dummyfunction("""COMPUTED_VALUE"""),"DESCLASSIFICADO")</f>
        <v>DESCLASSIFICADO</v>
      </c>
      <c r="O105" s="11" t="str">
        <f ca="1">IFERROR(__xludf.dummyfunction("""COMPUTED_VALUE"""),"10/10 - 13:16")</f>
        <v>10/10 - 13:16</v>
      </c>
      <c r="P105" s="11" t="str">
        <f ca="1">IFERROR(__xludf.dummyfunction("""COMPUTED_VALUE"""),"SEM RETORNO")</f>
        <v>SEM RETORNO</v>
      </c>
      <c r="Q105" s="12"/>
      <c r="R105" s="11" t="str">
        <f ca="1">IFERROR(__xludf.dummyfunction("""COMPUTED_VALUE"""),"SEM RETORNO")</f>
        <v>SEM RETORNO</v>
      </c>
    </row>
    <row r="106" spans="1:18">
      <c r="A106" s="10">
        <f ca="1">IFERROR(__xludf.dummyfunction("""COMPUTED_VALUE"""),4)</f>
        <v>4</v>
      </c>
      <c r="B106" s="11" t="str">
        <f ca="1">IFERROR(__xludf.dummyfunction("""COMPUTED_VALUE"""),"BERENICE MARTINS FERREIRA DA SILVA")</f>
        <v>BERENICE MARTINS FERREIRA DA SILVA</v>
      </c>
      <c r="C106" s="11" t="str">
        <f ca="1">IFERROR(__xludf.dummyfunction("""COMPUTED_VALUE"""),"3631170")</f>
        <v>3631170</v>
      </c>
      <c r="D106" s="11" t="str">
        <f ca="1">IFERROR(__xludf.dummyfunction("""COMPUTED_VALUE"""),"00133578160")</f>
        <v>00133578160</v>
      </c>
      <c r="E106" s="11" t="str">
        <f ca="1">IFERROR(__xludf.dummyfunction("""COMPUTED_VALUE"""),"NICE.CAMARA@GMAIL.COM")</f>
        <v>NICE.CAMARA@GMAIL.COM</v>
      </c>
      <c r="F106" s="11"/>
      <c r="G106" s="11" t="str">
        <f ca="1">IFERROR(__xludf.dummyfunction("""COMPUTED_VALUE"""),"(64) 992524248")</f>
        <v>(64) 992524248</v>
      </c>
      <c r="H106" s="11" t="str">
        <f ca="1">IFERROR(__xludf.dummyfunction("""COMPUTED_VALUE"""),"SUPERIOR")</f>
        <v>SUPERIOR</v>
      </c>
      <c r="I106" s="10" t="str">
        <f ca="1">IFERROR(__xludf.dummyfunction("""COMPUTED_VALUE"""),"DIREITO")</f>
        <v>DIREITO</v>
      </c>
      <c r="J106" s="10" t="str">
        <f ca="1">IFERROR(__xludf.dummyfunction("""COMPUTED_VALUE"""),"NOITE")</f>
        <v>NOITE</v>
      </c>
      <c r="K106" s="10" t="str">
        <f ca="1">IFERROR(__xludf.dummyfunction("""COMPUTED_VALUE"""),"TARDE")</f>
        <v>TARDE</v>
      </c>
      <c r="L106" s="10" t="str">
        <f ca="1">IFERROR(__xludf.dummyfunction("""COMPUTED_VALUE"""),"CALDAS NOVAS - GO")</f>
        <v>CALDAS NOVAS - GO</v>
      </c>
      <c r="M106" s="10">
        <f ca="1">IFERROR(__xludf.dummyfunction("""COMPUTED_VALUE"""),5)</f>
        <v>5</v>
      </c>
      <c r="N106" s="10" t="str">
        <f ca="1">IFERROR(__xludf.dummyfunction("""COMPUTED_VALUE"""),"DESCLASSIFICADO")</f>
        <v>DESCLASSIFICADO</v>
      </c>
      <c r="O106" s="11" t="str">
        <f ca="1">IFERROR(__xludf.dummyfunction("""COMPUTED_VALUE"""),"10/10 - 13:16")</f>
        <v>10/10 - 13:16</v>
      </c>
      <c r="P106" s="11" t="str">
        <f ca="1">IFERROR(__xludf.dummyfunction("""COMPUTED_VALUE"""),"JÁ REALIZOU 2 ANOS DE ESTÁGIO")</f>
        <v>JÁ REALIZOU 2 ANOS DE ESTÁGIO</v>
      </c>
      <c r="Q106" s="12"/>
      <c r="R106" s="11"/>
    </row>
    <row r="107" spans="1:18">
      <c r="A107" s="10">
        <f ca="1">IFERROR(__xludf.dummyfunction("""COMPUTED_VALUE"""),5)</f>
        <v>5</v>
      </c>
      <c r="B107" s="11" t="str">
        <f ca="1">IFERROR(__xludf.dummyfunction("""COMPUTED_VALUE"""),"JOÃO VICTOR MARTINS ANDRADE")</f>
        <v>JOÃO VICTOR MARTINS ANDRADE</v>
      </c>
      <c r="C107" s="11" t="str">
        <f ca="1">IFERROR(__xludf.dummyfunction("""COMPUTED_VALUE"""),"6915149")</f>
        <v>6915149</v>
      </c>
      <c r="D107" s="11" t="str">
        <f ca="1">IFERROR(__xludf.dummyfunction("""COMPUTED_VALUE"""),"70943667100")</f>
        <v>70943667100</v>
      </c>
      <c r="E107" s="11" t="str">
        <f ca="1">IFERROR(__xludf.dummyfunction("""COMPUTED_VALUE"""),"JOAOVICTORMARTINSANDRADEJOAO@GMAIL.COM")</f>
        <v>JOAOVICTORMARTINSANDRADEJOAO@GMAIL.COM</v>
      </c>
      <c r="F107" s="11"/>
      <c r="G107" s="11" t="str">
        <f ca="1">IFERROR(__xludf.dummyfunction("""COMPUTED_VALUE"""),"(64) 981312094")</f>
        <v>(64) 981312094</v>
      </c>
      <c r="H107" s="11" t="str">
        <f ca="1">IFERROR(__xludf.dummyfunction("""COMPUTED_VALUE"""),"SUPERIOR")</f>
        <v>SUPERIOR</v>
      </c>
      <c r="I107" s="10" t="str">
        <f ca="1">IFERROR(__xludf.dummyfunction("""COMPUTED_VALUE"""),"DIREITO")</f>
        <v>DIREITO</v>
      </c>
      <c r="J107" s="10" t="str">
        <f ca="1">IFERROR(__xludf.dummyfunction("""COMPUTED_VALUE"""),"NOITE")</f>
        <v>NOITE</v>
      </c>
      <c r="K107" s="10" t="str">
        <f ca="1">IFERROR(__xludf.dummyfunction("""COMPUTED_VALUE"""),"TARDE")</f>
        <v>TARDE</v>
      </c>
      <c r="L107" s="10" t="str">
        <f ca="1">IFERROR(__xludf.dummyfunction("""COMPUTED_VALUE"""),"CALDAS NOVAS - GO")</f>
        <v>CALDAS NOVAS - GO</v>
      </c>
      <c r="M107" s="10">
        <f ca="1">IFERROR(__xludf.dummyfunction("""COMPUTED_VALUE"""),5)</f>
        <v>5</v>
      </c>
      <c r="N107" s="10" t="str">
        <f ca="1">IFERROR(__xludf.dummyfunction("""COMPUTED_VALUE"""),"CONTRATADO")</f>
        <v>CONTRATADO</v>
      </c>
      <c r="O107" s="11" t="str">
        <f ca="1">IFERROR(__xludf.dummyfunction("""COMPUTED_VALUE"""),"10/10 - 13:16")</f>
        <v>10/10 - 13:16</v>
      </c>
      <c r="P107" s="11"/>
      <c r="Q107" s="12"/>
      <c r="R107" s="11"/>
    </row>
    <row r="108" spans="1:18">
      <c r="A108" s="10">
        <f ca="1">IFERROR(__xludf.dummyfunction("""COMPUTED_VALUE"""),6)</f>
        <v>6</v>
      </c>
      <c r="B108" s="11" t="str">
        <f ca="1">IFERROR(__xludf.dummyfunction("""COMPUTED_VALUE"""),"ANA CLARA VENÂNCIO RODRIGUES")</f>
        <v>ANA CLARA VENÂNCIO RODRIGUES</v>
      </c>
      <c r="C108" s="11" t="str">
        <f ca="1">IFERROR(__xludf.dummyfunction("""COMPUTED_VALUE"""),"6862987")</f>
        <v>6862987</v>
      </c>
      <c r="D108" s="11" t="str">
        <f ca="1">IFERROR(__xludf.dummyfunction("""COMPUTED_VALUE"""),"06335093103")</f>
        <v>06335093103</v>
      </c>
      <c r="E108" s="11" t="str">
        <f ca="1">IFERROR(__xludf.dummyfunction("""COMPUTED_VALUE"""),"CACALA2009@HOTMAIL.COM")</f>
        <v>CACALA2009@HOTMAIL.COM</v>
      </c>
      <c r="F108" s="11"/>
      <c r="G108" s="11" t="str">
        <f ca="1">IFERROR(__xludf.dummyfunction("""COMPUTED_VALUE"""),"(64) 999276999")</f>
        <v>(64) 999276999</v>
      </c>
      <c r="H108" s="11" t="str">
        <f ca="1">IFERROR(__xludf.dummyfunction("""COMPUTED_VALUE"""),"SUPERIOR")</f>
        <v>SUPERIOR</v>
      </c>
      <c r="I108" s="10" t="str">
        <f ca="1">IFERROR(__xludf.dummyfunction("""COMPUTED_VALUE"""),"DIREITO")</f>
        <v>DIREITO</v>
      </c>
      <c r="J108" s="10" t="str">
        <f ca="1">IFERROR(__xludf.dummyfunction("""COMPUTED_VALUE"""),"NOITE")</f>
        <v>NOITE</v>
      </c>
      <c r="K108" s="10" t="str">
        <f ca="1">IFERROR(__xludf.dummyfunction("""COMPUTED_VALUE"""),"TARDE")</f>
        <v>TARDE</v>
      </c>
      <c r="L108" s="10" t="str">
        <f ca="1">IFERROR(__xludf.dummyfunction("""COMPUTED_VALUE"""),"CALDAS NOVAS - GO")</f>
        <v>CALDAS NOVAS - GO</v>
      </c>
      <c r="M108" s="10">
        <f ca="1">IFERROR(__xludf.dummyfunction("""COMPUTED_VALUE"""),8)</f>
        <v>8</v>
      </c>
      <c r="N108" s="10" t="str">
        <f ca="1">IFERROR(__xludf.dummyfunction("""COMPUTED_VALUE"""),"CONTRATADO")</f>
        <v>CONTRATADO</v>
      </c>
      <c r="O108" s="11" t="str">
        <f ca="1">IFERROR(__xludf.dummyfunction("""COMPUTED_VALUE"""),"10/10 - 13:16")</f>
        <v>10/10 - 13:16</v>
      </c>
      <c r="P108" s="11"/>
      <c r="Q108" s="12"/>
      <c r="R108" s="11"/>
    </row>
    <row r="109" spans="1:18">
      <c r="A109" s="10">
        <f ca="1">IFERROR(__xludf.dummyfunction("""COMPUTED_VALUE"""),7)</f>
        <v>7</v>
      </c>
      <c r="B109" s="11" t="str">
        <f ca="1">IFERROR(__xludf.dummyfunction("""COMPUTED_VALUE"""),"MONIQUE CARDOSO DE FRANÇA")</f>
        <v>MONIQUE CARDOSO DE FRANÇA</v>
      </c>
      <c r="C109" s="11" t="str">
        <f ca="1">IFERROR(__xludf.dummyfunction("""COMPUTED_VALUE"""),"7371102")</f>
        <v>7371102</v>
      </c>
      <c r="D109" s="11" t="str">
        <f ca="1">IFERROR(__xludf.dummyfunction("""COMPUTED_VALUE"""),"70871950189")</f>
        <v>70871950189</v>
      </c>
      <c r="E109" s="11" t="str">
        <f ca="1">IFERROR(__xludf.dummyfunction("""COMPUTED_VALUE"""),"MONIQUEPARAMENINAS2016@GMAIL.COM")</f>
        <v>MONIQUEPARAMENINAS2016@GMAIL.COM</v>
      </c>
      <c r="F109" s="11" t="str">
        <f ca="1">IFERROR(__xludf.dummyfunction("""COMPUTED_VALUE"""),"(55) 64992441")</f>
        <v>(55) 64992441</v>
      </c>
      <c r="G109" s="11" t="str">
        <f ca="1">IFERROR(__xludf.dummyfunction("""COMPUTED_VALUE"""),"(64) 992441542")</f>
        <v>(64) 992441542</v>
      </c>
      <c r="H109" s="11" t="str">
        <f ca="1">IFERROR(__xludf.dummyfunction("""COMPUTED_VALUE"""),"SUPERIOR")</f>
        <v>SUPERIOR</v>
      </c>
      <c r="I109" s="10" t="str">
        <f ca="1">IFERROR(__xludf.dummyfunction("""COMPUTED_VALUE"""),"DIREITO")</f>
        <v>DIREITO</v>
      </c>
      <c r="J109" s="10" t="str">
        <f ca="1">IFERROR(__xludf.dummyfunction("""COMPUTED_VALUE"""),"NOITE")</f>
        <v>NOITE</v>
      </c>
      <c r="K109" s="10" t="str">
        <f ca="1">IFERROR(__xludf.dummyfunction("""COMPUTED_VALUE"""),"TARDE")</f>
        <v>TARDE</v>
      </c>
      <c r="L109" s="10" t="str">
        <f ca="1">IFERROR(__xludf.dummyfunction("""COMPUTED_VALUE"""),"CALDAS NOVAS - GO")</f>
        <v>CALDAS NOVAS - GO</v>
      </c>
      <c r="M109" s="10">
        <f ca="1">IFERROR(__xludf.dummyfunction("""COMPUTED_VALUE"""),6)</f>
        <v>6</v>
      </c>
      <c r="N109" s="10" t="str">
        <f ca="1">IFERROR(__xludf.dummyfunction("""COMPUTED_VALUE"""),"DESCLASSIFICADO")</f>
        <v>DESCLASSIFICADO</v>
      </c>
      <c r="O109" s="11" t="str">
        <f ca="1">IFERROR(__xludf.dummyfunction("""COMPUTED_VALUE"""),"10/10 - 13:16")</f>
        <v>10/10 - 13:16</v>
      </c>
      <c r="P109" s="11" t="str">
        <f ca="1">IFERROR(__xludf.dummyfunction("""COMPUTED_VALUE"""),"SEM RETORNO")</f>
        <v>SEM RETORNO</v>
      </c>
      <c r="Q109" s="12"/>
      <c r="R109" s="11" t="str">
        <f ca="1">IFERROR(__xludf.dummyfunction("""COMPUTED_VALUE"""),"SEM RETORNO")</f>
        <v>SEM RETORNO</v>
      </c>
    </row>
    <row r="110" spans="1:18">
      <c r="A110" s="10">
        <f ca="1">IFERROR(__xludf.dummyfunction("""COMPUTED_VALUE"""),8)</f>
        <v>8</v>
      </c>
      <c r="B110" s="11" t="str">
        <f ca="1">IFERROR(__xludf.dummyfunction("""COMPUTED_VALUE"""),"HISASHI HIRAMATSU")</f>
        <v>HISASHI HIRAMATSU</v>
      </c>
      <c r="C110" s="11"/>
      <c r="D110" s="11" t="str">
        <f ca="1">IFERROR(__xludf.dummyfunction("""COMPUTED_VALUE"""),"02081410141")</f>
        <v>02081410141</v>
      </c>
      <c r="E110" s="11" t="str">
        <f ca="1">IFERROR(__xludf.dummyfunction("""COMPUTED_VALUE"""),"HISASHIMB@GMAIL.COM")</f>
        <v>HISASHIMB@GMAIL.COM</v>
      </c>
      <c r="F110" s="11" t="str">
        <f ca="1">IFERROR(__xludf.dummyfunction("""COMPUTED_VALUE"""),"(64) 92654450")</f>
        <v>(64) 92654450</v>
      </c>
      <c r="G110" s="11" t="str">
        <f ca="1">IFERROR(__xludf.dummyfunction("""COMPUTED_VALUE"""),"(64) 992654450")</f>
        <v>(64) 992654450</v>
      </c>
      <c r="H110" s="11" t="str">
        <f ca="1">IFERROR(__xludf.dummyfunction("""COMPUTED_VALUE"""),"SUPERIOR")</f>
        <v>SUPERIOR</v>
      </c>
      <c r="I110" s="10" t="str">
        <f ca="1">IFERROR(__xludf.dummyfunction("""COMPUTED_VALUE"""),"DIREITO")</f>
        <v>DIREITO</v>
      </c>
      <c r="J110" s="10" t="str">
        <f ca="1">IFERROR(__xludf.dummyfunction("""COMPUTED_VALUE"""),"NOITE")</f>
        <v>NOITE</v>
      </c>
      <c r="K110" s="10" t="str">
        <f ca="1">IFERROR(__xludf.dummyfunction("""COMPUTED_VALUE"""),"TARDE")</f>
        <v>TARDE</v>
      </c>
      <c r="L110" s="10" t="str">
        <f ca="1">IFERROR(__xludf.dummyfunction("""COMPUTED_VALUE"""),"CALDAS NOVAS - GO")</f>
        <v>CALDAS NOVAS - GO</v>
      </c>
      <c r="M110" s="10">
        <f ca="1">IFERROR(__xludf.dummyfunction("""COMPUTED_VALUE"""),6)</f>
        <v>6</v>
      </c>
      <c r="N110" s="10" t="str">
        <f ca="1">IFERROR(__xludf.dummyfunction("""COMPUTED_VALUE"""),"CONTRATADO")</f>
        <v>CONTRATADO</v>
      </c>
      <c r="O110" s="11" t="str">
        <f ca="1">IFERROR(__xludf.dummyfunction("""COMPUTED_VALUE"""),"10/10 - 13:16")</f>
        <v>10/10 - 13:16</v>
      </c>
      <c r="P110" s="11"/>
      <c r="Q110" s="12"/>
      <c r="R110" s="11"/>
    </row>
    <row r="111" spans="1:18">
      <c r="A111" s="10">
        <f ca="1">IFERROR(__xludf.dummyfunction("""COMPUTED_VALUE"""),1)</f>
        <v>1</v>
      </c>
      <c r="B111" s="11" t="str">
        <f ca="1">IFERROR(__xludf.dummyfunction("""COMPUTED_VALUE"""),"MARIANA TAVARES BELTRÃO")</f>
        <v>MARIANA TAVARES BELTRÃO</v>
      </c>
      <c r="C111" s="11" t="str">
        <f ca="1">IFERROR(__xludf.dummyfunction("""COMPUTED_VALUE"""),"6447176")</f>
        <v>6447176</v>
      </c>
      <c r="D111" s="11" t="str">
        <f ca="1">IFERROR(__xludf.dummyfunction("""COMPUTED_VALUE"""),"07747982119")</f>
        <v>07747982119</v>
      </c>
      <c r="E111" s="11" t="str">
        <f ca="1">IFERROR(__xludf.dummyfunction("""COMPUTED_VALUE"""),"MARIIANNA5.GUEDES@GMAIL.COM")</f>
        <v>MARIIANNA5.GUEDES@GMAIL.COM</v>
      </c>
      <c r="F111" s="11"/>
      <c r="G111" s="11" t="str">
        <f ca="1">IFERROR(__xludf.dummyfunction("""COMPUTED_VALUE"""),"(64) 993297557")</f>
        <v>(64) 993297557</v>
      </c>
      <c r="H111" s="11" t="str">
        <f ca="1">IFERROR(__xludf.dummyfunction("""COMPUTED_VALUE"""),"SUPERIOR")</f>
        <v>SUPERIOR</v>
      </c>
      <c r="I111" s="10" t="str">
        <f ca="1">IFERROR(__xludf.dummyfunction("""COMPUTED_VALUE"""),"PSICOLOGIA")</f>
        <v>PSICOLOGIA</v>
      </c>
      <c r="J111" s="10" t="str">
        <f ca="1">IFERROR(__xludf.dummyfunction("""COMPUTED_VALUE"""),"MANHÃ")</f>
        <v>MANHÃ</v>
      </c>
      <c r="K111" s="10" t="str">
        <f ca="1">IFERROR(__xludf.dummyfunction("""COMPUTED_VALUE"""),"TARDE")</f>
        <v>TARDE</v>
      </c>
      <c r="L111" s="10" t="str">
        <f ca="1">IFERROR(__xludf.dummyfunction("""COMPUTED_VALUE"""),"CALDAS NOVAS - GO")</f>
        <v>CALDAS NOVAS - GO</v>
      </c>
      <c r="M111" s="10">
        <f ca="1">IFERROR(__xludf.dummyfunction("""COMPUTED_VALUE"""),8)</f>
        <v>8</v>
      </c>
      <c r="N111" s="10" t="str">
        <f ca="1">IFERROR(__xludf.dummyfunction("""COMPUTED_VALUE"""),"DISPONÍVEL")</f>
        <v>DISPONÍVEL</v>
      </c>
      <c r="O111" s="11"/>
      <c r="P111" s="11"/>
      <c r="R111" s="11"/>
    </row>
    <row r="112" spans="1:18">
      <c r="A112" s="10">
        <f ca="1">IFERROR(__xludf.dummyfunction("""COMPUTED_VALUE"""),1)</f>
        <v>1</v>
      </c>
      <c r="B112" s="11" t="str">
        <f ca="1">IFERROR(__xludf.dummyfunction("""COMPUTED_VALUE"""),"GIOVANNA DE ALMEIDA MATEUS")</f>
        <v>GIOVANNA DE ALMEIDA MATEUS</v>
      </c>
      <c r="C112" s="11"/>
      <c r="D112" s="11" t="str">
        <f ca="1">IFERROR(__xludf.dummyfunction("""COMPUTED_VALUE"""),"70650172140")</f>
        <v>70650172140</v>
      </c>
      <c r="E112" s="11" t="str">
        <f ca="1">IFERROR(__xludf.dummyfunction("""COMPUTED_VALUE"""),"MATEUSGI4@HOTMAIL.COM")</f>
        <v>MATEUSGI4@HOTMAIL.COM</v>
      </c>
      <c r="F112" s="11" t="str">
        <f ca="1">IFERROR(__xludf.dummyfunction("""COMPUTED_VALUE"""),"(64) 92460074")</f>
        <v>(64) 92460074</v>
      </c>
      <c r="G112" s="11" t="str">
        <f ca="1">IFERROR(__xludf.dummyfunction("""COMPUTED_VALUE"""),"(64) 992583266")</f>
        <v>(64) 992583266</v>
      </c>
      <c r="H112" s="11" t="str">
        <f ca="1">IFERROR(__xludf.dummyfunction("""COMPUTED_VALUE"""),"SUPERIOR")</f>
        <v>SUPERIOR</v>
      </c>
      <c r="I112" s="10" t="str">
        <f ca="1">IFERROR(__xludf.dummyfunction("""COMPUTED_VALUE"""),"FISIOTERAPIA")</f>
        <v>FISIOTERAPIA</v>
      </c>
      <c r="J112" s="10" t="str">
        <f ca="1">IFERROR(__xludf.dummyfunction("""COMPUTED_VALUE"""),"NOITE")</f>
        <v>NOITE</v>
      </c>
      <c r="K112" s="10" t="str">
        <f ca="1">IFERROR(__xludf.dummyfunction("""COMPUTED_VALUE"""),"TARDE")</f>
        <v>TARDE</v>
      </c>
      <c r="L112" s="10" t="str">
        <f ca="1">IFERROR(__xludf.dummyfunction("""COMPUTED_VALUE"""),"CALDAS NOVAS - GO")</f>
        <v>CALDAS NOVAS - GO</v>
      </c>
      <c r="M112" s="10">
        <f ca="1">IFERROR(__xludf.dummyfunction("""COMPUTED_VALUE"""),5)</f>
        <v>5</v>
      </c>
      <c r="N112" s="10" t="str">
        <f ca="1">IFERROR(__xludf.dummyfunction("""COMPUTED_VALUE"""),"DISPONÍVEL")</f>
        <v>DISPONÍVEL</v>
      </c>
      <c r="O112" s="11"/>
      <c r="P112" s="11"/>
      <c r="R112" s="11"/>
    </row>
    <row r="113" spans="1:18">
      <c r="A113" s="10">
        <f ca="1">IFERROR(__xludf.dummyfunction("QUERY(CAMPINORTE!A5:A8)"),1)</f>
        <v>1</v>
      </c>
      <c r="B113" s="9" t="str">
        <f ca="1">IFERROR(__xludf.dummyfunction("QUERY(CAMPINORTE!B5:B8)"),"JARDEL CAMPOS BARRETO")</f>
        <v>JARDEL CAMPOS BARRETO</v>
      </c>
      <c r="C113" s="9" t="str">
        <f ca="1">IFERROR(__xludf.dummyfunction("QUERY(CAMPINORTE!C5:C8)"),"")</f>
        <v/>
      </c>
      <c r="D113" s="9" t="str">
        <f ca="1">IFERROR(__xludf.dummyfunction("QUERY(CAMPINORTE!D5:D8)"),"08068896163")</f>
        <v>08068896163</v>
      </c>
      <c r="E113" s="9" t="str">
        <f ca="1">IFERROR(__xludf.dummyfunction("QUERY(CAMPINORTE!E5:E8)"),"JARDELBARRETTOS07@GMAIL.COM")</f>
        <v>JARDELBARRETTOS07@GMAIL.COM</v>
      </c>
      <c r="F113" s="9" t="str">
        <f ca="1">IFERROR(__xludf.dummyfunction("QUERY(CAMPINORTE!F5:F8)"),"(00) 00000000")</f>
        <v>(00) 00000000</v>
      </c>
      <c r="G113" s="9" t="str">
        <f ca="1">IFERROR(__xludf.dummyfunction("QUERY(CAMPINORTE!G5:G8)"),"(62) 982641487")</f>
        <v>(62) 982641487</v>
      </c>
      <c r="H113" s="9" t="str">
        <f ca="1">IFERROR(__xludf.dummyfunction("QUERY(CAMPINORTE!H5:H8)"),"SUPERIOR")</f>
        <v>SUPERIOR</v>
      </c>
      <c r="I113" s="10" t="str">
        <f ca="1">IFERROR(__xludf.dummyfunction("QUERY(CAMPINORTE!I5:I8)"),"DIREITO")</f>
        <v>DIREITO</v>
      </c>
      <c r="J113" s="10" t="str">
        <f ca="1">IFERROR(__xludf.dummyfunction("QUERY(CAMPINORTE!J5:J8)"),"MANHÃ")</f>
        <v>MANHÃ</v>
      </c>
      <c r="K113" s="10" t="str">
        <f ca="1">IFERROR(__xludf.dummyfunction("QUERY(CAMPINORTE!K5:K8)"),"TARDE")</f>
        <v>TARDE</v>
      </c>
      <c r="L113" s="10" t="str">
        <f ca="1">IFERROR(__xludf.dummyfunction("QUERY(CAMPINORTE!L5:L8)"),"CAMPINORTE - GO")</f>
        <v>CAMPINORTE - GO</v>
      </c>
      <c r="M113" s="10">
        <f ca="1">IFERROR(__xludf.dummyfunction("QUERY(CAMPINORTE!M5:M8)"),8)</f>
        <v>8</v>
      </c>
      <c r="N113" s="10" t="str">
        <f ca="1">IFERROR(__xludf.dummyfunction("QUERY(CAMPINORTE!N5:N8)"),"REMANEJADO")</f>
        <v>REMANEJADO</v>
      </c>
      <c r="O113" s="9" t="str">
        <f ca="1">IFERROR(__xludf.dummyfunction("QUERY(CAMPINORTE!O5:O8)"),"16/11 - 08:37")</f>
        <v>16/11 - 08:37</v>
      </c>
      <c r="P113" s="9" t="str">
        <f ca="1">IFERROR(__xludf.dummyfunction("QUERY(CAMPINORTE!P5:P8)"),"SEM RETORNO")</f>
        <v>SEM RETORNO</v>
      </c>
      <c r="Q113" s="9" t="str">
        <f ca="1">IFERROR(__xludf.dummyfunction("QUERY(CAMPINORTE!Q5:Q8)"),"")</f>
        <v/>
      </c>
      <c r="R113" s="9" t="str">
        <f ca="1">IFERROR(__xludf.dummyfunction("QUERY(CAMPINORTE!R5:R8)"),"")</f>
        <v/>
      </c>
    </row>
    <row r="114" spans="1:18">
      <c r="A114" s="10">
        <f ca="1">IFERROR(__xludf.dummyfunction("""COMPUTED_VALUE"""),2)</f>
        <v>2</v>
      </c>
      <c r="B114" s="11" t="str">
        <f ca="1">IFERROR(__xludf.dummyfunction("""COMPUTED_VALUE"""),"KENNEDY DE FREITAS MARQUES")</f>
        <v>KENNEDY DE FREITAS MARQUES</v>
      </c>
      <c r="C114" s="11" t="str">
        <f ca="1">IFERROR(__xludf.dummyfunction("""COMPUTED_VALUE"""),"434194979")</f>
        <v>434194979</v>
      </c>
      <c r="D114" s="11" t="str">
        <f ca="1">IFERROR(__xludf.dummyfunction("""COMPUTED_VALUE"""),"05607088154")</f>
        <v>05607088154</v>
      </c>
      <c r="E114" s="11" t="str">
        <f ca="1">IFERROR(__xludf.dummyfunction("""COMPUTED_VALUE"""),"KENNEDYFREIITAS@GMAIL.COM")</f>
        <v>KENNEDYFREIITAS@GMAIL.COM</v>
      </c>
      <c r="F114" s="11"/>
      <c r="G114" s="11" t="str">
        <f ca="1">IFERROR(__xludf.dummyfunction("""COMPUTED_VALUE"""),"(61) 982772721")</f>
        <v>(61) 982772721</v>
      </c>
      <c r="H114" s="11" t="str">
        <f ca="1">IFERROR(__xludf.dummyfunction("""COMPUTED_VALUE"""),"SUPERIOR")</f>
        <v>SUPERIOR</v>
      </c>
      <c r="I114" s="10" t="str">
        <f ca="1">IFERROR(__xludf.dummyfunction("""COMPUTED_VALUE"""),"DIREITO")</f>
        <v>DIREITO</v>
      </c>
      <c r="J114" s="10" t="str">
        <f ca="1">IFERROR(__xludf.dummyfunction("""COMPUTED_VALUE"""),"MANHÃ")</f>
        <v>MANHÃ</v>
      </c>
      <c r="K114" s="10" t="str">
        <f ca="1">IFERROR(__xludf.dummyfunction("""COMPUTED_VALUE"""),"TARDE")</f>
        <v>TARDE</v>
      </c>
      <c r="L114" s="10" t="str">
        <f ca="1">IFERROR(__xludf.dummyfunction("""COMPUTED_VALUE"""),"CAMPINORTE - GO")</f>
        <v>CAMPINORTE - GO</v>
      </c>
      <c r="M114" s="10">
        <f ca="1">IFERROR(__xludf.dummyfunction("""COMPUTED_VALUE"""),5)</f>
        <v>5</v>
      </c>
      <c r="N114" s="10" t="str">
        <f ca="1">IFERROR(__xludf.dummyfunction("""COMPUTED_VALUE"""),"CONTRATADO")</f>
        <v>CONTRATADO</v>
      </c>
      <c r="O114" s="11" t="str">
        <f ca="1">IFERROR(__xludf.dummyfunction("""COMPUTED_VALUE"""),"16/11 - 11:23")</f>
        <v>16/11 - 11:23</v>
      </c>
      <c r="P114" s="11"/>
      <c r="Q114" s="11"/>
      <c r="R114" s="11"/>
    </row>
    <row r="115" spans="1:18">
      <c r="A115" s="10">
        <f ca="1">IFERROR(__xludf.dummyfunction("""COMPUTED_VALUE"""),3)</f>
        <v>3</v>
      </c>
      <c r="B115" s="11" t="str">
        <f ca="1">IFERROR(__xludf.dummyfunction("""COMPUTED_VALUE"""),"LARA SANTOS DA SILVA")</f>
        <v>LARA SANTOS DA SILVA</v>
      </c>
      <c r="C115" s="11"/>
      <c r="D115" s="11" t="str">
        <f ca="1">IFERROR(__xludf.dummyfunction("""COMPUTED_VALUE"""),"08307941156")</f>
        <v>08307941156</v>
      </c>
      <c r="E115" s="11" t="str">
        <f ca="1">IFERROR(__xludf.dummyfunction("""COMPUTED_VALUE"""),"LARA2468SANTOS@GMAIL.COM")</f>
        <v>LARA2468SANTOS@GMAIL.COM</v>
      </c>
      <c r="F115" s="11"/>
      <c r="G115" s="11" t="str">
        <f ca="1">IFERROR(__xludf.dummyfunction("""COMPUTED_VALUE"""),"(62) 982038246")</f>
        <v>(62) 982038246</v>
      </c>
      <c r="H115" s="11" t="str">
        <f ca="1">IFERROR(__xludf.dummyfunction("""COMPUTED_VALUE"""),"SUPERIOR")</f>
        <v>SUPERIOR</v>
      </c>
      <c r="I115" s="10" t="str">
        <f ca="1">IFERROR(__xludf.dummyfunction("""COMPUTED_VALUE"""),"DIREITO")</f>
        <v>DIREITO</v>
      </c>
      <c r="J115" s="10" t="str">
        <f ca="1">IFERROR(__xludf.dummyfunction("""COMPUTED_VALUE"""),"MANHÃ")</f>
        <v>MANHÃ</v>
      </c>
      <c r="K115" s="10" t="str">
        <f ca="1">IFERROR(__xludf.dummyfunction("""COMPUTED_VALUE"""),"TARDE")</f>
        <v>TARDE</v>
      </c>
      <c r="L115" s="10" t="str">
        <f ca="1">IFERROR(__xludf.dummyfunction("""COMPUTED_VALUE"""),"CAMPINORTE - GO")</f>
        <v>CAMPINORTE - GO</v>
      </c>
      <c r="M115" s="10">
        <f ca="1">IFERROR(__xludf.dummyfunction("""COMPUTED_VALUE"""),5)</f>
        <v>5</v>
      </c>
      <c r="N115" s="10" t="str">
        <f ca="1">IFERROR(__xludf.dummyfunction("""COMPUTED_VALUE"""),"CONTRATADO")</f>
        <v>CONTRATADO</v>
      </c>
      <c r="O115" s="11"/>
      <c r="P115" s="11"/>
      <c r="Q115" s="11"/>
      <c r="R115" s="11"/>
    </row>
    <row r="116" spans="1:18">
      <c r="A116" s="10">
        <f ca="1">IFERROR(__xludf.dummyfunction("""COMPUTED_VALUE"""),4)</f>
        <v>4</v>
      </c>
      <c r="B116" s="11" t="str">
        <f ca="1">IFERROR(__xludf.dummyfunction("""COMPUTED_VALUE"""),"JOYCE MIRELLY CARVALHO SILVA")</f>
        <v>JOYCE MIRELLY CARVALHO SILVA</v>
      </c>
      <c r="C116" s="11"/>
      <c r="D116" s="11" t="str">
        <f ca="1">IFERROR(__xludf.dummyfunction("""COMPUTED_VALUE"""),"10905361199")</f>
        <v>10905361199</v>
      </c>
      <c r="E116" s="11" t="str">
        <f ca="1">IFERROR(__xludf.dummyfunction("""COMPUTED_VALUE"""),"JOYCEMIRELLY50@GMAIL.COM")</f>
        <v>JOYCEMIRELLY50@GMAIL.COM</v>
      </c>
      <c r="F116" s="11"/>
      <c r="G116" s="11" t="str">
        <f ca="1">IFERROR(__xludf.dummyfunction("""COMPUTED_VALUE"""),"(62) 981208478")</f>
        <v>(62) 981208478</v>
      </c>
      <c r="H116" s="11" t="str">
        <f ca="1">IFERROR(__xludf.dummyfunction("""COMPUTED_VALUE"""),"SUPERIOR")</f>
        <v>SUPERIOR</v>
      </c>
      <c r="I116" s="10" t="str">
        <f ca="1">IFERROR(__xludf.dummyfunction("""COMPUTED_VALUE"""),"DIREITO")</f>
        <v>DIREITO</v>
      </c>
      <c r="J116" s="10" t="str">
        <f ca="1">IFERROR(__xludf.dummyfunction("""COMPUTED_VALUE"""),"MANHÃ")</f>
        <v>MANHÃ</v>
      </c>
      <c r="K116" s="10" t="str">
        <f ca="1">IFERROR(__xludf.dummyfunction("""COMPUTED_VALUE"""),"TARDE")</f>
        <v>TARDE</v>
      </c>
      <c r="L116" s="10" t="str">
        <f ca="1">IFERROR(__xludf.dummyfunction("""COMPUTED_VALUE"""),"CAMPINORTE - GO")</f>
        <v>CAMPINORTE - GO</v>
      </c>
      <c r="M116" s="10">
        <f ca="1">IFERROR(__xludf.dummyfunction("""COMPUTED_VALUE"""),5)</f>
        <v>5</v>
      </c>
      <c r="N116" s="10" t="str">
        <f ca="1">IFERROR(__xludf.dummyfunction("""COMPUTED_VALUE"""),"DISPONÍVEL")</f>
        <v>DISPONÍVEL</v>
      </c>
      <c r="O116" s="11"/>
      <c r="P116" s="11"/>
      <c r="Q116" s="11"/>
      <c r="R116" s="11"/>
    </row>
    <row r="117" spans="1:18">
      <c r="A117" s="10">
        <f ca="1">IFERROR(__xludf.dummyfunction("QUERY('CAMPOS BELOS'!A5:A11)"),1)</f>
        <v>1</v>
      </c>
      <c r="B117" s="9" t="str">
        <f ca="1">IFERROR(__xludf.dummyfunction("QUERY('CAMPOS BELOS'!B5:B11)"),"DANIELA PEREIRA ALVES")</f>
        <v>DANIELA PEREIRA ALVES</v>
      </c>
      <c r="C117" s="9" t="str">
        <f ca="1">IFERROR(__xludf.dummyfunction("QUERY('CAMPOS BELOS'!C5:C11)"),"")</f>
        <v/>
      </c>
      <c r="D117" s="9" t="str">
        <f ca="1">IFERROR(__xludf.dummyfunction("QUERY('CAMPOS BELOS'!D5:D11)"),"06841446119")</f>
        <v>06841446119</v>
      </c>
      <c r="E117" s="9" t="str">
        <f ca="1">IFERROR(__xludf.dummyfunction("QUERY('CAMPOS BELOS'!E5:E11)"),"DANIELAALVES5017@GMAIL.COM")</f>
        <v>DANIELAALVES5017@GMAIL.COM</v>
      </c>
      <c r="F117" s="9" t="str">
        <f ca="1">IFERROR(__xludf.dummyfunction("QUERY('CAMPOS BELOS'!F5:F11)"),"")</f>
        <v/>
      </c>
      <c r="G117" s="9" t="str">
        <f ca="1">IFERROR(__xludf.dummyfunction("QUERY('CAMPOS BELOS'!G5:G11)"),"(62) 999865269")</f>
        <v>(62) 999865269</v>
      </c>
      <c r="H117" s="9" t="str">
        <f ca="1">IFERROR(__xludf.dummyfunction("QUERY('CAMPOS BELOS'!H5:H11)"),"SUPERIOR")</f>
        <v>SUPERIOR</v>
      </c>
      <c r="I117" s="10" t="str">
        <f ca="1">IFERROR(__xludf.dummyfunction("QUERY('CAMPOS BELOS'!I5:I11)"),"ADMINISTRAÇÃO")</f>
        <v>ADMINISTRAÇÃO</v>
      </c>
      <c r="J117" s="10" t="str">
        <f ca="1">IFERROR(__xludf.dummyfunction("QUERY('CAMPOS BELOS'!J5:J11)"),"NOITE")</f>
        <v>NOITE</v>
      </c>
      <c r="K117" s="10" t="str">
        <f ca="1">IFERROR(__xludf.dummyfunction("QUERY('CAMPOS BELOS'!K5:K11)"),"TARDE")</f>
        <v>TARDE</v>
      </c>
      <c r="L117" s="10" t="str">
        <f ca="1">IFERROR(__xludf.dummyfunction("QUERY('CAMPOS BELOS'!L5:L11)"),"CAMPOS BELOS - GO")</f>
        <v>CAMPOS BELOS - GO</v>
      </c>
      <c r="M117" s="10">
        <f ca="1">IFERROR(__xludf.dummyfunction("QUERY('CAMPOS BELOS'!M5:M11)"),3)</f>
        <v>3</v>
      </c>
      <c r="N117" s="10" t="str">
        <f ca="1">IFERROR(__xludf.dummyfunction("QUERY('CAMPOS BELOS'!N5:N11)"),"DISPONÍVEL")</f>
        <v>DISPONÍVEL</v>
      </c>
      <c r="O117" s="9" t="str">
        <f ca="1">IFERROR(__xludf.dummyfunction("QUERY('CAMPOS BELOS'!O5:O11)"),"")</f>
        <v/>
      </c>
      <c r="P117" s="9" t="str">
        <f ca="1">IFERROR(__xludf.dummyfunction("QUERY('CAMPOS BELOS'!P5:P11)"),"")</f>
        <v/>
      </c>
      <c r="Q117" s="9" t="str">
        <f ca="1">IFERROR(__xludf.dummyfunction("QUERY('CAMPOS BELOS'!Q5:Q11)"),"")</f>
        <v/>
      </c>
      <c r="R117" s="9" t="str">
        <f ca="1">IFERROR(__xludf.dummyfunction("QUERY('CAMPOS BELOS'!R5:R11)"),"")</f>
        <v/>
      </c>
    </row>
    <row r="118" spans="1:18">
      <c r="A118" s="10">
        <f ca="1">IFERROR(__xludf.dummyfunction("""COMPUTED_VALUE"""),1)</f>
        <v>1</v>
      </c>
      <c r="B118" s="11" t="str">
        <f ca="1">IFERROR(__xludf.dummyfunction("""COMPUTED_VALUE"""),"SILVANA BATISTA DOS SANTOS")</f>
        <v>SILVANA BATISTA DOS SANTOS</v>
      </c>
      <c r="C118" s="11"/>
      <c r="D118" s="11" t="str">
        <f ca="1">IFERROR(__xludf.dummyfunction("""COMPUTED_VALUE"""),"08859806119")</f>
        <v>08859806119</v>
      </c>
      <c r="E118" s="11" t="str">
        <f ca="1">IFERROR(__xludf.dummyfunction("""COMPUTED_VALUE"""),"SILVANABATISTA1001@GMAIL.COM")</f>
        <v>SILVANABATISTA1001@GMAIL.COM</v>
      </c>
      <c r="F118" s="11"/>
      <c r="G118" s="11" t="str">
        <f ca="1">IFERROR(__xludf.dummyfunction("""COMPUTED_VALUE"""),"(63) 991330331")</f>
        <v>(63) 991330331</v>
      </c>
      <c r="H118" s="11" t="str">
        <f ca="1">IFERROR(__xludf.dummyfunction("""COMPUTED_VALUE"""),"SUPERIOR")</f>
        <v>SUPERIOR</v>
      </c>
      <c r="I118" s="10" t="str">
        <f ca="1">IFERROR(__xludf.dummyfunction("""COMPUTED_VALUE"""),"DIREITO")</f>
        <v>DIREITO</v>
      </c>
      <c r="J118" s="10" t="str">
        <f ca="1">IFERROR(__xludf.dummyfunction("""COMPUTED_VALUE"""),"NOITE")</f>
        <v>NOITE</v>
      </c>
      <c r="K118" s="10" t="str">
        <f ca="1">IFERROR(__xludf.dummyfunction("""COMPUTED_VALUE"""),"TARDE")</f>
        <v>TARDE</v>
      </c>
      <c r="L118" s="10" t="str">
        <f ca="1">IFERROR(__xludf.dummyfunction("""COMPUTED_VALUE"""),"CAMPOS BELOS - GO")</f>
        <v>CAMPOS BELOS - GO</v>
      </c>
      <c r="M118" s="10">
        <f ca="1">IFERROR(__xludf.dummyfunction("""COMPUTED_VALUE"""),6)</f>
        <v>6</v>
      </c>
      <c r="N118" s="10" t="str">
        <f ca="1">IFERROR(__xludf.dummyfunction("""COMPUTED_VALUE"""),"DISPONÍVEL")</f>
        <v>DISPONÍVEL</v>
      </c>
      <c r="O118" s="11"/>
      <c r="P118" s="11"/>
      <c r="Q118" s="11"/>
      <c r="R118" s="11"/>
    </row>
    <row r="119" spans="1:18">
      <c r="A119" s="10">
        <f ca="1">IFERROR(__xludf.dummyfunction("""COMPUTED_VALUE"""),2)</f>
        <v>2</v>
      </c>
      <c r="B119" s="11" t="str">
        <f ca="1">IFERROR(__xludf.dummyfunction("""COMPUTED_VALUE"""),"LÍVIA LOPES MARTINS")</f>
        <v>LÍVIA LOPES MARTINS</v>
      </c>
      <c r="C119" s="11"/>
      <c r="D119" s="11" t="str">
        <f ca="1">IFERROR(__xludf.dummyfunction("""COMPUTED_VALUE"""),"07076107104")</f>
        <v>07076107104</v>
      </c>
      <c r="E119" s="11" t="str">
        <f ca="1">IFERROR(__xludf.dummyfunction("""COMPUTED_VALUE"""),"LMARTTINS148@GMAIL.COM")</f>
        <v>LMARTTINS148@GMAIL.COM</v>
      </c>
      <c r="F119" s="11"/>
      <c r="G119" s="11" t="str">
        <f ca="1">IFERROR(__xludf.dummyfunction("""COMPUTED_VALUE"""),"(63) 991184532")</f>
        <v>(63) 991184532</v>
      </c>
      <c r="H119" s="11" t="str">
        <f ca="1">IFERROR(__xludf.dummyfunction("""COMPUTED_VALUE"""),"SUPERIOR")</f>
        <v>SUPERIOR</v>
      </c>
      <c r="I119" s="10" t="str">
        <f ca="1">IFERROR(__xludf.dummyfunction("""COMPUTED_VALUE"""),"DIREITO")</f>
        <v>DIREITO</v>
      </c>
      <c r="J119" s="10" t="str">
        <f ca="1">IFERROR(__xludf.dummyfunction("""COMPUTED_VALUE"""),"NOITE")</f>
        <v>NOITE</v>
      </c>
      <c r="K119" s="10" t="str">
        <f ca="1">IFERROR(__xludf.dummyfunction("""COMPUTED_VALUE"""),"TARDE")</f>
        <v>TARDE</v>
      </c>
      <c r="L119" s="10" t="str">
        <f ca="1">IFERROR(__xludf.dummyfunction("""COMPUTED_VALUE"""),"CAMPOS BELOS - GO")</f>
        <v>CAMPOS BELOS - GO</v>
      </c>
      <c r="M119" s="10">
        <f ca="1">IFERROR(__xludf.dummyfunction("""COMPUTED_VALUE"""),6)</f>
        <v>6</v>
      </c>
      <c r="N119" s="10" t="str">
        <f ca="1">IFERROR(__xludf.dummyfunction("""COMPUTED_VALUE"""),"DISPONÍVEL")</f>
        <v>DISPONÍVEL</v>
      </c>
      <c r="O119" s="11"/>
      <c r="P119" s="11"/>
      <c r="Q119" s="11"/>
      <c r="R119" s="11"/>
    </row>
    <row r="120" spans="1:18">
      <c r="A120" s="10">
        <f ca="1">IFERROR(__xludf.dummyfunction("""COMPUTED_VALUE"""),3)</f>
        <v>3</v>
      </c>
      <c r="B120" s="11" t="str">
        <f ca="1">IFERROR(__xludf.dummyfunction("""COMPUTED_VALUE"""),"EDUARDO DURÃES DE SOUZA")</f>
        <v>EDUARDO DURÃES DE SOUZA</v>
      </c>
      <c r="C120" s="11"/>
      <c r="D120" s="11" t="str">
        <f ca="1">IFERROR(__xludf.dummyfunction("""COMPUTED_VALUE"""),"05012552148")</f>
        <v>05012552148</v>
      </c>
      <c r="E120" s="11" t="str">
        <f ca="1">IFERROR(__xludf.dummyfunction("""COMPUTED_VALUE"""),"EDUDURAES97@GMAIL.COM")</f>
        <v>EDUDURAES97@GMAIL.COM</v>
      </c>
      <c r="F120" s="11" t="str">
        <f ca="1">IFERROR(__xludf.dummyfunction("""COMPUTED_VALUE"""),"(62) 96587793")</f>
        <v>(62) 96587793</v>
      </c>
      <c r="G120" s="11" t="str">
        <f ca="1">IFERROR(__xludf.dummyfunction("""COMPUTED_VALUE"""),"(62) 996587793")</f>
        <v>(62) 996587793</v>
      </c>
      <c r="H120" s="11" t="str">
        <f ca="1">IFERROR(__xludf.dummyfunction("""COMPUTED_VALUE"""),"SUPERIOR")</f>
        <v>SUPERIOR</v>
      </c>
      <c r="I120" s="10" t="str">
        <f ca="1">IFERROR(__xludf.dummyfunction("""COMPUTED_VALUE"""),"DIREITO")</f>
        <v>DIREITO</v>
      </c>
      <c r="J120" s="10" t="str">
        <f ca="1">IFERROR(__xludf.dummyfunction("""COMPUTED_VALUE"""),"NOITE")</f>
        <v>NOITE</v>
      </c>
      <c r="K120" s="10" t="str">
        <f ca="1">IFERROR(__xludf.dummyfunction("""COMPUTED_VALUE"""),"TARDE")</f>
        <v>TARDE</v>
      </c>
      <c r="L120" s="10" t="str">
        <f ca="1">IFERROR(__xludf.dummyfunction("""COMPUTED_VALUE"""),"CAMPOS BELOS - GO")</f>
        <v>CAMPOS BELOS - GO</v>
      </c>
      <c r="M120" s="10">
        <f ca="1">IFERROR(__xludf.dummyfunction("""COMPUTED_VALUE"""),8)</f>
        <v>8</v>
      </c>
      <c r="N120" s="10" t="str">
        <f ca="1">IFERROR(__xludf.dummyfunction("""COMPUTED_VALUE"""),"DISPONÍVEL")</f>
        <v>DISPONÍVEL</v>
      </c>
      <c r="O120" s="11"/>
      <c r="P120" s="11"/>
      <c r="Q120" s="11"/>
      <c r="R120" s="11"/>
    </row>
    <row r="121" spans="1:18">
      <c r="A121" s="10">
        <f ca="1">IFERROR(__xludf.dummyfunction("""COMPUTED_VALUE"""),4)</f>
        <v>4</v>
      </c>
      <c r="B121" s="11" t="str">
        <f ca="1">IFERROR(__xludf.dummyfunction("""COMPUTED_VALUE"""),"ALINE RIBEIRO SILVA")</f>
        <v>ALINE RIBEIRO SILVA</v>
      </c>
      <c r="C121" s="11" t="str">
        <f ca="1">IFERROR(__xludf.dummyfunction("""COMPUTED_VALUE"""),"1448364")</f>
        <v>1448364</v>
      </c>
      <c r="D121" s="11" t="str">
        <f ca="1">IFERROR(__xludf.dummyfunction("""COMPUTED_VALUE"""),"08048570165")</f>
        <v>08048570165</v>
      </c>
      <c r="E121" s="11" t="str">
        <f ca="1">IFERROR(__xludf.dummyfunction("""COMPUTED_VALUE"""),"RIBEIRO.ALINE@MAIL.UFT.EDU.BR")</f>
        <v>RIBEIRO.ALINE@MAIL.UFT.EDU.BR</v>
      </c>
      <c r="F121" s="11"/>
      <c r="G121" s="11" t="str">
        <f ca="1">IFERROR(__xludf.dummyfunction("""COMPUTED_VALUE"""),"(62) 999297364")</f>
        <v>(62) 999297364</v>
      </c>
      <c r="H121" s="11" t="str">
        <f ca="1">IFERROR(__xludf.dummyfunction("""COMPUTED_VALUE"""),"SUPERIOR")</f>
        <v>SUPERIOR</v>
      </c>
      <c r="I121" s="10" t="str">
        <f ca="1">IFERROR(__xludf.dummyfunction("""COMPUTED_VALUE"""),"DIREITO")</f>
        <v>DIREITO</v>
      </c>
      <c r="J121" s="10" t="str">
        <f ca="1">IFERROR(__xludf.dummyfunction("""COMPUTED_VALUE"""),"NOITE")</f>
        <v>NOITE</v>
      </c>
      <c r="K121" s="10" t="str">
        <f ca="1">IFERROR(__xludf.dummyfunction("""COMPUTED_VALUE"""),"TARDE")</f>
        <v>TARDE</v>
      </c>
      <c r="L121" s="10" t="str">
        <f ca="1">IFERROR(__xludf.dummyfunction("""COMPUTED_VALUE"""),"CAMPOS BELOS - GO")</f>
        <v>CAMPOS BELOS - GO</v>
      </c>
      <c r="M121" s="10">
        <f ca="1">IFERROR(__xludf.dummyfunction("""COMPUTED_VALUE"""),8)</f>
        <v>8</v>
      </c>
      <c r="N121" s="10" t="str">
        <f ca="1">IFERROR(__xludf.dummyfunction("""COMPUTED_VALUE"""),"DISPONÍVEL")</f>
        <v>DISPONÍVEL</v>
      </c>
      <c r="O121" s="11"/>
      <c r="P121" s="11"/>
      <c r="Q121" s="11"/>
      <c r="R121" s="11"/>
    </row>
    <row r="122" spans="1:18">
      <c r="A122" s="10">
        <f ca="1">IFERROR(__xludf.dummyfunction("""COMPUTED_VALUE"""),5)</f>
        <v>5</v>
      </c>
      <c r="B122" s="11" t="str">
        <f ca="1">IFERROR(__xludf.dummyfunction("""COMPUTED_VALUE"""),"ALICIA RODRIGUES BUENO")</f>
        <v>ALICIA RODRIGUES BUENO</v>
      </c>
      <c r="C122" s="11"/>
      <c r="D122" s="11" t="str">
        <f ca="1">IFERROR(__xludf.dummyfunction("""COMPUTED_VALUE"""),"05333085188")</f>
        <v>05333085188</v>
      </c>
      <c r="E122" s="11" t="str">
        <f ca="1">IFERROR(__xludf.dummyfunction("""COMPUTED_VALUE"""),"ALICIA.BUENO@MAIL.UFT.EDU.BR")</f>
        <v>ALICIA.BUENO@MAIL.UFT.EDU.BR</v>
      </c>
      <c r="F122" s="11" t="str">
        <f ca="1">IFERROR(__xludf.dummyfunction("""COMPUTED_VALUE"""),"(63) 92432754")</f>
        <v>(63) 92432754</v>
      </c>
      <c r="G122" s="11" t="str">
        <f ca="1">IFERROR(__xludf.dummyfunction("""COMPUTED_VALUE"""),"(61) 995747286")</f>
        <v>(61) 995747286</v>
      </c>
      <c r="H122" s="11" t="str">
        <f ca="1">IFERROR(__xludf.dummyfunction("""COMPUTED_VALUE"""),"SUPERIOR")</f>
        <v>SUPERIOR</v>
      </c>
      <c r="I122" s="10" t="str">
        <f ca="1">IFERROR(__xludf.dummyfunction("""COMPUTED_VALUE"""),"DIREITO")</f>
        <v>DIREITO</v>
      </c>
      <c r="J122" s="10" t="str">
        <f ca="1">IFERROR(__xludf.dummyfunction("""COMPUTED_VALUE"""),"NOITE")</f>
        <v>NOITE</v>
      </c>
      <c r="K122" s="10" t="str">
        <f ca="1">IFERROR(__xludf.dummyfunction("""COMPUTED_VALUE"""),"TARDE")</f>
        <v>TARDE</v>
      </c>
      <c r="L122" s="10" t="str">
        <f ca="1">IFERROR(__xludf.dummyfunction("""COMPUTED_VALUE"""),"CAMPOS BELOS - GO")</f>
        <v>CAMPOS BELOS - GO</v>
      </c>
      <c r="M122" s="10">
        <f ca="1">IFERROR(__xludf.dummyfunction("""COMPUTED_VALUE"""),5)</f>
        <v>5</v>
      </c>
      <c r="N122" s="10" t="str">
        <f ca="1">IFERROR(__xludf.dummyfunction("""COMPUTED_VALUE"""),"DISPONÍVEL")</f>
        <v>DISPONÍVEL</v>
      </c>
      <c r="O122" s="11"/>
      <c r="P122" s="11"/>
      <c r="Q122" s="11"/>
      <c r="R122" s="11"/>
    </row>
    <row r="123" spans="1:18">
      <c r="A123" s="10">
        <f ca="1">IFERROR(__xludf.dummyfunction("""COMPUTED_VALUE"""),6)</f>
        <v>6</v>
      </c>
      <c r="B123" s="11" t="str">
        <f ca="1">IFERROR(__xludf.dummyfunction("""COMPUTED_VALUE"""),"KAMILA NARCISO FERREIRA")</f>
        <v>KAMILA NARCISO FERREIRA</v>
      </c>
      <c r="C123" s="11"/>
      <c r="D123" s="11" t="str">
        <f ca="1">IFERROR(__xludf.dummyfunction("""COMPUTED_VALUE"""),"07951815152")</f>
        <v>07951815152</v>
      </c>
      <c r="E123" s="11" t="str">
        <f ca="1">IFERROR(__xludf.dummyfunction("""COMPUTED_VALUE"""),"KAMILA.NARCISO@UFT.EDU.BR")</f>
        <v>KAMILA.NARCISO@UFT.EDU.BR</v>
      </c>
      <c r="F123" s="11" t="str">
        <f ca="1">IFERROR(__xludf.dummyfunction("""COMPUTED_VALUE"""),"(62) 91552644")</f>
        <v>(62) 91552644</v>
      </c>
      <c r="G123" s="11" t="str">
        <f ca="1">IFERROR(__xludf.dummyfunction("""COMPUTED_VALUE"""),"(62) 993812740")</f>
        <v>(62) 993812740</v>
      </c>
      <c r="H123" s="11" t="str">
        <f ca="1">IFERROR(__xludf.dummyfunction("""COMPUTED_VALUE"""),"SUPERIOR")</f>
        <v>SUPERIOR</v>
      </c>
      <c r="I123" s="10" t="str">
        <f ca="1">IFERROR(__xludf.dummyfunction("""COMPUTED_VALUE"""),"DIREITO")</f>
        <v>DIREITO</v>
      </c>
      <c r="J123" s="10" t="str">
        <f ca="1">IFERROR(__xludf.dummyfunction("""COMPUTED_VALUE"""),"NOITE")</f>
        <v>NOITE</v>
      </c>
      <c r="K123" s="10" t="str">
        <f ca="1">IFERROR(__xludf.dummyfunction("""COMPUTED_VALUE"""),"TARDE")</f>
        <v>TARDE</v>
      </c>
      <c r="L123" s="10" t="str">
        <f ca="1">IFERROR(__xludf.dummyfunction("""COMPUTED_VALUE"""),"CAMPOS BELOS - GO")</f>
        <v>CAMPOS BELOS - GO</v>
      </c>
      <c r="M123" s="10">
        <f ca="1">IFERROR(__xludf.dummyfunction("""COMPUTED_VALUE"""),8)</f>
        <v>8</v>
      </c>
      <c r="N123" s="10" t="str">
        <f ca="1">IFERROR(__xludf.dummyfunction("""COMPUTED_VALUE"""),"DISPONÍVEL")</f>
        <v>DISPONÍVEL</v>
      </c>
      <c r="O123" s="11"/>
      <c r="P123" s="11"/>
      <c r="Q123" s="11"/>
      <c r="R123" s="11"/>
    </row>
    <row r="124" spans="1:18">
      <c r="A124" s="10">
        <f ca="1">IFERROR(__xludf.dummyfunction("QUERY('CATALÃO'!A5:A11)"),1)</f>
        <v>1</v>
      </c>
      <c r="B124" s="11" t="str">
        <f ca="1">IFERROR(__xludf.dummyfunction("QUERY('CATALÃO'!B5:B11)"),"ANA MARIA DOS SANTOS")</f>
        <v>ANA MARIA DOS SANTOS</v>
      </c>
      <c r="C124" s="11" t="str">
        <f ca="1">IFERROR(__xludf.dummyfunction("QUERY('CATALÃO'!C5:C11)"),"")</f>
        <v/>
      </c>
      <c r="D124" s="11" t="str">
        <f ca="1">IFERROR(__xludf.dummyfunction("QUERY('CATALÃO'!D5:D11)"),"07398278632")</f>
        <v>07398278632</v>
      </c>
      <c r="E124" s="11" t="str">
        <f ca="1">IFERROR(__xludf.dummyfunction("QUERY('CATALÃO'!E5:E11)"),"C.A.PINTURAS@HOTMAIL.COM")</f>
        <v>C.A.PINTURAS@HOTMAIL.COM</v>
      </c>
      <c r="F124" s="11" t="str">
        <f ca="1">IFERROR(__xludf.dummyfunction("QUERY('CATALÃO'!F5:F11)"),"")</f>
        <v/>
      </c>
      <c r="G124" s="11" t="str">
        <f ca="1">IFERROR(__xludf.dummyfunction("QUERY('CATALÃO'!G5:G11)"),"(64) 999916271")</f>
        <v>(64) 999916271</v>
      </c>
      <c r="H124" s="11" t="str">
        <f ca="1">IFERROR(__xludf.dummyfunction("QUERY('CATALÃO'!H5:H11)"),"SUPERIOR")</f>
        <v>SUPERIOR</v>
      </c>
      <c r="I124" s="10" t="str">
        <f ca="1">IFERROR(__xludf.dummyfunction("QUERY('CATALÃO'!I5:I11)"),"DIREITO")</f>
        <v>DIREITO</v>
      </c>
      <c r="J124" s="10" t="str">
        <f ca="1">IFERROR(__xludf.dummyfunction("QUERY('CATALÃO'!J5:J11)"),"NOITE")</f>
        <v>NOITE</v>
      </c>
      <c r="K124" s="10" t="str">
        <f ca="1">IFERROR(__xludf.dummyfunction("QUERY('CATALÃO'!K5:K11)"),"TARDE")</f>
        <v>TARDE</v>
      </c>
      <c r="L124" s="10" t="str">
        <f ca="1">IFERROR(__xludf.dummyfunction("QUERY('CATALÃO'!L5:L11)"),"CATALÃO - GO")</f>
        <v>CATALÃO - GO</v>
      </c>
      <c r="M124" s="10">
        <f ca="1">IFERROR(__xludf.dummyfunction("QUERY('CATALÃO'!M5:M11)"),5)</f>
        <v>5</v>
      </c>
      <c r="N124" s="10" t="str">
        <f ca="1">IFERROR(__xludf.dummyfunction("QUERY('CATALÃO'!N5:N11)"),"CONTRATADO")</f>
        <v>CONTRATADO</v>
      </c>
      <c r="O124" s="12">
        <f ca="1">IFERROR(__xludf.dummyfunction("QUERY('CATALÃO'!O5:O11)"),45230)</f>
        <v>45230</v>
      </c>
      <c r="P124" s="11" t="str">
        <f ca="1">IFERROR(__xludf.dummyfunction("QUERY('CATALÃO'!P5:P11)"),"")</f>
        <v/>
      </c>
      <c r="Q124" s="11" t="str">
        <f ca="1">IFERROR(__xludf.dummyfunction("QUERY('CATALÃO'!Q5:Q11)"),"")</f>
        <v/>
      </c>
      <c r="R124" s="11" t="str">
        <f ca="1">IFERROR(__xludf.dummyfunction("QUERY('CATALÃO'!R5:R11)"),"")</f>
        <v/>
      </c>
    </row>
    <row r="125" spans="1:18">
      <c r="A125" s="10">
        <f ca="1">IFERROR(__xludf.dummyfunction("""COMPUTED_VALUE"""),2)</f>
        <v>2</v>
      </c>
      <c r="B125" s="11" t="str">
        <f ca="1">IFERROR(__xludf.dummyfunction("""COMPUTED_VALUE"""),"JÉSSICA GONÇALVES")</f>
        <v>JÉSSICA GONÇALVES</v>
      </c>
      <c r="C125" s="11"/>
      <c r="D125" s="11" t="str">
        <f ca="1">IFERROR(__xludf.dummyfunction("""COMPUTED_VALUE"""),"04027576101")</f>
        <v>04027576101</v>
      </c>
      <c r="E125" s="11" t="str">
        <f ca="1">IFERROR(__xludf.dummyfunction("""COMPUTED_VALUE"""),"JGANDRAD12@GNMAIL.COM")</f>
        <v>JGANDRAD12@GNMAIL.COM</v>
      </c>
      <c r="F125" s="11"/>
      <c r="G125" s="11" t="str">
        <f ca="1">IFERROR(__xludf.dummyfunction("""COMPUTED_VALUE"""),"(64) 992525402")</f>
        <v>(64) 992525402</v>
      </c>
      <c r="H125" s="11" t="str">
        <f ca="1">IFERROR(__xludf.dummyfunction("""COMPUTED_VALUE"""),"SUPERIOR")</f>
        <v>SUPERIOR</v>
      </c>
      <c r="I125" s="10" t="str">
        <f ca="1">IFERROR(__xludf.dummyfunction("""COMPUTED_VALUE"""),"DIREITO")</f>
        <v>DIREITO</v>
      </c>
      <c r="J125" s="10" t="str">
        <f ca="1">IFERROR(__xludf.dummyfunction("""COMPUTED_VALUE"""),"NOITE")</f>
        <v>NOITE</v>
      </c>
      <c r="K125" s="10" t="str">
        <f ca="1">IFERROR(__xludf.dummyfunction("""COMPUTED_VALUE"""),"TARDE")</f>
        <v>TARDE</v>
      </c>
      <c r="L125" s="10" t="str">
        <f ca="1">IFERROR(__xludf.dummyfunction("""COMPUTED_VALUE"""),"CATALÃO - GO")</f>
        <v>CATALÃO - GO</v>
      </c>
      <c r="M125" s="10">
        <f ca="1">IFERROR(__xludf.dummyfunction("""COMPUTED_VALUE"""),6)</f>
        <v>6</v>
      </c>
      <c r="N125" s="10" t="str">
        <f ca="1">IFERROR(__xludf.dummyfunction("""COMPUTED_VALUE"""),"DESCLASSIFICADO")</f>
        <v>DESCLASSIFICADO</v>
      </c>
      <c r="O125" s="12">
        <f ca="1">IFERROR(__xludf.dummyfunction("""COMPUTED_VALUE"""),45230)</f>
        <v>45230</v>
      </c>
      <c r="P125" s="11" t="str">
        <f ca="1">IFERROR(__xludf.dummyfunction("""COMPUTED_VALUE"""),"sem retorno")</f>
        <v>sem retorno</v>
      </c>
      <c r="Q125" s="11" t="str">
        <f ca="1">IFERROR(__xludf.dummyfunction("""COMPUTED_VALUE"""),"16/11 - 09:44")</f>
        <v>16/11 - 09:44</v>
      </c>
      <c r="R125" s="11" t="str">
        <f ca="1">IFERROR(__xludf.dummyfunction("""COMPUTED_VALUE"""),"sem retorno")</f>
        <v>sem retorno</v>
      </c>
    </row>
    <row r="126" spans="1:18">
      <c r="A126" s="10">
        <f ca="1">IFERROR(__xludf.dummyfunction("""COMPUTED_VALUE"""),3)</f>
        <v>3</v>
      </c>
      <c r="B126" s="11" t="str">
        <f ca="1">IFERROR(__xludf.dummyfunction("""COMPUTED_VALUE"""),"MATEUS LIMA CERQUEIRA")</f>
        <v>MATEUS LIMA CERQUEIRA</v>
      </c>
      <c r="C126" s="11"/>
      <c r="D126" s="11" t="str">
        <f ca="1">IFERROR(__xludf.dummyfunction("""COMPUTED_VALUE"""),"08188850500")</f>
        <v>08188850500</v>
      </c>
      <c r="E126" s="11" t="str">
        <f ca="1">IFERROR(__xludf.dummyfunction("""COMPUTED_VALUE"""),"CERQUEIRALIMAMATEUS@GMAIL.COM")</f>
        <v>CERQUEIRALIMAMATEUS@GMAIL.COM</v>
      </c>
      <c r="F126" s="11" t="str">
        <f ca="1">IFERROR(__xludf.dummyfunction("""COMPUTED_VALUE"""),"(75) 91509115")</f>
        <v>(75) 91509115</v>
      </c>
      <c r="G126" s="11" t="str">
        <f ca="1">IFERROR(__xludf.dummyfunction("""COMPUTED_VALUE"""),"(75) 991509115")</f>
        <v>(75) 991509115</v>
      </c>
      <c r="H126" s="11" t="str">
        <f ca="1">IFERROR(__xludf.dummyfunction("""COMPUTED_VALUE"""),"SUPERIOR")</f>
        <v>SUPERIOR</v>
      </c>
      <c r="I126" s="10" t="str">
        <f ca="1">IFERROR(__xludf.dummyfunction("""COMPUTED_VALUE"""),"DIREITO")</f>
        <v>DIREITO</v>
      </c>
      <c r="J126" s="10" t="str">
        <f ca="1">IFERROR(__xludf.dummyfunction("""COMPUTED_VALUE"""),"NOITE")</f>
        <v>NOITE</v>
      </c>
      <c r="K126" s="10" t="str">
        <f ca="1">IFERROR(__xludf.dummyfunction("""COMPUTED_VALUE"""),"TARDE")</f>
        <v>TARDE</v>
      </c>
      <c r="L126" s="10" t="str">
        <f ca="1">IFERROR(__xludf.dummyfunction("""COMPUTED_VALUE"""),"CATALÃO - GO")</f>
        <v>CATALÃO - GO</v>
      </c>
      <c r="M126" s="10">
        <f ca="1">IFERROR(__xludf.dummyfunction("""COMPUTED_VALUE"""),5)</f>
        <v>5</v>
      </c>
      <c r="N126" s="10" t="str">
        <f ca="1">IFERROR(__xludf.dummyfunction("""COMPUTED_VALUE"""),"DESCLASSIFICADO")</f>
        <v>DESCLASSIFICADO</v>
      </c>
      <c r="O126" s="12">
        <f ca="1">IFERROR(__xludf.dummyfunction("""COMPUTED_VALUE"""),45230)</f>
        <v>45230</v>
      </c>
      <c r="P126" s="11" t="str">
        <f ca="1">IFERROR(__xludf.dummyfunction("""COMPUTED_VALUE"""),"solicitou o final de lista")</f>
        <v>solicitou o final de lista</v>
      </c>
      <c r="Q126" s="11" t="str">
        <f ca="1">IFERROR(__xludf.dummyfunction("""COMPUTED_VALUE"""),"16/11 - 09:44")</f>
        <v>16/11 - 09:44</v>
      </c>
      <c r="R126" s="11" t="str">
        <f ca="1">IFERROR(__xludf.dummyfunction("""COMPUTED_VALUE"""),"sem retorno")</f>
        <v>sem retorno</v>
      </c>
    </row>
    <row r="127" spans="1:18">
      <c r="A127" s="10">
        <f ca="1">IFERROR(__xludf.dummyfunction("""COMPUTED_VALUE"""),4)</f>
        <v>4</v>
      </c>
      <c r="B127" s="11" t="str">
        <f ca="1">IFERROR(__xludf.dummyfunction("""COMPUTED_VALUE"""),"GEOVANA DE SOUSA AMORIM")</f>
        <v>GEOVANA DE SOUSA AMORIM</v>
      </c>
      <c r="C127" s="11"/>
      <c r="D127" s="11" t="str">
        <f ca="1">IFERROR(__xludf.dummyfunction("""COMPUTED_VALUE"""),"71053897103")</f>
        <v>71053897103</v>
      </c>
      <c r="E127" s="11" t="str">
        <f ca="1">IFERROR(__xludf.dummyfunction("""COMPUTED_VALUE"""),"G.EOVANASOUSA@HOTMAIL.COM")</f>
        <v>G.EOVANASOUSA@HOTMAIL.COM</v>
      </c>
      <c r="F127" s="11"/>
      <c r="G127" s="11" t="str">
        <f ca="1">IFERROR(__xludf.dummyfunction("""COMPUTED_VALUE"""),"(64) 981475121")</f>
        <v>(64) 981475121</v>
      </c>
      <c r="H127" s="11" t="str">
        <f ca="1">IFERROR(__xludf.dummyfunction("""COMPUTED_VALUE"""),"SUPERIOR")</f>
        <v>SUPERIOR</v>
      </c>
      <c r="I127" s="10" t="str">
        <f ca="1">IFERROR(__xludf.dummyfunction("""COMPUTED_VALUE"""),"DIREITO")</f>
        <v>DIREITO</v>
      </c>
      <c r="J127" s="10" t="str">
        <f ca="1">IFERROR(__xludf.dummyfunction("""COMPUTED_VALUE"""),"NOITE")</f>
        <v>NOITE</v>
      </c>
      <c r="K127" s="10" t="str">
        <f ca="1">IFERROR(__xludf.dummyfunction("""COMPUTED_VALUE"""),"TARDE")</f>
        <v>TARDE</v>
      </c>
      <c r="L127" s="10" t="str">
        <f ca="1">IFERROR(__xludf.dummyfunction("""COMPUTED_VALUE"""),"CATALÃO - GO")</f>
        <v>CATALÃO - GO</v>
      </c>
      <c r="M127" s="10">
        <f ca="1">IFERROR(__xludf.dummyfunction("""COMPUTED_VALUE"""),8)</f>
        <v>8</v>
      </c>
      <c r="N127" s="10" t="str">
        <f ca="1">IFERROR(__xludf.dummyfunction("""COMPUTED_VALUE"""),"CONTRATADO")</f>
        <v>CONTRATADO</v>
      </c>
      <c r="O127" s="12">
        <f ca="1">IFERROR(__xludf.dummyfunction("""COMPUTED_VALUE"""),45230)</f>
        <v>45230</v>
      </c>
      <c r="P127" s="11"/>
      <c r="Q127" s="11"/>
      <c r="R127" s="11"/>
    </row>
    <row r="128" spans="1:18">
      <c r="A128" s="10">
        <f ca="1">IFERROR(__xludf.dummyfunction("""COMPUTED_VALUE"""),5)</f>
        <v>5</v>
      </c>
      <c r="B128" s="11" t="str">
        <f ca="1">IFERROR(__xludf.dummyfunction("""COMPUTED_VALUE"""),"ANA PAULA DE CARVALHO CANDIDO")</f>
        <v>ANA PAULA DE CARVALHO CANDIDO</v>
      </c>
      <c r="C128" s="11"/>
      <c r="D128" s="11" t="str">
        <f ca="1">IFERROR(__xludf.dummyfunction("""COMPUTED_VALUE"""),"71163785105")</f>
        <v>71163785105</v>
      </c>
      <c r="E128" s="11" t="str">
        <f ca="1">IFERROR(__xludf.dummyfunction("""COMPUTED_VALUE"""),"ANAPAULAANA835@GMAIL.COM")</f>
        <v>ANAPAULAANA835@GMAIL.COM</v>
      </c>
      <c r="F128" s="11"/>
      <c r="G128" s="11" t="str">
        <f ca="1">IFERROR(__xludf.dummyfunction("""COMPUTED_VALUE"""),"(64) 92381287")</f>
        <v>(64) 92381287</v>
      </c>
      <c r="H128" s="11" t="str">
        <f ca="1">IFERROR(__xludf.dummyfunction("""COMPUTED_VALUE"""),"SUPERIOR")</f>
        <v>SUPERIOR</v>
      </c>
      <c r="I128" s="10" t="str">
        <f ca="1">IFERROR(__xludf.dummyfunction("""COMPUTED_VALUE"""),"DIREITO")</f>
        <v>DIREITO</v>
      </c>
      <c r="J128" s="10" t="str">
        <f ca="1">IFERROR(__xludf.dummyfunction("""COMPUTED_VALUE"""),"NOITE")</f>
        <v>NOITE</v>
      </c>
      <c r="K128" s="10" t="str">
        <f ca="1">IFERROR(__xludf.dummyfunction("""COMPUTED_VALUE"""),"TARDE")</f>
        <v>TARDE</v>
      </c>
      <c r="L128" s="10" t="str">
        <f ca="1">IFERROR(__xludf.dummyfunction("""COMPUTED_VALUE"""),"CATALÃO - GO")</f>
        <v>CATALÃO - GO</v>
      </c>
      <c r="M128" s="10">
        <f ca="1">IFERROR(__xludf.dummyfunction("""COMPUTED_VALUE"""),6)</f>
        <v>6</v>
      </c>
      <c r="N128" s="10" t="str">
        <f ca="1">IFERROR(__xludf.dummyfunction("""COMPUTED_VALUE"""),"CONTRATADO")</f>
        <v>CONTRATADO</v>
      </c>
      <c r="O128" s="12">
        <f ca="1">IFERROR(__xludf.dummyfunction("""COMPUTED_VALUE"""),45230)</f>
        <v>45230</v>
      </c>
      <c r="P128" s="11"/>
      <c r="Q128" s="11"/>
      <c r="R128" s="11"/>
    </row>
    <row r="129" spans="1:18">
      <c r="A129" s="10">
        <f ca="1">IFERROR(__xludf.dummyfunction("""COMPUTED_VALUE"""),6)</f>
        <v>6</v>
      </c>
      <c r="B129" s="11" t="str">
        <f ca="1">IFERROR(__xludf.dummyfunction("""COMPUTED_VALUE"""),"FELIPE ESTRELA DE MORAIS TROMBETA")</f>
        <v>FELIPE ESTRELA DE MORAIS TROMBETA</v>
      </c>
      <c r="C129" s="11"/>
      <c r="D129" s="11" t="str">
        <f ca="1">IFERROR(__xludf.dummyfunction("""COMPUTED_VALUE"""),"05256431170")</f>
        <v>05256431170</v>
      </c>
      <c r="E129" s="11" t="str">
        <f ca="1">IFERROR(__xludf.dummyfunction("""COMPUTED_VALUE"""),"FELIPEESTRELA182020@GMAIL.COM")</f>
        <v>FELIPEESTRELA182020@GMAIL.COM</v>
      </c>
      <c r="F129" s="11" t="str">
        <f ca="1">IFERROR(__xludf.dummyfunction("""COMPUTED_VALUE"""),"(64) 99811248")</f>
        <v>(64) 99811248</v>
      </c>
      <c r="G129" s="11" t="str">
        <f ca="1">IFERROR(__xludf.dummyfunction("""COMPUTED_VALUE"""),"(64) 999811248")</f>
        <v>(64) 999811248</v>
      </c>
      <c r="H129" s="11" t="str">
        <f ca="1">IFERROR(__xludf.dummyfunction("""COMPUTED_VALUE"""),"SUPERIOR")</f>
        <v>SUPERIOR</v>
      </c>
      <c r="I129" s="10" t="str">
        <f ca="1">IFERROR(__xludf.dummyfunction("""COMPUTED_VALUE"""),"DIREITO")</f>
        <v>DIREITO</v>
      </c>
      <c r="J129" s="10" t="str">
        <f ca="1">IFERROR(__xludf.dummyfunction("""COMPUTED_VALUE"""),"NOITE")</f>
        <v>NOITE</v>
      </c>
      <c r="K129" s="10" t="str">
        <f ca="1">IFERROR(__xludf.dummyfunction("""COMPUTED_VALUE"""),"TARDE")</f>
        <v>TARDE</v>
      </c>
      <c r="L129" s="10" t="str">
        <f ca="1">IFERROR(__xludf.dummyfunction("""COMPUTED_VALUE"""),"CATALÃO - GO")</f>
        <v>CATALÃO - GO</v>
      </c>
      <c r="M129" s="10">
        <f ca="1">IFERROR(__xludf.dummyfunction("""COMPUTED_VALUE"""),5)</f>
        <v>5</v>
      </c>
      <c r="N129" s="10" t="str">
        <f ca="1">IFERROR(__xludf.dummyfunction("""COMPUTED_VALUE"""),"CONTRATADO")</f>
        <v>CONTRATADO</v>
      </c>
      <c r="O129" s="12">
        <f ca="1">IFERROR(__xludf.dummyfunction("""COMPUTED_VALUE"""),45230)</f>
        <v>45230</v>
      </c>
      <c r="P129" s="11"/>
      <c r="Q129" s="11"/>
      <c r="R129" s="11"/>
    </row>
    <row r="130" spans="1:18">
      <c r="A130" s="10">
        <f ca="1">IFERROR(__xludf.dummyfunction("""COMPUTED_VALUE"""),7)</f>
        <v>7</v>
      </c>
      <c r="B130" s="11" t="str">
        <f ca="1">IFERROR(__xludf.dummyfunction("""COMPUTED_VALUE"""),"LUIZ FERNANDO FERREIRA")</f>
        <v>LUIZ FERNANDO FERREIRA</v>
      </c>
      <c r="C130" s="11" t="str">
        <f ca="1">IFERROR(__xludf.dummyfunction("""COMPUTED_VALUE"""),"12323183")</f>
        <v>12323183</v>
      </c>
      <c r="D130" s="11" t="str">
        <f ca="1">IFERROR(__xludf.dummyfunction("""COMPUTED_VALUE"""),"12129495605")</f>
        <v>12129495605</v>
      </c>
      <c r="E130" s="11" t="str">
        <f ca="1">IFERROR(__xludf.dummyfunction("""COMPUTED_VALUE"""),"BILI3R@HOTMAIL.COM")</f>
        <v>BILI3R@HOTMAIL.COM</v>
      </c>
      <c r="F130" s="11"/>
      <c r="G130" s="11" t="str">
        <f ca="1">IFERROR(__xludf.dummyfunction("""COMPUTED_VALUE"""),"(64) 992663626")</f>
        <v>(64) 992663626</v>
      </c>
      <c r="H130" s="11" t="str">
        <f ca="1">IFERROR(__xludf.dummyfunction("""COMPUTED_VALUE"""),"SUPERIOR")</f>
        <v>SUPERIOR</v>
      </c>
      <c r="I130" s="10" t="str">
        <f ca="1">IFERROR(__xludf.dummyfunction("""COMPUTED_VALUE"""),"DIREITO")</f>
        <v>DIREITO</v>
      </c>
      <c r="J130" s="10" t="str">
        <f ca="1">IFERROR(__xludf.dummyfunction("""COMPUTED_VALUE"""),"NOITE")</f>
        <v>NOITE</v>
      </c>
      <c r="K130" s="10" t="str">
        <f ca="1">IFERROR(__xludf.dummyfunction("""COMPUTED_VALUE"""),"TARDE")</f>
        <v>TARDE</v>
      </c>
      <c r="L130" s="10" t="str">
        <f ca="1">IFERROR(__xludf.dummyfunction("""COMPUTED_VALUE"""),"CATALÃO - GO")</f>
        <v>CATALÃO - GO</v>
      </c>
      <c r="M130" s="10">
        <f ca="1">IFERROR(__xludf.dummyfunction("""COMPUTED_VALUE"""),6)</f>
        <v>6</v>
      </c>
      <c r="N130" s="10" t="str">
        <f ca="1">IFERROR(__xludf.dummyfunction("""COMPUTED_VALUE"""),"DESCLASSIFICADO")</f>
        <v>DESCLASSIFICADO</v>
      </c>
      <c r="O130" s="12">
        <f ca="1">IFERROR(__xludf.dummyfunction("""COMPUTED_VALUE"""),45230)</f>
        <v>45230</v>
      </c>
      <c r="P130" s="11" t="str">
        <f ca="1">IFERROR(__xludf.dummyfunction("""COMPUTED_VALUE"""),"estudante já realiza estágio no TJ")</f>
        <v>estudante já realiza estágio no TJ</v>
      </c>
      <c r="Q130" s="11"/>
      <c r="R130" s="11"/>
    </row>
    <row r="131" spans="1:18">
      <c r="A131" s="10">
        <f ca="1">IFERROR(__xludf.dummyfunction("QUERY(CERES!A5:A9)"),1)</f>
        <v>1</v>
      </c>
      <c r="B131" s="11" t="str">
        <f ca="1">IFERROR(__xludf.dummyfunction("QUERY(CERES!B5:B9)"),"ONELICE SOCORRO DOS SANTOS SILVA SANTANA")</f>
        <v>ONELICE SOCORRO DOS SANTOS SILVA SANTANA</v>
      </c>
      <c r="C131" s="11" t="str">
        <f ca="1">IFERROR(__xludf.dummyfunction("QUERY(CERES!C5:C9)"),"")</f>
        <v/>
      </c>
      <c r="D131" s="11" t="str">
        <f ca="1">IFERROR(__xludf.dummyfunction("QUERY(CERES!D5:D9)"),"01325003107")</f>
        <v>01325003107</v>
      </c>
      <c r="E131" s="11" t="str">
        <f ca="1">IFERROR(__xludf.dummyfunction("QUERY(CERES!E5:E9)"),"SAMUELEANASANTANA@GMAIL.COM")</f>
        <v>SAMUELEANASANTANA@GMAIL.COM</v>
      </c>
      <c r="F131" s="11" t="str">
        <f ca="1">IFERROR(__xludf.dummyfunction("QUERY(CERES!F5:F9)"),"")</f>
        <v/>
      </c>
      <c r="G131" s="11" t="str">
        <f ca="1">IFERROR(__xludf.dummyfunction("QUERY(CERES!G5:G9)"),"(64) 992197085")</f>
        <v>(64) 992197085</v>
      </c>
      <c r="H131" s="11" t="str">
        <f ca="1">IFERROR(__xludf.dummyfunction("QUERY(CERES!H5:H9)"),"SUPERIOR")</f>
        <v>SUPERIOR</v>
      </c>
      <c r="I131" s="10" t="str">
        <f ca="1">IFERROR(__xludf.dummyfunction("QUERY(CERES!I5:I9)"),"ADMINISTRAÇÃO")</f>
        <v>ADMINISTRAÇÃO</v>
      </c>
      <c r="J131" s="10" t="str">
        <f ca="1">IFERROR(__xludf.dummyfunction("QUERY(CERES!J5:J9)"),"NOITE")</f>
        <v>NOITE</v>
      </c>
      <c r="K131" s="10" t="str">
        <f ca="1">IFERROR(__xludf.dummyfunction("QUERY(CERES!K5:K9)"),"TARDE")</f>
        <v>TARDE</v>
      </c>
      <c r="L131" s="10" t="str">
        <f ca="1">IFERROR(__xludf.dummyfunction("QUERY(CERES!L5:L9)"),"CERES - GO")</f>
        <v>CERES - GO</v>
      </c>
      <c r="M131" s="10">
        <f ca="1">IFERROR(__xludf.dummyfunction("QUERY(CERES!M5:M9)"),4)</f>
        <v>4</v>
      </c>
      <c r="N131" s="10" t="str">
        <f ca="1">IFERROR(__xludf.dummyfunction("QUERY(CERES!N5:N9)"),"DISPONÍVEL")</f>
        <v>DISPONÍVEL</v>
      </c>
      <c r="O131" s="11" t="str">
        <f ca="1">IFERROR(__xludf.dummyfunction("QUERY(CERES!O5:O9)"),"")</f>
        <v/>
      </c>
      <c r="P131" s="11" t="str">
        <f ca="1">IFERROR(__xludf.dummyfunction("QUERY(CERES!P5:P9)"),"")</f>
        <v/>
      </c>
      <c r="Q131" s="11" t="str">
        <f ca="1">IFERROR(__xludf.dummyfunction("QUERY(CERES!Q5:Q9)"),"")</f>
        <v/>
      </c>
      <c r="R131" s="11" t="str">
        <f ca="1">IFERROR(__xludf.dummyfunction("QUERY(CERES!R5:R9)"),"")</f>
        <v/>
      </c>
    </row>
    <row r="132" spans="1:18">
      <c r="A132" s="10">
        <f ca="1">IFERROR(__xludf.dummyfunction("""COMPUTED_VALUE"""),1)</f>
        <v>1</v>
      </c>
      <c r="B132" s="11" t="str">
        <f ca="1">IFERROR(__xludf.dummyfunction("""COMPUTED_VALUE"""),"VANESSA CRISTINA DE SOUZA RESENDE")</f>
        <v>VANESSA CRISTINA DE SOUZA RESENDE</v>
      </c>
      <c r="C132" s="11" t="str">
        <f ca="1">IFERROR(__xludf.dummyfunction("""COMPUTED_VALUE"""),"56136022")</f>
        <v>56136022</v>
      </c>
      <c r="D132" s="11" t="str">
        <f ca="1">IFERROR(__xludf.dummyfunction("""COMPUTED_VALUE"""),"03910370136")</f>
        <v>03910370136</v>
      </c>
      <c r="E132" s="11" t="str">
        <f ca="1">IFERROR(__xludf.dummyfunction("""COMPUTED_VALUE"""),"VANESSARSOUZA20@GMAIL.COM")</f>
        <v>VANESSARSOUZA20@GMAIL.COM</v>
      </c>
      <c r="F132" s="11" t="str">
        <f ca="1">IFERROR(__xludf.dummyfunction("""COMPUTED_VALUE"""),"(62) 33376380")</f>
        <v>(62) 33376380</v>
      </c>
      <c r="G132" s="11" t="str">
        <f ca="1">IFERROR(__xludf.dummyfunction("""COMPUTED_VALUE"""),"(62) 999357203")</f>
        <v>(62) 999357203</v>
      </c>
      <c r="H132" s="11" t="str">
        <f ca="1">IFERROR(__xludf.dummyfunction("""COMPUTED_VALUE"""),"SUPERIOR")</f>
        <v>SUPERIOR</v>
      </c>
      <c r="I132" s="10" t="str">
        <f ca="1">IFERROR(__xludf.dummyfunction("""COMPUTED_VALUE"""),"DIREITO")</f>
        <v>DIREITO</v>
      </c>
      <c r="J132" s="10" t="str">
        <f ca="1">IFERROR(__xludf.dummyfunction("""COMPUTED_VALUE"""),"NOITE")</f>
        <v>NOITE</v>
      </c>
      <c r="K132" s="10" t="str">
        <f ca="1">IFERROR(__xludf.dummyfunction("""COMPUTED_VALUE"""),"TARDE")</f>
        <v>TARDE</v>
      </c>
      <c r="L132" s="10" t="str">
        <f ca="1">IFERROR(__xludf.dummyfunction("""COMPUTED_VALUE"""),"CERES - GO")</f>
        <v>CERES - GO</v>
      </c>
      <c r="M132" s="10">
        <f ca="1">IFERROR(__xludf.dummyfunction("""COMPUTED_VALUE"""),8)</f>
        <v>8</v>
      </c>
      <c r="N132" s="10" t="str">
        <f ca="1">IFERROR(__xludf.dummyfunction("""COMPUTED_VALUE"""),"REMANEJADO")</f>
        <v>REMANEJADO</v>
      </c>
      <c r="O132" s="11" t="str">
        <f ca="1">IFERROR(__xludf.dummyfunction("""COMPUTED_VALUE"""),"29/09 - 14:24")</f>
        <v>29/09 - 14:24</v>
      </c>
      <c r="P132" s="11" t="str">
        <f ca="1">IFERROR(__xludf.dummyfunction("""COMPUTED_VALUE"""),"Não se apresentou no estágio")</f>
        <v>Não se apresentou no estágio</v>
      </c>
      <c r="Q132" s="11"/>
      <c r="R132" s="11"/>
    </row>
    <row r="133" spans="1:18">
      <c r="A133" s="10">
        <f ca="1">IFERROR(__xludf.dummyfunction("""COMPUTED_VALUE"""),2)</f>
        <v>2</v>
      </c>
      <c r="B133" s="11" t="str">
        <f ca="1">IFERROR(__xludf.dummyfunction("""COMPUTED_VALUE"""),"ANNA VITÓRIA SOUZA OLIVEIRA")</f>
        <v>ANNA VITÓRIA SOUZA OLIVEIRA</v>
      </c>
      <c r="C133" s="11" t="str">
        <f ca="1">IFERROR(__xludf.dummyfunction("""COMPUTED_VALUE"""),"6758216")</f>
        <v>6758216</v>
      </c>
      <c r="D133" s="11" t="str">
        <f ca="1">IFERROR(__xludf.dummyfunction("""COMPUTED_VALUE"""),"05201040136")</f>
        <v>05201040136</v>
      </c>
      <c r="E133" s="11" t="str">
        <f ca="1">IFERROR(__xludf.dummyfunction("""COMPUTED_VALUE"""),"ANNAVITORIA1408@GMAIL.COM")</f>
        <v>ANNAVITORIA1408@GMAIL.COM</v>
      </c>
      <c r="F133" s="11" t="str">
        <f ca="1">IFERROR(__xludf.dummyfunction("""COMPUTED_VALUE"""),"(62) 33073664")</f>
        <v>(62) 33073664</v>
      </c>
      <c r="G133" s="11" t="str">
        <f ca="1">IFERROR(__xludf.dummyfunction("""COMPUTED_VALUE"""),"(62) 985408488")</f>
        <v>(62) 985408488</v>
      </c>
      <c r="H133" s="11" t="str">
        <f ca="1">IFERROR(__xludf.dummyfunction("""COMPUTED_VALUE"""),"SUPERIOR")</f>
        <v>SUPERIOR</v>
      </c>
      <c r="I133" s="10" t="str">
        <f ca="1">IFERROR(__xludf.dummyfunction("""COMPUTED_VALUE"""),"DIREITO")</f>
        <v>DIREITO</v>
      </c>
      <c r="J133" s="10" t="str">
        <f ca="1">IFERROR(__xludf.dummyfunction("""COMPUTED_VALUE"""),"NOITE")</f>
        <v>NOITE</v>
      </c>
      <c r="K133" s="10" t="str">
        <f ca="1">IFERROR(__xludf.dummyfunction("""COMPUTED_VALUE"""),"TARDE")</f>
        <v>TARDE</v>
      </c>
      <c r="L133" s="10" t="str">
        <f ca="1">IFERROR(__xludf.dummyfunction("""COMPUTED_VALUE"""),"CERES - GO")</f>
        <v>CERES - GO</v>
      </c>
      <c r="M133" s="10">
        <f ca="1">IFERROR(__xludf.dummyfunction("""COMPUTED_VALUE"""),5)</f>
        <v>5</v>
      </c>
      <c r="N133" s="10" t="str">
        <f ca="1">IFERROR(__xludf.dummyfunction("""COMPUTED_VALUE"""),"CONTRATADO")</f>
        <v>CONTRATADO</v>
      </c>
      <c r="O133" s="11" t="str">
        <f ca="1">IFERROR(__xludf.dummyfunction("""COMPUTED_VALUE"""),"29/09 - 14:24")</f>
        <v>29/09 - 14:24</v>
      </c>
      <c r="P133" s="11"/>
      <c r="Q133" s="11"/>
      <c r="R133" s="11"/>
    </row>
    <row r="134" spans="1:18">
      <c r="A134" s="10">
        <f ca="1">IFERROR(__xludf.dummyfunction("""COMPUTED_VALUE"""),3)</f>
        <v>3</v>
      </c>
      <c r="B134" s="11" t="str">
        <f ca="1">IFERROR(__xludf.dummyfunction("""COMPUTED_VALUE"""),"LÍVIA SUMAIA G. A. E SOUZA")</f>
        <v>LÍVIA SUMAIA G. A. E SOUZA</v>
      </c>
      <c r="C134" s="11"/>
      <c r="D134" s="11" t="str">
        <f ca="1">IFERROR(__xludf.dummyfunction("""COMPUTED_VALUE"""),"08079445133")</f>
        <v>08079445133</v>
      </c>
      <c r="E134" s="11" t="str">
        <f ca="1">IFERROR(__xludf.dummyfunction("""COMPUTED_VALUE"""),"LIVIASUMAIA@GMAIL.COM")</f>
        <v>LIVIASUMAIA@GMAIL.COM</v>
      </c>
      <c r="F134" s="11"/>
      <c r="G134" s="11" t="str">
        <f ca="1">IFERROR(__xludf.dummyfunction("""COMPUTED_VALUE"""),"(62) 984800651")</f>
        <v>(62) 984800651</v>
      </c>
      <c r="H134" s="11" t="str">
        <f ca="1">IFERROR(__xludf.dummyfunction("""COMPUTED_VALUE"""),"SUPERIOR")</f>
        <v>SUPERIOR</v>
      </c>
      <c r="I134" s="10" t="str">
        <f ca="1">IFERROR(__xludf.dummyfunction("""COMPUTED_VALUE"""),"DIREITO")</f>
        <v>DIREITO</v>
      </c>
      <c r="J134" s="10" t="str">
        <f ca="1">IFERROR(__xludf.dummyfunction("""COMPUTED_VALUE"""),"NOITE")</f>
        <v>NOITE</v>
      </c>
      <c r="K134" s="10" t="str">
        <f ca="1">IFERROR(__xludf.dummyfunction("""COMPUTED_VALUE"""),"TARDE")</f>
        <v>TARDE</v>
      </c>
      <c r="L134" s="10" t="str">
        <f ca="1">IFERROR(__xludf.dummyfunction("""COMPUTED_VALUE"""),"CERES - GO")</f>
        <v>CERES - GO</v>
      </c>
      <c r="M134" s="10">
        <f ca="1">IFERROR(__xludf.dummyfunction("""COMPUTED_VALUE"""),5)</f>
        <v>5</v>
      </c>
      <c r="N134" s="10" t="str">
        <f ca="1">IFERROR(__xludf.dummyfunction("""COMPUTED_VALUE"""),"CONTRATADO")</f>
        <v>CONTRATADO</v>
      </c>
      <c r="O134" s="11" t="str">
        <f ca="1">IFERROR(__xludf.dummyfunction("""COMPUTED_VALUE"""),"29/09 - 14:24")</f>
        <v>29/09 - 14:24</v>
      </c>
      <c r="P134" s="11"/>
      <c r="Q134" s="11"/>
      <c r="R134" s="11"/>
    </row>
    <row r="135" spans="1:18">
      <c r="A135" s="10">
        <f ca="1">IFERROR(__xludf.dummyfunction("""COMPUTED_VALUE"""),4)</f>
        <v>4</v>
      </c>
      <c r="B135" s="11" t="str">
        <f ca="1">IFERROR(__xludf.dummyfunction("""COMPUTED_VALUE"""),"ELIAS COSTA E SILVA")</f>
        <v>ELIAS COSTA E SILVA</v>
      </c>
      <c r="C135" s="11"/>
      <c r="D135" s="11" t="str">
        <f ca="1">IFERROR(__xludf.dummyfunction("""COMPUTED_VALUE"""),"00995581142")</f>
        <v>00995581142</v>
      </c>
      <c r="E135" s="11" t="str">
        <f ca="1">IFERROR(__xludf.dummyfunction("""COMPUTED_VALUE"""),"ELIASCOSTAESILVA@ICLOUD.COM")</f>
        <v>ELIASCOSTAESILVA@ICLOUD.COM</v>
      </c>
      <c r="F135" s="11"/>
      <c r="G135" s="11" t="str">
        <f ca="1">IFERROR(__xludf.dummyfunction("""COMPUTED_VALUE"""),"(62) 998008992")</f>
        <v>(62) 998008992</v>
      </c>
      <c r="H135" s="11" t="str">
        <f ca="1">IFERROR(__xludf.dummyfunction("""COMPUTED_VALUE"""),"SUPERIOR")</f>
        <v>SUPERIOR</v>
      </c>
      <c r="I135" s="10" t="str">
        <f ca="1">IFERROR(__xludf.dummyfunction("""COMPUTED_VALUE"""),"DIREITO")</f>
        <v>DIREITO</v>
      </c>
      <c r="J135" s="10" t="str">
        <f ca="1">IFERROR(__xludf.dummyfunction("""COMPUTED_VALUE"""),"NOITE")</f>
        <v>NOITE</v>
      </c>
      <c r="K135" s="10" t="str">
        <f ca="1">IFERROR(__xludf.dummyfunction("""COMPUTED_VALUE"""),"TARDE")</f>
        <v>TARDE</v>
      </c>
      <c r="L135" s="10" t="str">
        <f ca="1">IFERROR(__xludf.dummyfunction("""COMPUTED_VALUE"""),"CERES - GO")</f>
        <v>CERES - GO</v>
      </c>
      <c r="M135" s="10">
        <f ca="1">IFERROR(__xludf.dummyfunction("""COMPUTED_VALUE"""),6)</f>
        <v>6</v>
      </c>
      <c r="N135" s="10" t="str">
        <f ca="1">IFERROR(__xludf.dummyfunction("""COMPUTED_VALUE"""),"CONTRATADO")</f>
        <v>CONTRATADO</v>
      </c>
      <c r="O135" s="11" t="str">
        <f ca="1">IFERROR(__xludf.dummyfunction("""COMPUTED_VALUE"""),"29/09 - 14:24")</f>
        <v>29/09 - 14:24</v>
      </c>
      <c r="P135" s="11"/>
      <c r="Q135" s="11"/>
      <c r="R135" s="11"/>
    </row>
    <row r="136" spans="1:18">
      <c r="A136" s="10">
        <f ca="1">IFERROR(__xludf.dummyfunction("QUERY('CIDADE OCIDENTAL'!A5:A10)"),1)</f>
        <v>1</v>
      </c>
      <c r="B136" s="11" t="str">
        <f ca="1">IFERROR(__xludf.dummyfunction("QUERY('CIDADE OCIDENTAL'!B5:B10)"),"WAGNER MOREIRA SALES")</f>
        <v>WAGNER MOREIRA SALES</v>
      </c>
      <c r="C136" s="11" t="str">
        <f ca="1">IFERROR(__xludf.dummyfunction("QUERY('CIDADE OCIDENTAL'!C5:C10)"),"")</f>
        <v/>
      </c>
      <c r="D136" s="11" t="str">
        <f ca="1">IFERROR(__xludf.dummyfunction("QUERY('CIDADE OCIDENTAL'!D5:D10)"),"04591625192")</f>
        <v>04591625192</v>
      </c>
      <c r="E136" s="11" t="str">
        <f ca="1">IFERROR(__xludf.dummyfunction("QUERY('CIDADE OCIDENTAL'!E5:E10)"),"WAGNERMAHH@GMAIL.COM")</f>
        <v>WAGNERMAHH@GMAIL.COM</v>
      </c>
      <c r="F136" s="11" t="str">
        <f ca="1">IFERROR(__xludf.dummyfunction("QUERY('CIDADE OCIDENTAL'!F5:F10)"),"(61) 36255816")</f>
        <v>(61) 36255816</v>
      </c>
      <c r="G136" s="11" t="str">
        <f ca="1">IFERROR(__xludf.dummyfunction("QUERY('CIDADE OCIDENTAL'!G5:G10)"),"(61) 992694220")</f>
        <v>(61) 992694220</v>
      </c>
      <c r="H136" s="11" t="str">
        <f ca="1">IFERROR(__xludf.dummyfunction("QUERY('CIDADE OCIDENTAL'!H5:H10)"),"SUPERIOR")</f>
        <v>SUPERIOR</v>
      </c>
      <c r="I136" s="10" t="str">
        <f ca="1">IFERROR(__xludf.dummyfunction("QUERY('CIDADE OCIDENTAL'!I5:I10)"),"ADMINISTRAÇÃO")</f>
        <v>ADMINISTRAÇÃO</v>
      </c>
      <c r="J136" s="10" t="str">
        <f ca="1">IFERROR(__xludf.dummyfunction("QUERY('CIDADE OCIDENTAL'!J5:J10)"),"NOITE")</f>
        <v>NOITE</v>
      </c>
      <c r="K136" s="10" t="str">
        <f ca="1">IFERROR(__xludf.dummyfunction("QUERY('CIDADE OCIDENTAL'!K5:K10)"),"TARDE")</f>
        <v>TARDE</v>
      </c>
      <c r="L136" s="10" t="str">
        <f ca="1">IFERROR(__xludf.dummyfunction("QUERY('CIDADE OCIDENTAL'!L5:L10)"),"CIDADE OCIDENTAL - GO")</f>
        <v>CIDADE OCIDENTAL - GO</v>
      </c>
      <c r="M136" s="10">
        <f ca="1">IFERROR(__xludf.dummyfunction("QUERY('CIDADE OCIDENTAL'!M5:M10)"),6)</f>
        <v>6</v>
      </c>
      <c r="N136" s="10" t="str">
        <f ca="1">IFERROR(__xludf.dummyfunction("QUERY('CIDADE OCIDENTAL'!N5:N10)"),"DISPONÍVEL")</f>
        <v>DISPONÍVEL</v>
      </c>
      <c r="O136" s="11" t="str">
        <f ca="1">IFERROR(__xludf.dummyfunction("QUERY('CIDADE OCIDENTAL'!O5:O10)"),"")</f>
        <v/>
      </c>
      <c r="P136" s="11" t="str">
        <f ca="1">IFERROR(__xludf.dummyfunction("QUERY('CIDADE OCIDENTAL'!P5:P10)"),"")</f>
        <v/>
      </c>
      <c r="Q136" s="11" t="str">
        <f ca="1">IFERROR(__xludf.dummyfunction("QUERY('CIDADE OCIDENTAL'!Q5:Q10)"),"")</f>
        <v/>
      </c>
      <c r="R136" s="11" t="str">
        <f ca="1">IFERROR(__xludf.dummyfunction("QUERY('CIDADE OCIDENTAL'!R5:R10)"),"")</f>
        <v/>
      </c>
    </row>
    <row r="137" spans="1:18">
      <c r="A137" s="10">
        <f ca="1">IFERROR(__xludf.dummyfunction("""COMPUTED_VALUE"""),2)</f>
        <v>2</v>
      </c>
      <c r="B137" s="11" t="str">
        <f ca="1">IFERROR(__xludf.dummyfunction("""COMPUTED_VALUE"""),"ANA LUCIA ALVES DA CUNHA")</f>
        <v>ANA LUCIA ALVES DA CUNHA</v>
      </c>
      <c r="C137" s="11" t="str">
        <f ca="1">IFERROR(__xludf.dummyfunction("""COMPUTED_VALUE"""),"3821953")</f>
        <v>3821953</v>
      </c>
      <c r="D137" s="11" t="str">
        <f ca="1">IFERROR(__xludf.dummyfunction("""COMPUTED_VALUE"""),"70596425104")</f>
        <v>70596425104</v>
      </c>
      <c r="E137" s="11" t="str">
        <f ca="1">IFERROR(__xludf.dummyfunction("""COMPUTED_VALUE"""),"ALAC_23@HOTMAIL.COM")</f>
        <v>ALAC_23@HOTMAIL.COM</v>
      </c>
      <c r="F137" s="11"/>
      <c r="G137" s="11" t="str">
        <f ca="1">IFERROR(__xludf.dummyfunction("""COMPUTED_VALUE"""),"(61) 982738955")</f>
        <v>(61) 982738955</v>
      </c>
      <c r="H137" s="11" t="str">
        <f ca="1">IFERROR(__xludf.dummyfunction("""COMPUTED_VALUE"""),"SUPERIOR")</f>
        <v>SUPERIOR</v>
      </c>
      <c r="I137" s="10" t="str">
        <f ca="1">IFERROR(__xludf.dummyfunction("""COMPUTED_VALUE"""),"ADMINISTRAÇÃO")</f>
        <v>ADMINISTRAÇÃO</v>
      </c>
      <c r="J137" s="10" t="str">
        <f ca="1">IFERROR(__xludf.dummyfunction("""COMPUTED_VALUE"""),"INTEGRAL")</f>
        <v>INTEGRAL</v>
      </c>
      <c r="K137" s="10" t="str">
        <f ca="1">IFERROR(__xludf.dummyfunction("""COMPUTED_VALUE"""),"TARDE")</f>
        <v>TARDE</v>
      </c>
      <c r="L137" s="10" t="str">
        <f ca="1">IFERROR(__xludf.dummyfunction("""COMPUTED_VALUE"""),"CIDADE OCIDENTAL - GO")</f>
        <v>CIDADE OCIDENTAL - GO</v>
      </c>
      <c r="M137" s="10">
        <f ca="1">IFERROR(__xludf.dummyfunction("""COMPUTED_VALUE"""),3)</f>
        <v>3</v>
      </c>
      <c r="N137" s="10" t="str">
        <f ca="1">IFERROR(__xludf.dummyfunction("""COMPUTED_VALUE"""),"DISPONÍVEL")</f>
        <v>DISPONÍVEL</v>
      </c>
      <c r="O137" s="11"/>
      <c r="P137" s="11"/>
      <c r="Q137" s="11"/>
      <c r="R137" s="11"/>
    </row>
    <row r="138" spans="1:18">
      <c r="A138" s="10">
        <f ca="1">IFERROR(__xludf.dummyfunction("""COMPUTED_VALUE"""),1)</f>
        <v>1</v>
      </c>
      <c r="B138" s="11" t="str">
        <f ca="1">IFERROR(__xludf.dummyfunction("""COMPUTED_VALUE"""),"GABRIEL VINICIUS RIBEIRO SANTOS")</f>
        <v>GABRIEL VINICIUS RIBEIRO SANTOS</v>
      </c>
      <c r="C138" s="11" t="str">
        <f ca="1">IFERROR(__xludf.dummyfunction("""COMPUTED_VALUE"""),"4079964")</f>
        <v>4079964</v>
      </c>
      <c r="D138" s="11" t="str">
        <f ca="1">IFERROR(__xludf.dummyfunction("""COMPUTED_VALUE"""),"08255705147")</f>
        <v>08255705147</v>
      </c>
      <c r="E138" s="11" t="str">
        <f ca="1">IFERROR(__xludf.dummyfunction("""COMPUTED_VALUE"""),"GABRIELVPRINCIPE@GMAIL.COM")</f>
        <v>GABRIELVPRINCIPE@GMAIL.COM</v>
      </c>
      <c r="F138" s="11"/>
      <c r="G138" s="11" t="str">
        <f ca="1">IFERROR(__xludf.dummyfunction("""COMPUTED_VALUE"""),"(61) 999485206")</f>
        <v>(61) 999485206</v>
      </c>
      <c r="H138" s="11" t="str">
        <f ca="1">IFERROR(__xludf.dummyfunction("""COMPUTED_VALUE"""),"SUPERIOR")</f>
        <v>SUPERIOR</v>
      </c>
      <c r="I138" s="10" t="str">
        <f ca="1">IFERROR(__xludf.dummyfunction("""COMPUTED_VALUE"""),"DIREITO")</f>
        <v>DIREITO</v>
      </c>
      <c r="J138" s="10" t="str">
        <f ca="1">IFERROR(__xludf.dummyfunction("""COMPUTED_VALUE"""),"NOITE")</f>
        <v>NOITE</v>
      </c>
      <c r="K138" s="10" t="str">
        <f ca="1">IFERROR(__xludf.dummyfunction("""COMPUTED_VALUE"""),"TARDE")</f>
        <v>TARDE</v>
      </c>
      <c r="L138" s="10" t="str">
        <f ca="1">IFERROR(__xludf.dummyfunction("""COMPUTED_VALUE"""),"CIDADE OCIDENTAL - GO")</f>
        <v>CIDADE OCIDENTAL - GO</v>
      </c>
      <c r="M138" s="10">
        <f ca="1">IFERROR(__xludf.dummyfunction("""COMPUTED_VALUE"""),5)</f>
        <v>5</v>
      </c>
      <c r="N138" s="10" t="str">
        <f ca="1">IFERROR(__xludf.dummyfunction("""COMPUTED_VALUE"""),"CONTRATADO")</f>
        <v>CONTRATADO</v>
      </c>
      <c r="O138" s="11" t="str">
        <f ca="1">IFERROR(__xludf.dummyfunction("""COMPUTED_VALUE"""),"16/11 - 10:29")</f>
        <v>16/11 - 10:29</v>
      </c>
      <c r="P138" s="11"/>
      <c r="Q138" s="11"/>
      <c r="R138" s="11"/>
    </row>
    <row r="139" spans="1:18">
      <c r="A139" s="10">
        <f ca="1">IFERROR(__xludf.dummyfunction("""COMPUTED_VALUE"""),2)</f>
        <v>2</v>
      </c>
      <c r="B139" s="11" t="str">
        <f ca="1">IFERROR(__xludf.dummyfunction("""COMPUTED_VALUE"""),"MARIA DA GLÓRIA CELESTINA DA SILVA")</f>
        <v>MARIA DA GLÓRIA CELESTINA DA SILVA</v>
      </c>
      <c r="C139" s="11"/>
      <c r="D139" s="11" t="str">
        <f ca="1">IFERROR(__xludf.dummyfunction("""COMPUTED_VALUE"""),"70456992120")</f>
        <v>70456992120</v>
      </c>
      <c r="E139" s="11" t="str">
        <f ca="1">IFERROR(__xludf.dummyfunction("""COMPUTED_VALUE"""),"MARIA.CELESTINA@SOUNIDESC.COM.BR")</f>
        <v>MARIA.CELESTINA@SOUNIDESC.COM.BR</v>
      </c>
      <c r="F139" s="11" t="str">
        <f ca="1">IFERROR(__xludf.dummyfunction("""COMPUTED_VALUE"""),"(61) 99161133")</f>
        <v>(61) 99161133</v>
      </c>
      <c r="G139" s="11" t="str">
        <f ca="1">IFERROR(__xludf.dummyfunction("""COMPUTED_VALUE"""),"(61) 991611336")</f>
        <v>(61) 991611336</v>
      </c>
      <c r="H139" s="11" t="str">
        <f ca="1">IFERROR(__xludf.dummyfunction("""COMPUTED_VALUE"""),"SUPERIOR")</f>
        <v>SUPERIOR</v>
      </c>
      <c r="I139" s="10" t="str">
        <f ca="1">IFERROR(__xludf.dummyfunction("""COMPUTED_VALUE"""),"DIREITO")</f>
        <v>DIREITO</v>
      </c>
      <c r="J139" s="10" t="str">
        <f ca="1">IFERROR(__xludf.dummyfunction("""COMPUTED_VALUE"""),"NOITE")</f>
        <v>NOITE</v>
      </c>
      <c r="K139" s="10" t="str">
        <f ca="1">IFERROR(__xludf.dummyfunction("""COMPUTED_VALUE"""),"TARDE")</f>
        <v>TARDE</v>
      </c>
      <c r="L139" s="10" t="str">
        <f ca="1">IFERROR(__xludf.dummyfunction("""COMPUTED_VALUE"""),"CIDADE OCIDENTAL - GO")</f>
        <v>CIDADE OCIDENTAL - GO</v>
      </c>
      <c r="M139" s="10">
        <f ca="1">IFERROR(__xludf.dummyfunction("""COMPUTED_VALUE"""),8)</f>
        <v>8</v>
      </c>
      <c r="N139" s="10" t="str">
        <f ca="1">IFERROR(__xludf.dummyfunction("""COMPUTED_VALUE"""),"2ª CONVOCAÇÃO")</f>
        <v>2ª CONVOCAÇÃO</v>
      </c>
      <c r="O139" s="11" t="str">
        <f ca="1">IFERROR(__xludf.dummyfunction("""COMPUTED_VALUE"""),"16/11 - 10:29")</f>
        <v>16/11 - 10:29</v>
      </c>
      <c r="P139" s="11" t="str">
        <f ca="1">IFERROR(__xludf.dummyfunction("""COMPUTED_VALUE"""),"sem retorno")</f>
        <v>sem retorno</v>
      </c>
      <c r="Q139" s="11"/>
      <c r="R139" s="11"/>
    </row>
    <row r="140" spans="1:18">
      <c r="A140" s="10">
        <f ca="1">IFERROR(__xludf.dummyfunction("""COMPUTED_VALUE"""),3)</f>
        <v>3</v>
      </c>
      <c r="B140" s="11" t="str">
        <f ca="1">IFERROR(__xludf.dummyfunction("""COMPUTED_VALUE"""),"KLEBIA SILVA CRISPIM")</f>
        <v>KLEBIA SILVA CRISPIM</v>
      </c>
      <c r="C140" s="11" t="str">
        <f ca="1">IFERROR(__xludf.dummyfunction("""COMPUTED_VALUE"""),"1587807")</f>
        <v>1587807</v>
      </c>
      <c r="D140" s="11" t="str">
        <f ca="1">IFERROR(__xludf.dummyfunction("""COMPUTED_VALUE"""),"91795150459")</f>
        <v>91795150459</v>
      </c>
      <c r="E140" s="11" t="str">
        <f ca="1">IFERROR(__xludf.dummyfunction("""COMPUTED_VALUE"""),"KLEBIA_CRISPIM@HOTMAIL.COM")</f>
        <v>KLEBIA_CRISPIM@HOTMAIL.COM</v>
      </c>
      <c r="F140" s="11" t="str">
        <f ca="1">IFERROR(__xludf.dummyfunction("""COMPUTED_VALUE"""),"(61) 32737730")</f>
        <v>(61) 32737730</v>
      </c>
      <c r="G140" s="11" t="str">
        <f ca="1">IFERROR(__xludf.dummyfunction("""COMPUTED_VALUE"""),"(61) 981901060")</f>
        <v>(61) 981901060</v>
      </c>
      <c r="H140" s="11" t="str">
        <f ca="1">IFERROR(__xludf.dummyfunction("""COMPUTED_VALUE"""),"SUPERIOR")</f>
        <v>SUPERIOR</v>
      </c>
      <c r="I140" s="10" t="str">
        <f ca="1">IFERROR(__xludf.dummyfunction("""COMPUTED_VALUE"""),"DIREITO")</f>
        <v>DIREITO</v>
      </c>
      <c r="J140" s="10" t="str">
        <f ca="1">IFERROR(__xludf.dummyfunction("""COMPUTED_VALUE"""),"MANHÃ")</f>
        <v>MANHÃ</v>
      </c>
      <c r="K140" s="10" t="str">
        <f ca="1">IFERROR(__xludf.dummyfunction("""COMPUTED_VALUE"""),"TARDE")</f>
        <v>TARDE</v>
      </c>
      <c r="L140" s="10" t="str">
        <f ca="1">IFERROR(__xludf.dummyfunction("""COMPUTED_VALUE"""),"CIDADE OCIDENTAL - GO")</f>
        <v>CIDADE OCIDENTAL - GO</v>
      </c>
      <c r="M140" s="10">
        <f ca="1">IFERROR(__xludf.dummyfunction("""COMPUTED_VALUE"""),5)</f>
        <v>5</v>
      </c>
      <c r="N140" s="10" t="str">
        <f ca="1">IFERROR(__xludf.dummyfunction("""COMPUTED_VALUE"""),"2ª CONVOCAÇÃO")</f>
        <v>2ª CONVOCAÇÃO</v>
      </c>
      <c r="O140" s="11" t="str">
        <f ca="1">IFERROR(__xludf.dummyfunction("""COMPUTED_VALUE"""),"16/11 - 10:29")</f>
        <v>16/11 - 10:29</v>
      </c>
      <c r="P140" s="11" t="str">
        <f ca="1">IFERROR(__xludf.dummyfunction("""COMPUTED_VALUE"""),"sem retorno")</f>
        <v>sem retorno</v>
      </c>
      <c r="Q140" s="11"/>
      <c r="R140" s="11"/>
    </row>
    <row r="141" spans="1:18">
      <c r="A141" s="10">
        <f ca="1">IFERROR(__xludf.dummyfunction("""COMPUTED_VALUE"""),4)</f>
        <v>4</v>
      </c>
      <c r="B141" s="11" t="str">
        <f ca="1">IFERROR(__xludf.dummyfunction("""COMPUTED_VALUE"""),"HIAGO SILVA LOPES")</f>
        <v>HIAGO SILVA LOPES</v>
      </c>
      <c r="C141" s="11" t="str">
        <f ca="1">IFERROR(__xludf.dummyfunction("""COMPUTED_VALUE"""),"3906079")</f>
        <v>3906079</v>
      </c>
      <c r="D141" s="11" t="str">
        <f ca="1">IFERROR(__xludf.dummyfunction("""COMPUTED_VALUE"""),"08005121113")</f>
        <v>08005121113</v>
      </c>
      <c r="E141" s="11" t="str">
        <f ca="1">IFERROR(__xludf.dummyfunction("""COMPUTED_VALUE"""),"HIAGOLOPES.SILVA1212@GMAIL.COM")</f>
        <v>HIAGOLOPES.SILVA1212@GMAIL.COM</v>
      </c>
      <c r="F141" s="11"/>
      <c r="G141" s="11" t="str">
        <f ca="1">IFERROR(__xludf.dummyfunction("""COMPUTED_VALUE"""),"(61) 981937566")</f>
        <v>(61) 981937566</v>
      </c>
      <c r="H141" s="11" t="str">
        <f ca="1">IFERROR(__xludf.dummyfunction("""COMPUTED_VALUE"""),"SUPERIOR")</f>
        <v>SUPERIOR</v>
      </c>
      <c r="I141" s="10" t="str">
        <f ca="1">IFERROR(__xludf.dummyfunction("""COMPUTED_VALUE"""),"DIREITO")</f>
        <v>DIREITO</v>
      </c>
      <c r="J141" s="10" t="str">
        <f ca="1">IFERROR(__xludf.dummyfunction("""COMPUTED_VALUE"""),"NOITE")</f>
        <v>NOITE</v>
      </c>
      <c r="K141" s="10" t="str">
        <f ca="1">IFERROR(__xludf.dummyfunction("""COMPUTED_VALUE"""),"TARDE")</f>
        <v>TARDE</v>
      </c>
      <c r="L141" s="10" t="str">
        <f ca="1">IFERROR(__xludf.dummyfunction("""COMPUTED_VALUE"""),"CIDADE OCIDENTAL - GO")</f>
        <v>CIDADE OCIDENTAL - GO</v>
      </c>
      <c r="M141" s="10">
        <f ca="1">IFERROR(__xludf.dummyfunction("""COMPUTED_VALUE"""),7)</f>
        <v>7</v>
      </c>
      <c r="N141" s="10" t="str">
        <f ca="1">IFERROR(__xludf.dummyfunction("""COMPUTED_VALUE"""),"1ª CONVOCAÇÃO")</f>
        <v>1ª CONVOCAÇÃO</v>
      </c>
      <c r="O141" s="11"/>
      <c r="P141" s="11"/>
      <c r="Q141" s="11"/>
      <c r="R141" s="11"/>
    </row>
    <row r="142" spans="1:18">
      <c r="A142" s="10">
        <f ca="1">IFERROR(__xludf.dummyfunction("QUERY(COCALZINHO!A5)"),1)</f>
        <v>1</v>
      </c>
      <c r="B142" s="11" t="str">
        <f ca="1">IFERROR(__xludf.dummyfunction("QUERY(COCALZINHO!B5)"),"GABRIEL AUGUSTO AFONSO SIQUEIRA")</f>
        <v>GABRIEL AUGUSTO AFONSO SIQUEIRA</v>
      </c>
      <c r="C142" s="11" t="str">
        <f ca="1">IFERROR(__xludf.dummyfunction("QUERY(COCALZINHO!C5)"),"6341724")</f>
        <v>6341724</v>
      </c>
      <c r="D142" s="11" t="str">
        <f ca="1">IFERROR(__xludf.dummyfunction("QUERY(COCALZINHO!D5)"),"70407887130")</f>
        <v>70407887130</v>
      </c>
      <c r="E142" s="11" t="str">
        <f ca="1">IFERROR(__xludf.dummyfunction("QUERY(COCALZINHO!E5)"),"GABRIEL.AFS014@GMAIL.COM")</f>
        <v>GABRIEL.AFS014@GMAIL.COM</v>
      </c>
      <c r="F142" s="11" t="str">
        <f ca="1">IFERROR(__xludf.dummyfunction("QUERY(COCALZINHO!F5)"),"(62) 33381453")</f>
        <v>(62) 33381453</v>
      </c>
      <c r="G142" s="11" t="str">
        <f ca="1">IFERROR(__xludf.dummyfunction("QUERY(COCALZINHO!G5)"),"(62) 999417717")</f>
        <v>(62) 999417717</v>
      </c>
      <c r="H142" s="11" t="str">
        <f ca="1">IFERROR(__xludf.dummyfunction("QUERY(COCALZINHO!H5)"),"SUPERIOR")</f>
        <v>SUPERIOR</v>
      </c>
      <c r="I142" s="10" t="str">
        <f ca="1">IFERROR(__xludf.dummyfunction("QUERY(COCALZINHO!I5)"),"CIÊNCIAS CONTÁBEIS")</f>
        <v>CIÊNCIAS CONTÁBEIS</v>
      </c>
      <c r="J142" s="10" t="str">
        <f ca="1">IFERROR(__xludf.dummyfunction("QUERY(COCALZINHO!J5)"),"NOITE")</f>
        <v>NOITE</v>
      </c>
      <c r="K142" s="10" t="str">
        <f ca="1">IFERROR(__xludf.dummyfunction("QUERY(COCALZINHO!K5)"),"TARDE")</f>
        <v>TARDE</v>
      </c>
      <c r="L142" s="10" t="str">
        <f ca="1">IFERROR(__xludf.dummyfunction("QUERY(COCALZINHO!L5)"),"COCALZINHO - GO")</f>
        <v>COCALZINHO - GO</v>
      </c>
      <c r="M142" s="10">
        <f ca="1">IFERROR(__xludf.dummyfunction("QUERY(COCALZINHO!M5)"),7)</f>
        <v>7</v>
      </c>
      <c r="N142" s="10" t="str">
        <f ca="1">IFERROR(__xludf.dummyfunction("QUERY(COCALZINHO!N5)"),"DISPONÍVEL")</f>
        <v>DISPONÍVEL</v>
      </c>
      <c r="O142" s="11" t="str">
        <f ca="1">IFERROR(__xludf.dummyfunction("QUERY(COCALZINHO!O5)"),"")</f>
        <v/>
      </c>
      <c r="P142" s="11" t="str">
        <f ca="1">IFERROR(__xludf.dummyfunction("QUERY(COCALZINHO!P5)"),"")</f>
        <v/>
      </c>
      <c r="Q142" s="11" t="str">
        <f ca="1">IFERROR(__xludf.dummyfunction("QUERY(COCALZINHO!Q5)"),"")</f>
        <v/>
      </c>
      <c r="R142" s="11" t="str">
        <f ca="1">IFERROR(__xludf.dummyfunction("QUERY(COCALZINHO!R5)"),"")</f>
        <v/>
      </c>
    </row>
    <row r="143" spans="1:18">
      <c r="A143" s="10">
        <f ca="1">IFERROR(__xludf.dummyfunction("QUERY('CORUMBÁ DE GOIÁS'!A5:A8)"),1)</f>
        <v>1</v>
      </c>
      <c r="B143" s="11" t="str">
        <f ca="1">IFERROR(__xludf.dummyfunction("QUERY('CORUMBÁ DE GOIÁS'!B5:B8)"),"GEOVANA KELLY MOURA SOUZA")</f>
        <v>GEOVANA KELLY MOURA SOUZA</v>
      </c>
      <c r="C143" s="11" t="str">
        <f ca="1">IFERROR(__xludf.dummyfunction("QUERY('CORUMBÁ DE GOIÁS'!C5:C8)"),"")</f>
        <v/>
      </c>
      <c r="D143" s="11" t="str">
        <f ca="1">IFERROR(__xludf.dummyfunction("QUERY('CORUMBÁ DE GOIÁS'!D5:D8)"),"06942034169")</f>
        <v>06942034169</v>
      </c>
      <c r="E143" s="11" t="str">
        <f ca="1">IFERROR(__xludf.dummyfunction("QUERY('CORUMBÁ DE GOIÁS'!E5:E8)"),"GEOVANAKELLYMOURA@GMAIL.COM")</f>
        <v>GEOVANAKELLYMOURA@GMAIL.COM</v>
      </c>
      <c r="F143" s="11" t="str">
        <f ca="1">IFERROR(__xludf.dummyfunction("QUERY('CORUMBÁ DE GOIÁS'!F5:F8)"),"(61) 99640398")</f>
        <v>(61) 99640398</v>
      </c>
      <c r="G143" s="11" t="str">
        <f ca="1">IFERROR(__xludf.dummyfunction("QUERY('CORUMBÁ DE GOIÁS'!G5:G8)"),"(61) 996403986")</f>
        <v>(61) 996403986</v>
      </c>
      <c r="H143" s="11" t="str">
        <f ca="1">IFERROR(__xludf.dummyfunction("QUERY('CORUMBÁ DE GOIÁS'!H5:H8)"),"SUPERIOR")</f>
        <v>SUPERIOR</v>
      </c>
      <c r="I143" s="10" t="str">
        <f ca="1">IFERROR(__xludf.dummyfunction("QUERY('CORUMBÁ DE GOIÁS'!I5:I8)"),"DIREITO")</f>
        <v>DIREITO</v>
      </c>
      <c r="J143" s="10" t="str">
        <f ca="1">IFERROR(__xludf.dummyfunction("QUERY('CORUMBÁ DE GOIÁS'!J5:J8)"),"NOITE")</f>
        <v>NOITE</v>
      </c>
      <c r="K143" s="10" t="str">
        <f ca="1">IFERROR(__xludf.dummyfunction("QUERY('CORUMBÁ DE GOIÁS'!K5:K8)"),"TARDE")</f>
        <v>TARDE</v>
      </c>
      <c r="L143" s="10" t="str">
        <f ca="1">IFERROR(__xludf.dummyfunction("QUERY('CORUMBÁ DE GOIÁS'!L5:L8)"),"CORUMBÁ DE GOIÁS - GO")</f>
        <v>CORUMBÁ DE GOIÁS - GO</v>
      </c>
      <c r="M143" s="10">
        <f ca="1">IFERROR(__xludf.dummyfunction("QUERY('CORUMBÁ DE GOIÁS'!M5:M8)"),6)</f>
        <v>6</v>
      </c>
      <c r="N143" s="10" t="str">
        <f ca="1">IFERROR(__xludf.dummyfunction("QUERY('CORUMBÁ DE GOIÁS'!N5:N8)"),"DISPONÍVEL")</f>
        <v>DISPONÍVEL</v>
      </c>
      <c r="O143" s="11" t="str">
        <f ca="1">IFERROR(__xludf.dummyfunction("QUERY('CORUMBÁ DE GOIÁS'!O5:O8)"),"")</f>
        <v/>
      </c>
      <c r="P143" s="11" t="str">
        <f ca="1">IFERROR(__xludf.dummyfunction("QUERY('CORUMBÁ DE GOIÁS'!P5:P8)"),"")</f>
        <v/>
      </c>
      <c r="Q143" s="11" t="str">
        <f ca="1">IFERROR(__xludf.dummyfunction("QUERY('CORUMBÁ DE GOIÁS'!Q5:Q8)"),"")</f>
        <v/>
      </c>
      <c r="R143" s="11" t="str">
        <f ca="1">IFERROR(__xludf.dummyfunction("QUERY('CORUMBÁ DE GOIÁS'!R5:R8)"),"")</f>
        <v/>
      </c>
    </row>
    <row r="144" spans="1:18">
      <c r="A144" s="10">
        <f ca="1">IFERROR(__xludf.dummyfunction("""COMPUTED_VALUE"""),2)</f>
        <v>2</v>
      </c>
      <c r="B144" s="11" t="str">
        <f ca="1">IFERROR(__xludf.dummyfunction("""COMPUTED_VALUE"""),"JENIFFER EDUARDA NUNES DE OLIVEIRA")</f>
        <v>JENIFFER EDUARDA NUNES DE OLIVEIRA</v>
      </c>
      <c r="C144" s="11"/>
      <c r="D144" s="11" t="str">
        <f ca="1">IFERROR(__xludf.dummyfunction("""COMPUTED_VALUE"""),"70305230166")</f>
        <v>70305230166</v>
      </c>
      <c r="E144" s="11" t="str">
        <f ca="1">IFERROR(__xludf.dummyfunction("""COMPUTED_VALUE"""),"JENIFFEREDUARDANUNESDEOLIVEIRA@GMAIL.COM")</f>
        <v>JENIFFEREDUARDANUNESDEOLIVEIRA@GMAIL.COM</v>
      </c>
      <c r="F144" s="11"/>
      <c r="G144" s="11" t="str">
        <f ca="1">IFERROR(__xludf.dummyfunction("""COMPUTED_VALUE"""),"(62) 994000631")</f>
        <v>(62) 994000631</v>
      </c>
      <c r="H144" s="11" t="str">
        <f ca="1">IFERROR(__xludf.dummyfunction("""COMPUTED_VALUE"""),"SUPERIOR")</f>
        <v>SUPERIOR</v>
      </c>
      <c r="I144" s="10" t="str">
        <f ca="1">IFERROR(__xludf.dummyfunction("""COMPUTED_VALUE"""),"DIREITO")</f>
        <v>DIREITO</v>
      </c>
      <c r="J144" s="10" t="str">
        <f ca="1">IFERROR(__xludf.dummyfunction("""COMPUTED_VALUE"""),"NOITE")</f>
        <v>NOITE</v>
      </c>
      <c r="K144" s="10" t="str">
        <f ca="1">IFERROR(__xludf.dummyfunction("""COMPUTED_VALUE"""),"TARDE")</f>
        <v>TARDE</v>
      </c>
      <c r="L144" s="10" t="str">
        <f ca="1">IFERROR(__xludf.dummyfunction("""COMPUTED_VALUE"""),"CORUMBÁ DE GOIÁS - GO")</f>
        <v>CORUMBÁ DE GOIÁS - GO</v>
      </c>
      <c r="M144" s="10">
        <f ca="1">IFERROR(__xludf.dummyfunction("""COMPUTED_VALUE"""),5)</f>
        <v>5</v>
      </c>
      <c r="N144" s="10" t="str">
        <f ca="1">IFERROR(__xludf.dummyfunction("""COMPUTED_VALUE"""),"DISPONÍVEL")</f>
        <v>DISPONÍVEL</v>
      </c>
      <c r="O144" s="11"/>
      <c r="P144" s="11"/>
      <c r="Q144" s="11"/>
      <c r="R144" s="11"/>
    </row>
    <row r="145" spans="1:18">
      <c r="A145" s="10">
        <f ca="1">IFERROR(__xludf.dummyfunction("""COMPUTED_VALUE"""),3)</f>
        <v>3</v>
      </c>
      <c r="B145" s="11" t="str">
        <f ca="1">IFERROR(__xludf.dummyfunction("""COMPUTED_VALUE"""),"NICOLY BANDEIRA BUENO")</f>
        <v>NICOLY BANDEIRA BUENO</v>
      </c>
      <c r="C145" s="11"/>
      <c r="D145" s="11" t="str">
        <f ca="1">IFERROR(__xludf.dummyfunction("""COMPUTED_VALUE"""),"05768702180")</f>
        <v>05768702180</v>
      </c>
      <c r="E145" s="11" t="str">
        <f ca="1">IFERROR(__xludf.dummyfunction("""COMPUTED_VALUE"""),"NICOLYBAND@GMAIL.COM")</f>
        <v>NICOLYBAND@GMAIL.COM</v>
      </c>
      <c r="F145" s="11"/>
      <c r="G145" s="11" t="str">
        <f ca="1">IFERROR(__xludf.dummyfunction("""COMPUTED_VALUE"""),"(62) 996711954")</f>
        <v>(62) 996711954</v>
      </c>
      <c r="H145" s="11" t="str">
        <f ca="1">IFERROR(__xludf.dummyfunction("""COMPUTED_VALUE"""),"SUPERIOR")</f>
        <v>SUPERIOR</v>
      </c>
      <c r="I145" s="10" t="str">
        <f ca="1">IFERROR(__xludf.dummyfunction("""COMPUTED_VALUE"""),"DIREITO")</f>
        <v>DIREITO</v>
      </c>
      <c r="J145" s="10" t="str">
        <f ca="1">IFERROR(__xludf.dummyfunction("""COMPUTED_VALUE"""),"NOITE")</f>
        <v>NOITE</v>
      </c>
      <c r="K145" s="10" t="str">
        <f ca="1">IFERROR(__xludf.dummyfunction("""COMPUTED_VALUE"""),"TARDE")</f>
        <v>TARDE</v>
      </c>
      <c r="L145" s="10" t="str">
        <f ca="1">IFERROR(__xludf.dummyfunction("""COMPUTED_VALUE"""),"CORUMBÁ DE GOIÁS - GO")</f>
        <v>CORUMBÁ DE GOIÁS - GO</v>
      </c>
      <c r="M145" s="10">
        <f ca="1">IFERROR(__xludf.dummyfunction("""COMPUTED_VALUE"""),5)</f>
        <v>5</v>
      </c>
      <c r="N145" s="10" t="str">
        <f ca="1">IFERROR(__xludf.dummyfunction("""COMPUTED_VALUE"""),"DISPONÍVEL")</f>
        <v>DISPONÍVEL</v>
      </c>
      <c r="O145" s="11"/>
      <c r="P145" s="11"/>
      <c r="Q145" s="11"/>
      <c r="R145" s="11"/>
    </row>
    <row r="146" spans="1:18">
      <c r="A146" s="10">
        <f ca="1">IFERROR(__xludf.dummyfunction("""COMPUTED_VALUE"""),4)</f>
        <v>4</v>
      </c>
      <c r="B146" s="11" t="str">
        <f ca="1">IFERROR(__xludf.dummyfunction("""COMPUTED_VALUE"""),"ANA BEATRIZ DE FREITAS FERNANDES")</f>
        <v>ANA BEATRIZ DE FREITAS FERNANDES</v>
      </c>
      <c r="C146" s="11" t="str">
        <f ca="1">IFERROR(__xludf.dummyfunction("""COMPUTED_VALUE"""),"6653673")</f>
        <v>6653673</v>
      </c>
      <c r="D146" s="11" t="str">
        <f ca="1">IFERROR(__xludf.dummyfunction("""COMPUTED_VALUE"""),"07146265110")</f>
        <v>07146265110</v>
      </c>
      <c r="E146" s="11" t="str">
        <f ca="1">IFERROR(__xludf.dummyfunction("""COMPUTED_VALUE"""),"BIABDFF15@GMAIL.COM")</f>
        <v>BIABDFF15@GMAIL.COM</v>
      </c>
      <c r="F146" s="11"/>
      <c r="G146" s="11" t="str">
        <f ca="1">IFERROR(__xludf.dummyfunction("""COMPUTED_VALUE"""),"(62) 993673654")</f>
        <v>(62) 993673654</v>
      </c>
      <c r="H146" s="11" t="str">
        <f ca="1">IFERROR(__xludf.dummyfunction("""COMPUTED_VALUE"""),"SUPERIOR")</f>
        <v>SUPERIOR</v>
      </c>
      <c r="I146" s="10" t="str">
        <f ca="1">IFERROR(__xludf.dummyfunction("""COMPUTED_VALUE"""),"DIREITO")</f>
        <v>DIREITO</v>
      </c>
      <c r="J146" s="10" t="str">
        <f ca="1">IFERROR(__xludf.dummyfunction("""COMPUTED_VALUE"""),"NOITE")</f>
        <v>NOITE</v>
      </c>
      <c r="K146" s="10" t="str">
        <f ca="1">IFERROR(__xludf.dummyfunction("""COMPUTED_VALUE"""),"TARDE")</f>
        <v>TARDE</v>
      </c>
      <c r="L146" s="10" t="str">
        <f ca="1">IFERROR(__xludf.dummyfunction("""COMPUTED_VALUE"""),"CORUMBÁ DE GOIÁS - GO")</f>
        <v>CORUMBÁ DE GOIÁS - GO</v>
      </c>
      <c r="M146" s="10">
        <f ca="1">IFERROR(__xludf.dummyfunction("""COMPUTED_VALUE"""),6)</f>
        <v>6</v>
      </c>
      <c r="N146" s="10" t="str">
        <f ca="1">IFERROR(__xludf.dummyfunction("""COMPUTED_VALUE"""),"DISPONÍVEL")</f>
        <v>DISPONÍVEL</v>
      </c>
      <c r="O146" s="11"/>
      <c r="P146" s="11"/>
      <c r="Q146" s="11"/>
      <c r="R146" s="11"/>
    </row>
    <row r="147" spans="1:18">
      <c r="A147" s="10">
        <f ca="1">IFERROR(__xludf.dummyfunction("QUERY('CORUMBAÍBA'!A5:A6)"),1)</f>
        <v>1</v>
      </c>
      <c r="B147" s="11" t="str">
        <f ca="1">IFERROR(__xludf.dummyfunction("QUERY('CORUMBAÍBA'!B5:B6)"),"BEATRIZ MOREIRA DINIZ")</f>
        <v>BEATRIZ MOREIRA DINIZ</v>
      </c>
      <c r="C147" s="11" t="str">
        <f ca="1">IFERROR(__xludf.dummyfunction("QUERY('CORUMBAÍBA'!C5:C6)"),"")</f>
        <v/>
      </c>
      <c r="D147" s="11" t="str">
        <f ca="1">IFERROR(__xludf.dummyfunction("QUERY('CORUMBAÍBA'!D5:D6)"),"03142854150")</f>
        <v>03142854150</v>
      </c>
      <c r="E147" s="11" t="str">
        <f ca="1">IFERROR(__xludf.dummyfunction("QUERY('CORUMBAÍBA'!E5:E6)"),"BEA_DINIZ@HOTMAIL.COM")</f>
        <v>BEA_DINIZ@HOTMAIL.COM</v>
      </c>
      <c r="F147" s="11" t="str">
        <f ca="1">IFERROR(__xludf.dummyfunction("QUERY('CORUMBAÍBA'!F5:F6)"),"(34) 84209167")</f>
        <v>(34) 84209167</v>
      </c>
      <c r="G147" s="11" t="str">
        <f ca="1">IFERROR(__xludf.dummyfunction("QUERY('CORUMBAÍBA'!G5:G6)"),"(34) 984209167")</f>
        <v>(34) 984209167</v>
      </c>
      <c r="H147" s="11" t="str">
        <f ca="1">IFERROR(__xludf.dummyfunction("QUERY('CORUMBAÍBA'!H5:H6)"),"SUPERIOR")</f>
        <v>SUPERIOR</v>
      </c>
      <c r="I147" s="10" t="str">
        <f ca="1">IFERROR(__xludf.dummyfunction("QUERY('CORUMBAÍBA'!I5:I6)"),"DIREITO")</f>
        <v>DIREITO</v>
      </c>
      <c r="J147" s="10" t="str">
        <f ca="1">IFERROR(__xludf.dummyfunction("QUERY('CORUMBAÍBA'!J5:J6)"),"NOITE")</f>
        <v>NOITE</v>
      </c>
      <c r="K147" s="10" t="str">
        <f ca="1">IFERROR(__xludf.dummyfunction("QUERY('CORUMBAÍBA'!K5:K6)"),"TARDE")</f>
        <v>TARDE</v>
      </c>
      <c r="L147" s="10" t="str">
        <f ca="1">IFERROR(__xludf.dummyfunction("QUERY('CORUMBAÍBA'!L5:L6)"),"CORUMBAÍBA - GO")</f>
        <v>CORUMBAÍBA - GO</v>
      </c>
      <c r="M147" s="10">
        <f ca="1">IFERROR(__xludf.dummyfunction("QUERY('CORUMBAÍBA'!M5:M6)"),9)</f>
        <v>9</v>
      </c>
      <c r="N147" s="10" t="str">
        <f ca="1">IFERROR(__xludf.dummyfunction("QUERY('CORUMBAÍBA'!N5:N6)"),"DISPONÍVEL")</f>
        <v>DISPONÍVEL</v>
      </c>
      <c r="O147" s="11" t="str">
        <f ca="1">IFERROR(__xludf.dummyfunction("QUERY('CORUMBAÍBA'!O5:O6)"),"")</f>
        <v/>
      </c>
      <c r="P147" s="11" t="str">
        <f ca="1">IFERROR(__xludf.dummyfunction("QUERY('CORUMBAÍBA'!P5:P6)"),"")</f>
        <v/>
      </c>
      <c r="Q147" s="11" t="str">
        <f ca="1">IFERROR(__xludf.dummyfunction("QUERY('CORUMBAÍBA'!Q5:Q6)"),"")</f>
        <v/>
      </c>
      <c r="R147" s="11" t="str">
        <f ca="1">IFERROR(__xludf.dummyfunction("QUERY('CORUMBAÍBA'!R5:R6)"),"")</f>
        <v/>
      </c>
    </row>
    <row r="148" spans="1:18">
      <c r="A148" s="10">
        <f ca="1">IFERROR(__xludf.dummyfunction("""COMPUTED_VALUE"""),2)</f>
        <v>2</v>
      </c>
      <c r="B148" s="11" t="str">
        <f ca="1">IFERROR(__xludf.dummyfunction("""COMPUTED_VALUE"""),"RHANIA BEATRICY SOARES MOURA")</f>
        <v>RHANIA BEATRICY SOARES MOURA</v>
      </c>
      <c r="C148" s="11"/>
      <c r="D148" s="11" t="str">
        <f ca="1">IFERROR(__xludf.dummyfunction("""COMPUTED_VALUE"""),"09927589123")</f>
        <v>09927589123</v>
      </c>
      <c r="E148" s="11" t="str">
        <f ca="1">IFERROR(__xludf.dummyfunction("""COMPUTED_VALUE"""),"RBEATRICY@GMAIL.COM")</f>
        <v>RBEATRICY@GMAIL.COM</v>
      </c>
      <c r="F148" s="11" t="str">
        <f ca="1">IFERROR(__xludf.dummyfunction("""COMPUTED_VALUE"""),"(64) 99876400")</f>
        <v>(64) 99876400</v>
      </c>
      <c r="G148" s="11" t="str">
        <f ca="1">IFERROR(__xludf.dummyfunction("""COMPUTED_VALUE"""),"(66) 492565534")</f>
        <v>(66) 492565534</v>
      </c>
      <c r="H148" s="11" t="str">
        <f ca="1">IFERROR(__xludf.dummyfunction("""COMPUTED_VALUE"""),"SUPERIOR")</f>
        <v>SUPERIOR</v>
      </c>
      <c r="I148" s="10" t="str">
        <f ca="1">IFERROR(__xludf.dummyfunction("""COMPUTED_VALUE"""),"DIREITO")</f>
        <v>DIREITO</v>
      </c>
      <c r="J148" s="10" t="str">
        <f ca="1">IFERROR(__xludf.dummyfunction("""COMPUTED_VALUE"""),"NOITE")</f>
        <v>NOITE</v>
      </c>
      <c r="K148" s="10" t="str">
        <f ca="1">IFERROR(__xludf.dummyfunction("""COMPUTED_VALUE"""),"TARDE")</f>
        <v>TARDE</v>
      </c>
      <c r="L148" s="10" t="str">
        <f ca="1">IFERROR(__xludf.dummyfunction("""COMPUTED_VALUE"""),"CORUMBAÍBA - GO")</f>
        <v>CORUMBAÍBA - GO</v>
      </c>
      <c r="M148" s="10">
        <f ca="1">IFERROR(__xludf.dummyfunction("""COMPUTED_VALUE"""),6)</f>
        <v>6</v>
      </c>
      <c r="N148" s="10" t="str">
        <f ca="1">IFERROR(__xludf.dummyfunction("""COMPUTED_VALUE"""),"DISPONÍVEL")</f>
        <v>DISPONÍVEL</v>
      </c>
      <c r="O148" s="11"/>
      <c r="P148" s="11"/>
      <c r="Q148" s="11"/>
      <c r="R148" s="11"/>
    </row>
    <row r="149" spans="1:18">
      <c r="A149" s="10">
        <f ca="1">IFERROR(__xludf.dummyfunction("QUERY(CRISTALINA!A5:A6)"),1)</f>
        <v>1</v>
      </c>
      <c r="B149" s="11" t="str">
        <f ca="1">IFERROR(__xludf.dummyfunction("QUERY(CRISTALINA!B5:B6)"),"JAYNE ARRUDA DA SILVA")</f>
        <v>JAYNE ARRUDA DA SILVA</v>
      </c>
      <c r="C149" s="11" t="str">
        <f ca="1">IFERROR(__xludf.dummyfunction("QUERY(CRISTALINA!C5:C6)"),"")</f>
        <v/>
      </c>
      <c r="D149" s="11" t="str">
        <f ca="1">IFERROR(__xludf.dummyfunction("QUERY(CRISTALINA!D5:D6)"),"04135978142")</f>
        <v>04135978142</v>
      </c>
      <c r="E149" s="11" t="str">
        <f ca="1">IFERROR(__xludf.dummyfunction("QUERY(CRISTALINA!E5:E6)"),"JAYNEARRUDA98@GMAIL.COM")</f>
        <v>JAYNEARRUDA98@GMAIL.COM</v>
      </c>
      <c r="F149" s="11" t="str">
        <f ca="1">IFERROR(__xludf.dummyfunction("QUERY(CRISTALINA!F5:F6)"),"")</f>
        <v/>
      </c>
      <c r="G149" s="11" t="str">
        <f ca="1">IFERROR(__xludf.dummyfunction("QUERY(CRISTALINA!G5:G6)"),"(61) 981207926")</f>
        <v>(61) 981207926</v>
      </c>
      <c r="H149" s="11" t="str">
        <f ca="1">IFERROR(__xludf.dummyfunction("QUERY(CRISTALINA!H5:H6)"),"SUPERIOR")</f>
        <v>SUPERIOR</v>
      </c>
      <c r="I149" s="10" t="str">
        <f ca="1">IFERROR(__xludf.dummyfunction("QUERY(CRISTALINA!I5:I6)"),"DIREITO")</f>
        <v>DIREITO</v>
      </c>
      <c r="J149" s="10" t="str">
        <f ca="1">IFERROR(__xludf.dummyfunction("QUERY(CRISTALINA!J5:J6)"),"NOITE")</f>
        <v>NOITE</v>
      </c>
      <c r="K149" s="10" t="str">
        <f ca="1">IFERROR(__xludf.dummyfunction("QUERY(CRISTALINA!K5:K6)"),"TARDE")</f>
        <v>TARDE</v>
      </c>
      <c r="L149" s="10" t="str">
        <f ca="1">IFERROR(__xludf.dummyfunction("QUERY(CRISTALINA!L5:L6)"),"CRISTALINA - GO")</f>
        <v>CRISTALINA - GO</v>
      </c>
      <c r="M149" s="10">
        <f ca="1">IFERROR(__xludf.dummyfunction("QUERY(CRISTALINA!M5:M6)"),5)</f>
        <v>5</v>
      </c>
      <c r="N149" s="10" t="str">
        <f ca="1">IFERROR(__xludf.dummyfunction("QUERY(CRISTALINA!N5:N6)"),"DISPONÍVEL")</f>
        <v>DISPONÍVEL</v>
      </c>
      <c r="O149" s="11" t="str">
        <f ca="1">IFERROR(__xludf.dummyfunction("QUERY(CRISTALINA!O5:O6)"),"")</f>
        <v/>
      </c>
      <c r="P149" s="11" t="str">
        <f ca="1">IFERROR(__xludf.dummyfunction("QUERY(CRISTALINA!P5:P6)"),"")</f>
        <v/>
      </c>
      <c r="Q149" s="11" t="str">
        <f ca="1">IFERROR(__xludf.dummyfunction("QUERY(CRISTALINA!Q5:Q6)"),"")</f>
        <v/>
      </c>
      <c r="R149" s="11" t="str">
        <f ca="1">IFERROR(__xludf.dummyfunction("QUERY(CRISTALINA!R5:R6)"),"")</f>
        <v/>
      </c>
    </row>
    <row r="150" spans="1:18">
      <c r="A150" s="10">
        <f ca="1">IFERROR(__xludf.dummyfunction("""COMPUTED_VALUE"""),2)</f>
        <v>2</v>
      </c>
      <c r="B150" s="11" t="str">
        <f ca="1">IFERROR(__xludf.dummyfunction("""COMPUTED_VALUE"""),"JOÃO PEDRO ALVES GIULIANI")</f>
        <v>JOÃO PEDRO ALVES GIULIANI</v>
      </c>
      <c r="C150" s="11"/>
      <c r="D150" s="11" t="str">
        <f ca="1">IFERROR(__xludf.dummyfunction("""COMPUTED_VALUE"""),"04704496163")</f>
        <v>04704496163</v>
      </c>
      <c r="E150" s="11" t="str">
        <f ca="1">IFERROR(__xludf.dummyfunction("""COMPUTED_VALUE"""),"JPGIULIANI1@GMAIL.COM")</f>
        <v>JPGIULIANI1@GMAIL.COM</v>
      </c>
      <c r="F150" s="11" t="str">
        <f ca="1">IFERROR(__xludf.dummyfunction("""COMPUTED_VALUE"""),"(61) 36121247")</f>
        <v>(61) 36121247</v>
      </c>
      <c r="G150" s="11" t="str">
        <f ca="1">IFERROR(__xludf.dummyfunction("""COMPUTED_VALUE"""),"(61) 995737227")</f>
        <v>(61) 995737227</v>
      </c>
      <c r="H150" s="11" t="str">
        <f ca="1">IFERROR(__xludf.dummyfunction("""COMPUTED_VALUE"""),"SUPERIOR")</f>
        <v>SUPERIOR</v>
      </c>
      <c r="I150" s="10" t="str">
        <f ca="1">IFERROR(__xludf.dummyfunction("""COMPUTED_VALUE"""),"DIREITO")</f>
        <v>DIREITO</v>
      </c>
      <c r="J150" s="10" t="str">
        <f ca="1">IFERROR(__xludf.dummyfunction("""COMPUTED_VALUE"""),"NOITE")</f>
        <v>NOITE</v>
      </c>
      <c r="K150" s="10" t="str">
        <f ca="1">IFERROR(__xludf.dummyfunction("""COMPUTED_VALUE"""),"TARDE")</f>
        <v>TARDE</v>
      </c>
      <c r="L150" s="10" t="str">
        <f ca="1">IFERROR(__xludf.dummyfunction("""COMPUTED_VALUE"""),"CRISTALINA - GO")</f>
        <v>CRISTALINA - GO</v>
      </c>
      <c r="M150" s="10">
        <f ca="1">IFERROR(__xludf.dummyfunction("""COMPUTED_VALUE"""),5)</f>
        <v>5</v>
      </c>
      <c r="N150" s="10" t="str">
        <f ca="1">IFERROR(__xludf.dummyfunction("""COMPUTED_VALUE"""),"DISPONÍVEL")</f>
        <v>DISPONÍVEL</v>
      </c>
      <c r="O150" s="11"/>
      <c r="P150" s="11"/>
      <c r="Q150" s="11"/>
      <c r="R150" s="11"/>
    </row>
    <row r="151" spans="1:18">
      <c r="A151" s="10">
        <f ca="1">IFERROR(__xludf.dummyfunction("QUERY('CRIXÁS'!A5)"),1)</f>
        <v>1</v>
      </c>
      <c r="B151" s="11" t="str">
        <f ca="1">IFERROR(__xludf.dummyfunction("QUERY('CRIXÁS'!B5)"),"ADRIELLY SILVA MEIRELES")</f>
        <v>ADRIELLY SILVA MEIRELES</v>
      </c>
      <c r="C151" s="11" t="str">
        <f ca="1">IFERROR(__xludf.dummyfunction("QUERY('CRIXÁS'!C5)"),"")</f>
        <v/>
      </c>
      <c r="D151" s="11" t="str">
        <f ca="1">IFERROR(__xludf.dummyfunction("QUERY('CRIXÁS'!D5)"),"07210291164")</f>
        <v>07210291164</v>
      </c>
      <c r="E151" s="11" t="str">
        <f ca="1">IFERROR(__xludf.dummyfunction("QUERY('CRIXÁS'!E5)"),"ADRIELLYMEIRELES811@GMAIL.COM")</f>
        <v>ADRIELLYMEIRELES811@GMAIL.COM</v>
      </c>
      <c r="F151" s="11" t="str">
        <f ca="1">IFERROR(__xludf.dummyfunction("QUERY('CRIXÁS'!F5)"),"(62) 96444418")</f>
        <v>(62) 96444418</v>
      </c>
      <c r="G151" s="11" t="str">
        <f ca="1">IFERROR(__xludf.dummyfunction("QUERY('CRIXÁS'!G5)"),"(62) 983276469")</f>
        <v>(62) 983276469</v>
      </c>
      <c r="H151" s="11" t="str">
        <f ca="1">IFERROR(__xludf.dummyfunction("QUERY('CRIXÁS'!H5)"),"SUPERIOR")</f>
        <v>SUPERIOR</v>
      </c>
      <c r="I151" s="10" t="str">
        <f ca="1">IFERROR(__xludf.dummyfunction("QUERY('CRIXÁS'!I5)"),"DIREITO")</f>
        <v>DIREITO</v>
      </c>
      <c r="J151" s="10" t="str">
        <f ca="1">IFERROR(__xludf.dummyfunction("QUERY('CRIXÁS'!J5)"),"NOITE")</f>
        <v>NOITE</v>
      </c>
      <c r="K151" s="10" t="str">
        <f ca="1">IFERROR(__xludf.dummyfunction("QUERY('CRIXÁS'!K5)"),"TARDE")</f>
        <v>TARDE</v>
      </c>
      <c r="L151" s="10" t="str">
        <f ca="1">IFERROR(__xludf.dummyfunction("QUERY('CRIXÁS'!L5)"),"CRIXÁS - GO")</f>
        <v>CRIXÁS - GO</v>
      </c>
      <c r="M151" s="10">
        <f ca="1">IFERROR(__xludf.dummyfunction("QUERY('CRIXÁS'!M5)"),8)</f>
        <v>8</v>
      </c>
      <c r="N151" s="10" t="str">
        <f ca="1">IFERROR(__xludf.dummyfunction("QUERY('CRIXÁS'!N5)"),"CONTRATADO")</f>
        <v>CONTRATADO</v>
      </c>
      <c r="O151" s="11" t="str">
        <f ca="1">IFERROR(__xludf.dummyfunction("QUERY('CRIXÁS'!O5)"),"16/11 - 10:24")</f>
        <v>16/11 - 10:24</v>
      </c>
      <c r="P151" s="11" t="str">
        <f ca="1">IFERROR(__xludf.dummyfunction("QUERY('CRIXÁS'!P5)"),"")</f>
        <v/>
      </c>
      <c r="Q151" s="11" t="str">
        <f ca="1">IFERROR(__xludf.dummyfunction("QUERY('CRIXÁS'!Q5)"),"")</f>
        <v/>
      </c>
      <c r="R151" s="11" t="str">
        <f ca="1">IFERROR(__xludf.dummyfunction("QUERY('CRIXÁS'!R5)"),"")</f>
        <v/>
      </c>
    </row>
    <row r="152" spans="1:18">
      <c r="A152" s="10">
        <f ca="1">IFERROR(__xludf.dummyfunction("QUERY(CUMARI!A5)"),1)</f>
        <v>1</v>
      </c>
      <c r="B152" s="11" t="str">
        <f ca="1">IFERROR(__xludf.dummyfunction("QUERY(CUMARI!B5)"),"MARCOS EDUARDO DA SILVA MACHADO")</f>
        <v>MARCOS EDUARDO DA SILVA MACHADO</v>
      </c>
      <c r="C152" s="11" t="str">
        <f ca="1">IFERROR(__xludf.dummyfunction("QUERY(CUMARI!C5)"),"")</f>
        <v/>
      </c>
      <c r="D152" s="11" t="str">
        <f ca="1">IFERROR(__xludf.dummyfunction("QUERY(CUMARI!D5)"),"15665782645")</f>
        <v>15665782645</v>
      </c>
      <c r="E152" s="11" t="str">
        <f ca="1">IFERROR(__xludf.dummyfunction("QUERY(CUMARI!E5)"),"MARCOS.E.0902@GMAIL.COM")</f>
        <v>MARCOS.E.0902@GMAIL.COM</v>
      </c>
      <c r="F152" s="11" t="str">
        <f ca="1">IFERROR(__xludf.dummyfunction("QUERY(CUMARI!F5)"),"")</f>
        <v/>
      </c>
      <c r="G152" s="11" t="str">
        <f ca="1">IFERROR(__xludf.dummyfunction("QUERY(CUMARI!G5)"),"(64) 984700229")</f>
        <v>(64) 984700229</v>
      </c>
      <c r="H152" s="11" t="str">
        <f ca="1">IFERROR(__xludf.dummyfunction("QUERY(CUMARI!H5)"),"SUPERIOR")</f>
        <v>SUPERIOR</v>
      </c>
      <c r="I152" s="10" t="str">
        <f ca="1">IFERROR(__xludf.dummyfunction("QUERY(CUMARI!I5)"),"DIREITO")</f>
        <v>DIREITO</v>
      </c>
      <c r="J152" s="10" t="str">
        <f ca="1">IFERROR(__xludf.dummyfunction("QUERY(CUMARI!J5)"),"NOITE")</f>
        <v>NOITE</v>
      </c>
      <c r="K152" s="10" t="str">
        <f ca="1">IFERROR(__xludf.dummyfunction("QUERY(CUMARI!K5)"),"TARDE")</f>
        <v>TARDE</v>
      </c>
      <c r="L152" s="10" t="str">
        <f ca="1">IFERROR(__xludf.dummyfunction("QUERY(CUMARI!L5)"),"CUMARI - GO")</f>
        <v>CUMARI - GO</v>
      </c>
      <c r="M152" s="10">
        <f ca="1">IFERROR(__xludf.dummyfunction("QUERY(CUMARI!M5)"),8)</f>
        <v>8</v>
      </c>
      <c r="N152" s="10" t="str">
        <f ca="1">IFERROR(__xludf.dummyfunction("QUERY(CUMARI!N5)"),"REMANEJADO")</f>
        <v>REMANEJADO</v>
      </c>
      <c r="O152" s="11" t="str">
        <f ca="1">IFERROR(__xludf.dummyfunction("QUERY(CUMARI!O5)"),"16/11 - 08:19")</f>
        <v>16/11 - 08:19</v>
      </c>
      <c r="P152" s="11" t="str">
        <f ca="1">IFERROR(__xludf.dummyfunction("QUERY(CUMARI!P5)"),"sem retorno")</f>
        <v>sem retorno</v>
      </c>
      <c r="Q152" s="11" t="str">
        <f ca="1">IFERROR(__xludf.dummyfunction("QUERY(CUMARI!Q5)"),"")</f>
        <v/>
      </c>
      <c r="R152" s="11" t="str">
        <f ca="1">IFERROR(__xludf.dummyfunction("QUERY(CUMARI!R5)"),"")</f>
        <v/>
      </c>
    </row>
    <row r="153" spans="1:18">
      <c r="A153" s="10">
        <f ca="1">IFERROR(__xludf.dummyfunction("QUERY('EDÉIA'!A5:A6)"),1)</f>
        <v>1</v>
      </c>
      <c r="B153" s="11" t="str">
        <f ca="1">IFERROR(__xludf.dummyfunction("QUERY('EDÉIA'!B5:B6)"),"SAMARA LEANDRO MARTINS MORAIS")</f>
        <v>SAMARA LEANDRO MARTINS MORAIS</v>
      </c>
      <c r="C153" s="11" t="str">
        <f ca="1">IFERROR(__xludf.dummyfunction("QUERY('EDÉIA'!C5:C6)"),"")</f>
        <v/>
      </c>
      <c r="D153" s="11" t="str">
        <f ca="1">IFERROR(__xludf.dummyfunction("QUERY('EDÉIA'!D5:D6)"),"03835660101")</f>
        <v>03835660101</v>
      </c>
      <c r="E153" s="11" t="str">
        <f ca="1">IFERROR(__xludf.dummyfunction("QUERY('EDÉIA'!E5:E6)"),"SAMARAMORAIS18@HOTMAIL.COM")</f>
        <v>SAMARAMORAIS18@HOTMAIL.COM</v>
      </c>
      <c r="F153" s="11" t="str">
        <f ca="1">IFERROR(__xludf.dummyfunction("QUERY('EDÉIA'!F5:F6)"),"(64) 99977692")</f>
        <v>(64) 99977692</v>
      </c>
      <c r="G153" s="11" t="str">
        <f ca="1">IFERROR(__xludf.dummyfunction("QUERY('EDÉIA'!G5:G6)"),"(64) 999977692")</f>
        <v>(64) 999977692</v>
      </c>
      <c r="H153" s="11" t="str">
        <f ca="1">IFERROR(__xludf.dummyfunction("QUERY('EDÉIA'!H5:H6)"),"SUPERIOR")</f>
        <v>SUPERIOR</v>
      </c>
      <c r="I153" s="10" t="str">
        <f ca="1">IFERROR(__xludf.dummyfunction("QUERY('EDÉIA'!I5:I6)"),"DIREITO")</f>
        <v>DIREITO</v>
      </c>
      <c r="J153" s="10" t="str">
        <f ca="1">IFERROR(__xludf.dummyfunction("QUERY('EDÉIA'!J5:J6)"),"NOITE")</f>
        <v>NOITE</v>
      </c>
      <c r="K153" s="10" t="str">
        <f ca="1">IFERROR(__xludf.dummyfunction("QUERY('EDÉIA'!K5:K6)"),"TARDE")</f>
        <v>TARDE</v>
      </c>
      <c r="L153" s="10" t="str">
        <f ca="1">IFERROR(__xludf.dummyfunction("QUERY('EDÉIA'!L5:L6)"),"EDÉIA - GO")</f>
        <v>EDÉIA - GO</v>
      </c>
      <c r="M153" s="10">
        <f ca="1">IFERROR(__xludf.dummyfunction("QUERY('EDÉIA'!M5:M6)"),6)</f>
        <v>6</v>
      </c>
      <c r="N153" s="10" t="str">
        <f ca="1">IFERROR(__xludf.dummyfunction("QUERY('EDÉIA'!N5:N6)"),"REMANEJADO")</f>
        <v>REMANEJADO</v>
      </c>
      <c r="O153" s="11" t="str">
        <f ca="1">IFERROR(__xludf.dummyfunction("QUERY('EDÉIA'!O5:O6)"),"16/11 - 11:36")</f>
        <v>16/11 - 11:36</v>
      </c>
      <c r="P153" s="11" t="str">
        <f ca="1">IFERROR(__xludf.dummyfunction("QUERY('EDÉIA'!P5:P6)"),"sem retorno")</f>
        <v>sem retorno</v>
      </c>
      <c r="Q153" s="11" t="str">
        <f ca="1">IFERROR(__xludf.dummyfunction("QUERY('EDÉIA'!Q5:Q6)"),"")</f>
        <v/>
      </c>
      <c r="R153" s="11" t="str">
        <f ca="1">IFERROR(__xludf.dummyfunction("QUERY('EDÉIA'!R5:R6)"),"")</f>
        <v/>
      </c>
    </row>
    <row r="154" spans="1:18">
      <c r="A154" s="10">
        <f ca="1">IFERROR(__xludf.dummyfunction("""COMPUTED_VALUE"""),2)</f>
        <v>2</v>
      </c>
      <c r="B154" s="11" t="str">
        <f ca="1">IFERROR(__xludf.dummyfunction("""COMPUTED_VALUE"""),"DANIEL PIRES DE SOUZA FILHO")</f>
        <v>DANIEL PIRES DE SOUZA FILHO</v>
      </c>
      <c r="C154" s="11"/>
      <c r="D154" s="11" t="str">
        <f ca="1">IFERROR(__xludf.dummyfunction("""COMPUTED_VALUE"""),"09385102150")</f>
        <v>09385102150</v>
      </c>
      <c r="E154" s="11" t="str">
        <f ca="1">IFERROR(__xludf.dummyfunction("""COMPUTED_VALUE"""),"DANIELPSF21@GMAIL.COM")</f>
        <v>DANIELPSF21@GMAIL.COM</v>
      </c>
      <c r="F154" s="11"/>
      <c r="G154" s="11" t="str">
        <f ca="1">IFERROR(__xludf.dummyfunction("""COMPUTED_VALUE"""),"(64) 999435935")</f>
        <v>(64) 999435935</v>
      </c>
      <c r="H154" s="11" t="str">
        <f ca="1">IFERROR(__xludf.dummyfunction("""COMPUTED_VALUE"""),"SUPERIOR")</f>
        <v>SUPERIOR</v>
      </c>
      <c r="I154" s="10" t="str">
        <f ca="1">IFERROR(__xludf.dummyfunction("""COMPUTED_VALUE"""),"DIREITO")</f>
        <v>DIREITO</v>
      </c>
      <c r="J154" s="10" t="str">
        <f ca="1">IFERROR(__xludf.dummyfunction("""COMPUTED_VALUE"""),"NOITE")</f>
        <v>NOITE</v>
      </c>
      <c r="K154" s="10" t="str">
        <f ca="1">IFERROR(__xludf.dummyfunction("""COMPUTED_VALUE"""),"TARDE")</f>
        <v>TARDE</v>
      </c>
      <c r="L154" s="10" t="str">
        <f ca="1">IFERROR(__xludf.dummyfunction("""COMPUTED_VALUE"""),"EDÉIA - GO")</f>
        <v>EDÉIA - GO</v>
      </c>
      <c r="M154" s="10">
        <f ca="1">IFERROR(__xludf.dummyfunction("""COMPUTED_VALUE"""),5)</f>
        <v>5</v>
      </c>
      <c r="N154" s="10" t="str">
        <f ca="1">IFERROR(__xludf.dummyfunction("""COMPUTED_VALUE"""),"1ª CONVOCAÇÃO")</f>
        <v>1ª CONVOCAÇÃO</v>
      </c>
      <c r="O154" s="11"/>
      <c r="P154" s="11"/>
      <c r="Q154" s="11"/>
      <c r="R154" s="11"/>
    </row>
    <row r="155" spans="1:18">
      <c r="A155" s="10">
        <f ca="1">IFERROR(__xludf.dummyfunction("QUERY('FAZENDA NOVA'!A5)"),1)</f>
        <v>1</v>
      </c>
      <c r="B155" s="11" t="str">
        <f ca="1">IFERROR(__xludf.dummyfunction("QUERY('FAZENDA NOVA'!B5)"),"ALISSY NAYHARA BARBOSA PIRES")</f>
        <v>ALISSY NAYHARA BARBOSA PIRES</v>
      </c>
      <c r="C155" s="11" t="str">
        <f ca="1">IFERROR(__xludf.dummyfunction("QUERY('FAZENDA NOVA'!C5)"),"")</f>
        <v/>
      </c>
      <c r="D155" s="11" t="str">
        <f ca="1">IFERROR(__xludf.dummyfunction("QUERY('FAZENDA NOVA'!D5)"),"70265544173")</f>
        <v>70265544173</v>
      </c>
      <c r="E155" s="11" t="str">
        <f ca="1">IFERROR(__xludf.dummyfunction("QUERY('FAZENDA NOVA'!E5)"),"ALISSYNAYHARA@HOTMAIL.COM")</f>
        <v>ALISSYNAYHARA@HOTMAIL.COM</v>
      </c>
      <c r="F155" s="11" t="str">
        <f ca="1">IFERROR(__xludf.dummyfunction("QUERY('FAZENDA NOVA'!F5)"),"")</f>
        <v/>
      </c>
      <c r="G155" s="11" t="str">
        <f ca="1">IFERROR(__xludf.dummyfunction("QUERY('FAZENDA NOVA'!G5)"),"(62) 995558492")</f>
        <v>(62) 995558492</v>
      </c>
      <c r="H155" s="11" t="str">
        <f ca="1">IFERROR(__xludf.dummyfunction("QUERY('FAZENDA NOVA'!H5)"),"SUPERIOR")</f>
        <v>SUPERIOR</v>
      </c>
      <c r="I155" s="10" t="str">
        <f ca="1">IFERROR(__xludf.dummyfunction("QUERY('FAZENDA NOVA'!I5)"),"DIREITO")</f>
        <v>DIREITO</v>
      </c>
      <c r="J155" s="10" t="str">
        <f ca="1">IFERROR(__xludf.dummyfunction("QUERY('FAZENDA NOVA'!J5)"),"NOITE")</f>
        <v>NOITE</v>
      </c>
      <c r="K155" s="10" t="str">
        <f ca="1">IFERROR(__xludf.dummyfunction("QUERY('FAZENDA NOVA'!K5)"),"TARDE")</f>
        <v>TARDE</v>
      </c>
      <c r="L155" s="10" t="str">
        <f ca="1">IFERROR(__xludf.dummyfunction("QUERY('FAZENDA NOVA'!L5)"),"FAZENDA NOVA - GO")</f>
        <v>FAZENDA NOVA - GO</v>
      </c>
      <c r="M155" s="10">
        <f ca="1">IFERROR(__xludf.dummyfunction("QUERY('FAZENDA NOVA'!M5)"),6)</f>
        <v>6</v>
      </c>
      <c r="N155" s="10" t="str">
        <f ca="1">IFERROR(__xludf.dummyfunction("QUERY('FAZENDA NOVA'!N5)"),"DISPONÍVEL")</f>
        <v>DISPONÍVEL</v>
      </c>
      <c r="O155" s="11" t="str">
        <f ca="1">IFERROR(__xludf.dummyfunction("QUERY('FAZENDA NOVA'!O5)"),"")</f>
        <v/>
      </c>
      <c r="P155" s="11" t="str">
        <f ca="1">IFERROR(__xludf.dummyfunction("QUERY('FAZENDA NOVA'!P5)"),"")</f>
        <v/>
      </c>
      <c r="Q155" s="11" t="str">
        <f ca="1">IFERROR(__xludf.dummyfunction("QUERY('FAZENDA NOVA'!Q5)"),"")</f>
        <v/>
      </c>
      <c r="R155" s="11" t="str">
        <f ca="1">IFERROR(__xludf.dummyfunction("QUERY('FAZENDA NOVA'!R5)"),"")</f>
        <v/>
      </c>
    </row>
    <row r="156" spans="1:18">
      <c r="A156" s="10">
        <f ca="1">IFERROR(__xludf.dummyfunction("QUERY('FIRMINÓPOLIS'!A5)"),1)</f>
        <v>1</v>
      </c>
      <c r="B156" s="11" t="str">
        <f ca="1">IFERROR(__xludf.dummyfunction("QUERY('FIRMINÓPOLIS'!B5)"),"IVANA RODRIGUES DA SILVA")</f>
        <v>IVANA RODRIGUES DA SILVA</v>
      </c>
      <c r="C156" s="11" t="str">
        <f ca="1">IFERROR(__xludf.dummyfunction("QUERY('FIRMINÓPOLIS'!C5)"),"")</f>
        <v/>
      </c>
      <c r="D156" s="11" t="str">
        <f ca="1">IFERROR(__xludf.dummyfunction("QUERY('FIRMINÓPOLIS'!D5)"),"70499014154")</f>
        <v>70499014154</v>
      </c>
      <c r="E156" s="11" t="str">
        <f ca="1">IFERROR(__xludf.dummyfunction("QUERY('FIRMINÓPOLIS'!E5)"),"IVANARODRIGUESDASILVA24@GMAIL.COM")</f>
        <v>IVANARODRIGUESDASILVA24@GMAIL.COM</v>
      </c>
      <c r="F156" s="11" t="str">
        <f ca="1">IFERROR(__xludf.dummyfunction("QUERY('FIRMINÓPOLIS'!F5)"),"")</f>
        <v/>
      </c>
      <c r="G156" s="11" t="str">
        <f ca="1">IFERROR(__xludf.dummyfunction("QUERY('FIRMINÓPOLIS'!G5)"),"(64) 999262857")</f>
        <v>(64) 999262857</v>
      </c>
      <c r="H156" s="11" t="str">
        <f ca="1">IFERROR(__xludf.dummyfunction("QUERY('FIRMINÓPOLIS'!H5)"),"SUPERIOR")</f>
        <v>SUPERIOR</v>
      </c>
      <c r="I156" s="10" t="str">
        <f ca="1">IFERROR(__xludf.dummyfunction("QUERY('FIRMINÓPOLIS'!I5)"),"DIREITO")</f>
        <v>DIREITO</v>
      </c>
      <c r="J156" s="10" t="str">
        <f ca="1">IFERROR(__xludf.dummyfunction("QUERY('FIRMINÓPOLIS'!J5)"),"MANHÃ")</f>
        <v>MANHÃ</v>
      </c>
      <c r="K156" s="10" t="str">
        <f ca="1">IFERROR(__xludf.dummyfunction("QUERY('FIRMINÓPOLIS'!K5)"),"TARDE")</f>
        <v>TARDE</v>
      </c>
      <c r="L156" s="10" t="str">
        <f ca="1">IFERROR(__xludf.dummyfunction("QUERY('FIRMINÓPOLIS'!L5)"),"FIRMINÓPOLIS - GO")</f>
        <v>FIRMINÓPOLIS - GO</v>
      </c>
      <c r="M156" s="10">
        <f ca="1">IFERROR(__xludf.dummyfunction("QUERY('FIRMINÓPOLIS'!M5)"),6)</f>
        <v>6</v>
      </c>
      <c r="N156" s="10" t="str">
        <f ca="1">IFERROR(__xludf.dummyfunction("QUERY('FIRMINÓPOLIS'!N5)"),"DISPONÍVEL")</f>
        <v>DISPONÍVEL</v>
      </c>
      <c r="O156" s="11" t="str">
        <f ca="1">IFERROR(__xludf.dummyfunction("QUERY('FIRMINÓPOLIS'!O5)"),"")</f>
        <v/>
      </c>
      <c r="P156" s="11" t="str">
        <f ca="1">IFERROR(__xludf.dummyfunction("QUERY('FIRMINÓPOLIS'!P5)"),"")</f>
        <v/>
      </c>
      <c r="Q156" s="11" t="str">
        <f ca="1">IFERROR(__xludf.dummyfunction("QUERY('FIRMINÓPOLIS'!Q5)"),"")</f>
        <v/>
      </c>
      <c r="R156" s="11" t="str">
        <f ca="1">IFERROR(__xludf.dummyfunction("QUERY('FIRMINÓPOLIS'!R5)"),"")</f>
        <v/>
      </c>
    </row>
    <row r="157" spans="1:18">
      <c r="A157" s="10">
        <f ca="1">IFERROR(__xludf.dummyfunction("QUERY(FORMOSA!A5:A17)"),1)</f>
        <v>1</v>
      </c>
      <c r="B157" s="11" t="str">
        <f ca="1">IFERROR(__xludf.dummyfunction("QUERY(FORMOSA!B5:B17)"),"INGRID CAROLINE SOARES CAVALCANTE")</f>
        <v>INGRID CAROLINE SOARES CAVALCANTE</v>
      </c>
      <c r="C157" s="11" t="str">
        <f ca="1">IFERROR(__xludf.dummyfunction("QUERY(FORMOSA!C5:C17)"),"3888180")</f>
        <v>3888180</v>
      </c>
      <c r="D157" s="11" t="str">
        <f ca="1">IFERROR(__xludf.dummyfunction("QUERY(FORMOSA!D5:D17)"),"07139739196")</f>
        <v>07139739196</v>
      </c>
      <c r="E157" s="11" t="str">
        <f ca="1">IFERROR(__xludf.dummyfunction("QUERY(FORMOSA!E5:E17)"),"INGRIDCAROLINE1507@GMAIL.COM")</f>
        <v>INGRIDCAROLINE1507@GMAIL.COM</v>
      </c>
      <c r="F157" s="11" t="str">
        <f ca="1">IFERROR(__xludf.dummyfunction("QUERY(FORMOSA!F5:F17)"),"(61) 36312000")</f>
        <v>(61) 36312000</v>
      </c>
      <c r="G157" s="11" t="str">
        <f ca="1">IFERROR(__xludf.dummyfunction("QUERY(FORMOSA!G5:G17)"),"(61) 993468107")</f>
        <v>(61) 993468107</v>
      </c>
      <c r="H157" s="11" t="str">
        <f ca="1">IFERROR(__xludf.dummyfunction("QUERY(FORMOSA!H5:H17)"),"SUPERIOR")</f>
        <v>SUPERIOR</v>
      </c>
      <c r="I157" s="10" t="str">
        <f ca="1">IFERROR(__xludf.dummyfunction("QUERY(FORMOSA!I5:I17)"),"DIREITO")</f>
        <v>DIREITO</v>
      </c>
      <c r="J157" s="10" t="str">
        <f ca="1">IFERROR(__xludf.dummyfunction("QUERY(FORMOSA!J5:J17)"),"NOITE")</f>
        <v>NOITE</v>
      </c>
      <c r="K157" s="10" t="str">
        <f ca="1">IFERROR(__xludf.dummyfunction("QUERY(FORMOSA!K5:K17)"),"TARDE")</f>
        <v>TARDE</v>
      </c>
      <c r="L157" s="10" t="str">
        <f ca="1">IFERROR(__xludf.dummyfunction("QUERY(FORMOSA!L5:L17)"),"FORMOSA - GO")</f>
        <v>FORMOSA - GO</v>
      </c>
      <c r="M157" s="10">
        <f ca="1">IFERROR(__xludf.dummyfunction("QUERY(FORMOSA!M5:M17)"),5)</f>
        <v>5</v>
      </c>
      <c r="N157" s="10" t="str">
        <f ca="1">IFERROR(__xludf.dummyfunction("QUERY(FORMOSA!N5:N17)"),"CONTRATADO")</f>
        <v>CONTRATADO</v>
      </c>
      <c r="O157" s="11" t="str">
        <f ca="1">IFERROR(__xludf.dummyfunction("QUERY(FORMOSA!O5:O17)"),"16/11 - 11:38")</f>
        <v>16/11 - 11:38</v>
      </c>
      <c r="P157" s="11" t="str">
        <f ca="1">IFERROR(__xludf.dummyfunction("QUERY(FORMOSA!P5:P17)"),"")</f>
        <v/>
      </c>
      <c r="Q157" s="11" t="str">
        <f ca="1">IFERROR(__xludf.dummyfunction("QUERY(FORMOSA!Q5:Q17)"),"")</f>
        <v/>
      </c>
      <c r="R157" s="11" t="str">
        <f ca="1">IFERROR(__xludf.dummyfunction("QUERY(FORMOSA!R5:R17)"),"")</f>
        <v/>
      </c>
    </row>
    <row r="158" spans="1:18">
      <c r="A158" s="10">
        <f ca="1">IFERROR(__xludf.dummyfunction("""COMPUTED_VALUE"""),2)</f>
        <v>2</v>
      </c>
      <c r="B158" s="11" t="str">
        <f ca="1">IFERROR(__xludf.dummyfunction("""COMPUTED_VALUE"""),"DAVID LOPES DOS SANTOS")</f>
        <v>DAVID LOPES DOS SANTOS</v>
      </c>
      <c r="C158" s="11"/>
      <c r="D158" s="11" t="str">
        <f ca="1">IFERROR(__xludf.dummyfunction("""COMPUTED_VALUE"""),"10237116138")</f>
        <v>10237116138</v>
      </c>
      <c r="E158" s="11" t="str">
        <f ca="1">IFERROR(__xludf.dummyfunction("""COMPUTED_VALUE"""),"DAVIDSANTO207@GMAIL.COM")</f>
        <v>DAVIDSANTO207@GMAIL.COM</v>
      </c>
      <c r="F158" s="11"/>
      <c r="G158" s="11" t="str">
        <f ca="1">IFERROR(__xludf.dummyfunction("""COMPUTED_VALUE"""),"(61) 996831475")</f>
        <v>(61) 996831475</v>
      </c>
      <c r="H158" s="11" t="str">
        <f ca="1">IFERROR(__xludf.dummyfunction("""COMPUTED_VALUE"""),"SUPERIOR")</f>
        <v>SUPERIOR</v>
      </c>
      <c r="I158" s="10" t="str">
        <f ca="1">IFERROR(__xludf.dummyfunction("""COMPUTED_VALUE"""),"DIREITO")</f>
        <v>DIREITO</v>
      </c>
      <c r="J158" s="10" t="str">
        <f ca="1">IFERROR(__xludf.dummyfunction("""COMPUTED_VALUE"""),"NOITE")</f>
        <v>NOITE</v>
      </c>
      <c r="K158" s="10" t="str">
        <f ca="1">IFERROR(__xludf.dummyfunction("""COMPUTED_VALUE"""),"TARDE")</f>
        <v>TARDE</v>
      </c>
      <c r="L158" s="10" t="str">
        <f ca="1">IFERROR(__xludf.dummyfunction("""COMPUTED_VALUE"""),"FORMOSA - GO")</f>
        <v>FORMOSA - GO</v>
      </c>
      <c r="M158" s="10">
        <f ca="1">IFERROR(__xludf.dummyfunction("""COMPUTED_VALUE"""),5)</f>
        <v>5</v>
      </c>
      <c r="N158" s="10" t="str">
        <f ca="1">IFERROR(__xludf.dummyfunction("""COMPUTED_VALUE"""),"DISPONÍVEL")</f>
        <v>DISPONÍVEL</v>
      </c>
      <c r="O158" s="11"/>
      <c r="P158" s="11"/>
      <c r="Q158" s="11"/>
      <c r="R158" s="11"/>
    </row>
    <row r="159" spans="1:18">
      <c r="A159" s="10">
        <f ca="1">IFERROR(__xludf.dummyfunction("""COMPUTED_VALUE"""),3)</f>
        <v>3</v>
      </c>
      <c r="B159" s="11" t="str">
        <f ca="1">IFERROR(__xludf.dummyfunction("""COMPUTED_VALUE"""),"LARISSA GOMES RIBEIRO ROSA")</f>
        <v>LARISSA GOMES RIBEIRO ROSA</v>
      </c>
      <c r="C159" s="11"/>
      <c r="D159" s="11" t="str">
        <f ca="1">IFERROR(__xludf.dummyfunction("""COMPUTED_VALUE"""),"08550293156")</f>
        <v>08550293156</v>
      </c>
      <c r="E159" s="11" t="str">
        <f ca="1">IFERROR(__xludf.dummyfunction("""COMPUTED_VALUE"""),"LARISSAGGOMESR@GMAIL.COM")</f>
        <v>LARISSAGGOMESR@GMAIL.COM</v>
      </c>
      <c r="F159" s="11" t="str">
        <f ca="1">IFERROR(__xludf.dummyfunction("""COMPUTED_VALUE"""),"(61) 96922884")</f>
        <v>(61) 96922884</v>
      </c>
      <c r="G159" s="11" t="str">
        <f ca="1">IFERROR(__xludf.dummyfunction("""COMPUTED_VALUE"""),"(61) 996922884")</f>
        <v>(61) 996922884</v>
      </c>
      <c r="H159" s="11" t="str">
        <f ca="1">IFERROR(__xludf.dummyfunction("""COMPUTED_VALUE"""),"SUPERIOR")</f>
        <v>SUPERIOR</v>
      </c>
      <c r="I159" s="10" t="str">
        <f ca="1">IFERROR(__xludf.dummyfunction("""COMPUTED_VALUE"""),"DIREITO")</f>
        <v>DIREITO</v>
      </c>
      <c r="J159" s="10" t="str">
        <f ca="1">IFERROR(__xludf.dummyfunction("""COMPUTED_VALUE"""),"NOITE")</f>
        <v>NOITE</v>
      </c>
      <c r="K159" s="10" t="str">
        <f ca="1">IFERROR(__xludf.dummyfunction("""COMPUTED_VALUE"""),"TARDE")</f>
        <v>TARDE</v>
      </c>
      <c r="L159" s="10" t="str">
        <f ca="1">IFERROR(__xludf.dummyfunction("""COMPUTED_VALUE"""),"FORMOSA - GO")</f>
        <v>FORMOSA - GO</v>
      </c>
      <c r="M159" s="10">
        <f ca="1">IFERROR(__xludf.dummyfunction("""COMPUTED_VALUE"""),5)</f>
        <v>5</v>
      </c>
      <c r="N159" s="10" t="str">
        <f ca="1">IFERROR(__xludf.dummyfunction("""COMPUTED_VALUE"""),"DISPONÍVEL")</f>
        <v>DISPONÍVEL</v>
      </c>
      <c r="O159" s="11"/>
      <c r="P159" s="11"/>
      <c r="Q159" s="11"/>
      <c r="R159" s="11"/>
    </row>
    <row r="160" spans="1:18">
      <c r="A160" s="10">
        <f ca="1">IFERROR(__xludf.dummyfunction("""COMPUTED_VALUE"""),4)</f>
        <v>4</v>
      </c>
      <c r="B160" s="11" t="str">
        <f ca="1">IFERROR(__xludf.dummyfunction("""COMPUTED_VALUE"""),"PAMELA CRISTINA RODRIGUES PEREIRA")</f>
        <v>PAMELA CRISTINA RODRIGUES PEREIRA</v>
      </c>
      <c r="C160" s="11"/>
      <c r="D160" s="11" t="str">
        <f ca="1">IFERROR(__xludf.dummyfunction("""COMPUTED_VALUE"""),"13729332635")</f>
        <v>13729332635</v>
      </c>
      <c r="E160" s="11" t="str">
        <f ca="1">IFERROR(__xludf.dummyfunction("""COMPUTED_VALUE"""),"PAMELLACRISR@GMAIL.COM")</f>
        <v>PAMELLACRISR@GMAIL.COM</v>
      </c>
      <c r="F160" s="11" t="str">
        <f ca="1">IFERROR(__xludf.dummyfunction("""COMPUTED_VALUE"""),"(38) 99938453")</f>
        <v>(38) 99938453</v>
      </c>
      <c r="G160" s="11" t="str">
        <f ca="1">IFERROR(__xludf.dummyfunction("""COMPUTED_VALUE"""),"(38) 999384531")</f>
        <v>(38) 999384531</v>
      </c>
      <c r="H160" s="11" t="str">
        <f ca="1">IFERROR(__xludf.dummyfunction("""COMPUTED_VALUE"""),"SUPERIOR")</f>
        <v>SUPERIOR</v>
      </c>
      <c r="I160" s="10" t="str">
        <f ca="1">IFERROR(__xludf.dummyfunction("""COMPUTED_VALUE"""),"DIREITO")</f>
        <v>DIREITO</v>
      </c>
      <c r="J160" s="10" t="str">
        <f ca="1">IFERROR(__xludf.dummyfunction("""COMPUTED_VALUE"""),"NOITE")</f>
        <v>NOITE</v>
      </c>
      <c r="K160" s="10" t="str">
        <f ca="1">IFERROR(__xludf.dummyfunction("""COMPUTED_VALUE"""),"TARDE")</f>
        <v>TARDE</v>
      </c>
      <c r="L160" s="10" t="str">
        <f ca="1">IFERROR(__xludf.dummyfunction("""COMPUTED_VALUE"""),"FORMOSA - GO")</f>
        <v>FORMOSA - GO</v>
      </c>
      <c r="M160" s="10">
        <f ca="1">IFERROR(__xludf.dummyfunction("""COMPUTED_VALUE"""),8)</f>
        <v>8</v>
      </c>
      <c r="N160" s="10" t="str">
        <f ca="1">IFERROR(__xludf.dummyfunction("""COMPUTED_VALUE"""),"CONTRATADO")</f>
        <v>CONTRATADO</v>
      </c>
      <c r="O160" s="11"/>
      <c r="P160" s="11"/>
      <c r="Q160" s="11"/>
      <c r="R160" s="11"/>
    </row>
    <row r="161" spans="1:18">
      <c r="A161" s="10">
        <f ca="1">IFERROR(__xludf.dummyfunction("""COMPUTED_VALUE"""),5)</f>
        <v>5</v>
      </c>
      <c r="B161" s="11" t="str">
        <f ca="1">IFERROR(__xludf.dummyfunction("""COMPUTED_VALUE"""),"ALINE RIBEIRO DE SOUSA")</f>
        <v>ALINE RIBEIRO DE SOUSA</v>
      </c>
      <c r="C161" s="11" t="str">
        <f ca="1">IFERROR(__xludf.dummyfunction("""COMPUTED_VALUE"""),"4964445")</f>
        <v>4964445</v>
      </c>
      <c r="D161" s="11" t="str">
        <f ca="1">IFERROR(__xludf.dummyfunction("""COMPUTED_VALUE"""),"01487158181")</f>
        <v>01487158181</v>
      </c>
      <c r="E161" s="11" t="str">
        <f ca="1">IFERROR(__xludf.dummyfunction("""COMPUTED_VALUE"""),"LINEGUICESARFSA12@GMAIL.COM")</f>
        <v>LINEGUICESARFSA12@GMAIL.COM</v>
      </c>
      <c r="F161" s="11" t="str">
        <f ca="1">IFERROR(__xludf.dummyfunction("""COMPUTED_VALUE"""),"(61) 98732647")</f>
        <v>(61) 98732647</v>
      </c>
      <c r="G161" s="11" t="str">
        <f ca="1">IFERROR(__xludf.dummyfunction("""COMPUTED_VALUE"""),"(61) 996472278")</f>
        <v>(61) 996472278</v>
      </c>
      <c r="H161" s="11" t="str">
        <f ca="1">IFERROR(__xludf.dummyfunction("""COMPUTED_VALUE"""),"SUPERIOR")</f>
        <v>SUPERIOR</v>
      </c>
      <c r="I161" s="10" t="str">
        <f ca="1">IFERROR(__xludf.dummyfunction("""COMPUTED_VALUE"""),"DIREITO")</f>
        <v>DIREITO</v>
      </c>
      <c r="J161" s="10" t="str">
        <f ca="1">IFERROR(__xludf.dummyfunction("""COMPUTED_VALUE"""),"NOITE")</f>
        <v>NOITE</v>
      </c>
      <c r="K161" s="10" t="str">
        <f ca="1">IFERROR(__xludf.dummyfunction("""COMPUTED_VALUE"""),"TARDE")</f>
        <v>TARDE</v>
      </c>
      <c r="L161" s="10" t="str">
        <f ca="1">IFERROR(__xludf.dummyfunction("""COMPUTED_VALUE"""),"FORMOSA - GO")</f>
        <v>FORMOSA - GO</v>
      </c>
      <c r="M161" s="10">
        <f ca="1">IFERROR(__xludf.dummyfunction("""COMPUTED_VALUE"""),5)</f>
        <v>5</v>
      </c>
      <c r="N161" s="10" t="str">
        <f ca="1">IFERROR(__xludf.dummyfunction("""COMPUTED_VALUE"""),"CONTRATADO")</f>
        <v>CONTRATADO</v>
      </c>
      <c r="O161" s="11"/>
      <c r="P161" s="11"/>
      <c r="Q161" s="11"/>
      <c r="R161" s="11"/>
    </row>
    <row r="162" spans="1:18">
      <c r="A162" s="10">
        <f ca="1">IFERROR(__xludf.dummyfunction("""COMPUTED_VALUE"""),6)</f>
        <v>6</v>
      </c>
      <c r="B162" s="11" t="str">
        <f ca="1">IFERROR(__xludf.dummyfunction("""COMPUTED_VALUE"""),"BRENDOW SIQUEIRA ALMEIDA")</f>
        <v>BRENDOW SIQUEIRA ALMEIDA</v>
      </c>
      <c r="C162" s="11" t="str">
        <f ca="1">IFERROR(__xludf.dummyfunction("""COMPUTED_VALUE"""),"6094684")</f>
        <v>6094684</v>
      </c>
      <c r="D162" s="11" t="str">
        <f ca="1">IFERROR(__xludf.dummyfunction("""COMPUTED_VALUE"""),"70192756133")</f>
        <v>70192756133</v>
      </c>
      <c r="E162" s="11" t="str">
        <f ca="1">IFERROR(__xludf.dummyfunction("""COMPUTED_VALUE"""),"THEBRENDOW18@GMAIL.COM")</f>
        <v>THEBRENDOW18@GMAIL.COM</v>
      </c>
      <c r="F162" s="11" t="str">
        <f ca="1">IFERROR(__xludf.dummyfunction("""COMPUTED_VALUE"""),"(61) 98195008")</f>
        <v>(61) 98195008</v>
      </c>
      <c r="G162" s="11" t="str">
        <f ca="1">IFERROR(__xludf.dummyfunction("""COMPUTED_VALUE"""),"(61) 998195008")</f>
        <v>(61) 998195008</v>
      </c>
      <c r="H162" s="11" t="str">
        <f ca="1">IFERROR(__xludf.dummyfunction("""COMPUTED_VALUE"""),"SUPERIOR")</f>
        <v>SUPERIOR</v>
      </c>
      <c r="I162" s="10" t="str">
        <f ca="1">IFERROR(__xludf.dummyfunction("""COMPUTED_VALUE"""),"DIREITO")</f>
        <v>DIREITO</v>
      </c>
      <c r="J162" s="10" t="str">
        <f ca="1">IFERROR(__xludf.dummyfunction("""COMPUTED_VALUE"""),"NOITE")</f>
        <v>NOITE</v>
      </c>
      <c r="K162" s="10" t="str">
        <f ca="1">IFERROR(__xludf.dummyfunction("""COMPUTED_VALUE"""),"TARDE")</f>
        <v>TARDE</v>
      </c>
      <c r="L162" s="10" t="str">
        <f ca="1">IFERROR(__xludf.dummyfunction("""COMPUTED_VALUE"""),"FORMOSA - GO")</f>
        <v>FORMOSA - GO</v>
      </c>
      <c r="M162" s="10">
        <f ca="1">IFERROR(__xludf.dummyfunction("""COMPUTED_VALUE"""),9)</f>
        <v>9</v>
      </c>
      <c r="N162" s="10" t="str">
        <f ca="1">IFERROR(__xludf.dummyfunction("""COMPUTED_VALUE"""),"DISPONÍVEL")</f>
        <v>DISPONÍVEL</v>
      </c>
      <c r="O162" s="11"/>
      <c r="P162" s="11"/>
      <c r="Q162" s="11"/>
      <c r="R162" s="11"/>
    </row>
    <row r="163" spans="1:18">
      <c r="A163" s="10">
        <f ca="1">IFERROR(__xludf.dummyfunction("""COMPUTED_VALUE"""),7)</f>
        <v>7</v>
      </c>
      <c r="B163" s="11" t="str">
        <f ca="1">IFERROR(__xludf.dummyfunction("""COMPUTED_VALUE"""),"WEDER JOSE RODRIGUES ROSA")</f>
        <v>WEDER JOSE RODRIGUES ROSA</v>
      </c>
      <c r="C163" s="11" t="str">
        <f ca="1">IFERROR(__xludf.dummyfunction("""COMPUTED_VALUE"""),"2701909")</f>
        <v>2701909</v>
      </c>
      <c r="D163" s="11" t="str">
        <f ca="1">IFERROR(__xludf.dummyfunction("""COMPUTED_VALUE"""),"02716343160")</f>
        <v>02716343160</v>
      </c>
      <c r="E163" s="11" t="str">
        <f ca="1">IFERROR(__xludf.dummyfunction("""COMPUTED_VALUE"""),"WEDERROSA@GMAIL.COM")</f>
        <v>WEDERROSA@GMAIL.COM</v>
      </c>
      <c r="F163" s="11"/>
      <c r="G163" s="11" t="str">
        <f ca="1">IFERROR(__xludf.dummyfunction("""COMPUTED_VALUE"""),"(61) 981399432")</f>
        <v>(61) 981399432</v>
      </c>
      <c r="H163" s="11" t="str">
        <f ca="1">IFERROR(__xludf.dummyfunction("""COMPUTED_VALUE"""),"SUPERIOR")</f>
        <v>SUPERIOR</v>
      </c>
      <c r="I163" s="10" t="str">
        <f ca="1">IFERROR(__xludf.dummyfunction("""COMPUTED_VALUE"""),"DIREITO")</f>
        <v>DIREITO</v>
      </c>
      <c r="J163" s="10" t="str">
        <f ca="1">IFERROR(__xludf.dummyfunction("""COMPUTED_VALUE"""),"NOITE")</f>
        <v>NOITE</v>
      </c>
      <c r="K163" s="10" t="str">
        <f ca="1">IFERROR(__xludf.dummyfunction("""COMPUTED_VALUE"""),"TARDE")</f>
        <v>TARDE</v>
      </c>
      <c r="L163" s="10" t="str">
        <f ca="1">IFERROR(__xludf.dummyfunction("""COMPUTED_VALUE"""),"FORMOSA - GO")</f>
        <v>FORMOSA - GO</v>
      </c>
      <c r="M163" s="10">
        <f ca="1">IFERROR(__xludf.dummyfunction("""COMPUTED_VALUE"""),9)</f>
        <v>9</v>
      </c>
      <c r="N163" s="10" t="str">
        <f ca="1">IFERROR(__xludf.dummyfunction("""COMPUTED_VALUE"""),"DESCLASSIFICADO")</f>
        <v>DESCLASSIFICADO</v>
      </c>
      <c r="O163" s="11"/>
      <c r="P163" s="11"/>
      <c r="Q163" s="11"/>
      <c r="R163" s="11"/>
    </row>
    <row r="164" spans="1:18">
      <c r="A164" s="10">
        <f ca="1">IFERROR(__xludf.dummyfunction("""COMPUTED_VALUE"""),8)</f>
        <v>8</v>
      </c>
      <c r="B164" s="11" t="str">
        <f ca="1">IFERROR(__xludf.dummyfunction("""COMPUTED_VALUE"""),"KAIO DE JESUS RIBEIRO MENDONCA")</f>
        <v>KAIO DE JESUS RIBEIRO MENDONCA</v>
      </c>
      <c r="C164" s="11" t="str">
        <f ca="1">IFERROR(__xludf.dummyfunction("""COMPUTED_VALUE"""),"6844161")</f>
        <v>6844161</v>
      </c>
      <c r="D164" s="11" t="str">
        <f ca="1">IFERROR(__xludf.dummyfunction("""COMPUTED_VALUE"""),"05816714147")</f>
        <v>05816714147</v>
      </c>
      <c r="E164" s="11" t="str">
        <f ca="1">IFERROR(__xludf.dummyfunction("""COMPUTED_VALUE"""),"KAIORMENDONCA01@GMAIL.COM")</f>
        <v>KAIORMENDONCA01@GMAIL.COM</v>
      </c>
      <c r="F164" s="11" t="str">
        <f ca="1">IFERROR(__xludf.dummyfunction("""COMPUTED_VALUE"""),"(61) 99960615")</f>
        <v>(61) 99960615</v>
      </c>
      <c r="G164" s="11" t="str">
        <f ca="1">IFERROR(__xludf.dummyfunction("""COMPUTED_VALUE"""),"(61) 998394818")</f>
        <v>(61) 998394818</v>
      </c>
      <c r="H164" s="11" t="str">
        <f ca="1">IFERROR(__xludf.dummyfunction("""COMPUTED_VALUE"""),"SUPERIOR")</f>
        <v>SUPERIOR</v>
      </c>
      <c r="I164" s="10" t="str">
        <f ca="1">IFERROR(__xludf.dummyfunction("""COMPUTED_VALUE"""),"DIREITO")</f>
        <v>DIREITO</v>
      </c>
      <c r="J164" s="10" t="str">
        <f ca="1">IFERROR(__xludf.dummyfunction("""COMPUTED_VALUE"""),"NOITE")</f>
        <v>NOITE</v>
      </c>
      <c r="K164" s="10" t="str">
        <f ca="1">IFERROR(__xludf.dummyfunction("""COMPUTED_VALUE"""),"TARDE")</f>
        <v>TARDE</v>
      </c>
      <c r="L164" s="10" t="str">
        <f ca="1">IFERROR(__xludf.dummyfunction("""COMPUTED_VALUE"""),"FORMOSA - GO")</f>
        <v>FORMOSA - GO</v>
      </c>
      <c r="M164" s="10">
        <f ca="1">IFERROR(__xludf.dummyfunction("""COMPUTED_VALUE"""),8)</f>
        <v>8</v>
      </c>
      <c r="N164" s="10" t="str">
        <f ca="1">IFERROR(__xludf.dummyfunction("""COMPUTED_VALUE"""),"CONTRATADO")</f>
        <v>CONTRATADO</v>
      </c>
      <c r="O164" s="11"/>
      <c r="P164" s="11"/>
      <c r="Q164" s="11"/>
      <c r="R164" s="11"/>
    </row>
    <row r="165" spans="1:18">
      <c r="A165" s="10">
        <f ca="1">IFERROR(__xludf.dummyfunction("""COMPUTED_VALUE"""),9)</f>
        <v>9</v>
      </c>
      <c r="B165" s="11" t="str">
        <f ca="1">IFERROR(__xludf.dummyfunction("""COMPUTED_VALUE"""),"GABRIELA VALENTE ARAUJO")</f>
        <v>GABRIELA VALENTE ARAUJO</v>
      </c>
      <c r="C165" s="11"/>
      <c r="D165" s="11" t="str">
        <f ca="1">IFERROR(__xludf.dummyfunction("""COMPUTED_VALUE"""),"08423409120")</f>
        <v>08423409120</v>
      </c>
      <c r="E165" s="11" t="str">
        <f ca="1">IFERROR(__xludf.dummyfunction("""COMPUTED_VALUE"""),"GABIVALENTEA@GMAIL.COM")</f>
        <v>GABIVALENTEA@GMAIL.COM</v>
      </c>
      <c r="F165" s="11" t="str">
        <f ca="1">IFERROR(__xludf.dummyfunction("""COMPUTED_VALUE"""),"(61) 99698596")</f>
        <v>(61) 99698596</v>
      </c>
      <c r="G165" s="11" t="str">
        <f ca="1">IFERROR(__xludf.dummyfunction("""COMPUTED_VALUE"""),"(61) 999323410")</f>
        <v>(61) 999323410</v>
      </c>
      <c r="H165" s="11" t="str">
        <f ca="1">IFERROR(__xludf.dummyfunction("""COMPUTED_VALUE"""),"SUPERIOR")</f>
        <v>SUPERIOR</v>
      </c>
      <c r="I165" s="10" t="str">
        <f ca="1">IFERROR(__xludf.dummyfunction("""COMPUTED_VALUE"""),"DIREITO")</f>
        <v>DIREITO</v>
      </c>
      <c r="J165" s="10" t="str">
        <f ca="1">IFERROR(__xludf.dummyfunction("""COMPUTED_VALUE"""),"NOITE")</f>
        <v>NOITE</v>
      </c>
      <c r="K165" s="10" t="str">
        <f ca="1">IFERROR(__xludf.dummyfunction("""COMPUTED_VALUE"""),"TARDE")</f>
        <v>TARDE</v>
      </c>
      <c r="L165" s="10" t="str">
        <f ca="1">IFERROR(__xludf.dummyfunction("""COMPUTED_VALUE"""),"FORMOSA - GO")</f>
        <v>FORMOSA - GO</v>
      </c>
      <c r="M165" s="10">
        <f ca="1">IFERROR(__xludf.dummyfunction("""COMPUTED_VALUE"""),5)</f>
        <v>5</v>
      </c>
      <c r="N165" s="10" t="str">
        <f ca="1">IFERROR(__xludf.dummyfunction("""COMPUTED_VALUE"""),"DISPONÍVEL")</f>
        <v>DISPONÍVEL</v>
      </c>
      <c r="O165" s="11"/>
      <c r="P165" s="11"/>
      <c r="Q165" s="11"/>
      <c r="R165" s="11"/>
    </row>
    <row r="166" spans="1:18">
      <c r="A166" s="10">
        <f ca="1">IFERROR(__xludf.dummyfunction("""COMPUTED_VALUE"""),10)</f>
        <v>10</v>
      </c>
      <c r="B166" s="11" t="str">
        <f ca="1">IFERROR(__xludf.dummyfunction("""COMPUTED_VALUE"""),"MARIA PAULA MENDES OLIVEIRA")</f>
        <v>MARIA PAULA MENDES OLIVEIRA</v>
      </c>
      <c r="C166" s="11"/>
      <c r="D166" s="11" t="str">
        <f ca="1">IFERROR(__xludf.dummyfunction("""COMPUTED_VALUE"""),"09518433119")</f>
        <v>09518433119</v>
      </c>
      <c r="E166" s="11" t="str">
        <f ca="1">IFERROR(__xludf.dummyfunction("""COMPUTED_VALUE"""),"MPPAULAOLIVEIRA25945@GMAIL.COM")</f>
        <v>MPPAULAOLIVEIRA25945@GMAIL.COM</v>
      </c>
      <c r="F166" s="11"/>
      <c r="G166" s="11" t="str">
        <f ca="1">IFERROR(__xludf.dummyfunction("""COMPUTED_VALUE"""),"(61) 998361356")</f>
        <v>(61) 998361356</v>
      </c>
      <c r="H166" s="11" t="str">
        <f ca="1">IFERROR(__xludf.dummyfunction("""COMPUTED_VALUE"""),"SUPERIOR")</f>
        <v>SUPERIOR</v>
      </c>
      <c r="I166" s="10" t="str">
        <f ca="1">IFERROR(__xludf.dummyfunction("""COMPUTED_VALUE"""),"DIREITO")</f>
        <v>DIREITO</v>
      </c>
      <c r="J166" s="10" t="str">
        <f ca="1">IFERROR(__xludf.dummyfunction("""COMPUTED_VALUE"""),"NOITE")</f>
        <v>NOITE</v>
      </c>
      <c r="K166" s="10" t="str">
        <f ca="1">IFERROR(__xludf.dummyfunction("""COMPUTED_VALUE"""),"TARDE")</f>
        <v>TARDE</v>
      </c>
      <c r="L166" s="10" t="str">
        <f ca="1">IFERROR(__xludf.dummyfunction("""COMPUTED_VALUE"""),"FORMOSA - GO")</f>
        <v>FORMOSA - GO</v>
      </c>
      <c r="M166" s="10">
        <f ca="1">IFERROR(__xludf.dummyfunction("""COMPUTED_VALUE"""),6)</f>
        <v>6</v>
      </c>
      <c r="N166" s="10" t="str">
        <f ca="1">IFERROR(__xludf.dummyfunction("""COMPUTED_VALUE"""),"DISPONÍVEL")</f>
        <v>DISPONÍVEL</v>
      </c>
      <c r="O166" s="11"/>
      <c r="P166" s="11"/>
      <c r="Q166" s="11"/>
      <c r="R166" s="11"/>
    </row>
    <row r="167" spans="1:18">
      <c r="A167" s="10">
        <f ca="1">IFERROR(__xludf.dummyfunction("""COMPUTED_VALUE"""),11)</f>
        <v>11</v>
      </c>
      <c r="B167" s="11" t="str">
        <f ca="1">IFERROR(__xludf.dummyfunction("""COMPUTED_VALUE"""),"ALEXANDRE SCHLUKAT PIMENTEL")</f>
        <v>ALEXANDRE SCHLUKAT PIMENTEL</v>
      </c>
      <c r="C167" s="11" t="str">
        <f ca="1">IFERROR(__xludf.dummyfunction("""COMPUTED_VALUE"""),"6588252")</f>
        <v>6588252</v>
      </c>
      <c r="D167" s="11" t="str">
        <f ca="1">IFERROR(__xludf.dummyfunction("""COMPUTED_VALUE"""),"03913061118")</f>
        <v>03913061118</v>
      </c>
      <c r="E167" s="11" t="str">
        <f ca="1">IFERROR(__xludf.dummyfunction("""COMPUTED_VALUE"""),"XANDE.PIMENTEL@GMAIL.COM")</f>
        <v>XANDE.PIMENTEL@GMAIL.COM</v>
      </c>
      <c r="F167" s="11"/>
      <c r="G167" s="11" t="str">
        <f ca="1">IFERROR(__xludf.dummyfunction("""COMPUTED_VALUE"""),"(61) 999988461")</f>
        <v>(61) 999988461</v>
      </c>
      <c r="H167" s="11" t="str">
        <f ca="1">IFERROR(__xludf.dummyfunction("""COMPUTED_VALUE"""),"SUPERIOR")</f>
        <v>SUPERIOR</v>
      </c>
      <c r="I167" s="10" t="str">
        <f ca="1">IFERROR(__xludf.dummyfunction("""COMPUTED_VALUE"""),"DIREITO")</f>
        <v>DIREITO</v>
      </c>
      <c r="J167" s="10" t="str">
        <f ca="1">IFERROR(__xludf.dummyfunction("""COMPUTED_VALUE"""),"NOITE")</f>
        <v>NOITE</v>
      </c>
      <c r="K167" s="10" t="str">
        <f ca="1">IFERROR(__xludf.dummyfunction("""COMPUTED_VALUE"""),"TARDE")</f>
        <v>TARDE</v>
      </c>
      <c r="L167" s="10" t="str">
        <f ca="1">IFERROR(__xludf.dummyfunction("""COMPUTED_VALUE"""),"FORMOSA - GO")</f>
        <v>FORMOSA - GO</v>
      </c>
      <c r="M167" s="10">
        <f ca="1">IFERROR(__xludf.dummyfunction("""COMPUTED_VALUE"""),8)</f>
        <v>8</v>
      </c>
      <c r="N167" s="10" t="str">
        <f ca="1">IFERROR(__xludf.dummyfunction("""COMPUTED_VALUE"""),"DISPONÍVEL")</f>
        <v>DISPONÍVEL</v>
      </c>
      <c r="O167" s="11"/>
      <c r="P167" s="11"/>
      <c r="Q167" s="11"/>
      <c r="R167" s="11"/>
    </row>
    <row r="168" spans="1:18">
      <c r="A168" s="10">
        <f ca="1">IFERROR(__xludf.dummyfunction("""COMPUTED_VALUE"""),12)</f>
        <v>12</v>
      </c>
      <c r="B168" s="11" t="str">
        <f ca="1">IFERROR(__xludf.dummyfunction("""COMPUTED_VALUE"""),"FERNANDA ALVES DE ALCANTARA")</f>
        <v>FERNANDA ALVES DE ALCANTARA</v>
      </c>
      <c r="C168" s="11"/>
      <c r="D168" s="11" t="str">
        <f ca="1">IFERROR(__xludf.dummyfunction("""COMPUTED_VALUE"""),"05226194102")</f>
        <v>05226194102</v>
      </c>
      <c r="E168" s="11" t="str">
        <f ca="1">IFERROR(__xludf.dummyfunction("""COMPUTED_VALUE"""),"FERNANDAALVES03@ICLOUD.COM")</f>
        <v>FERNANDAALVES03@ICLOUD.COM</v>
      </c>
      <c r="F168" s="11" t="str">
        <f ca="1">IFERROR(__xludf.dummyfunction("""COMPUTED_VALUE"""),"(61) 36314055")</f>
        <v>(61) 36314055</v>
      </c>
      <c r="G168" s="11" t="str">
        <f ca="1">IFERROR(__xludf.dummyfunction("""COMPUTED_VALUE"""),"(61) 996138095")</f>
        <v>(61) 996138095</v>
      </c>
      <c r="H168" s="11" t="str">
        <f ca="1">IFERROR(__xludf.dummyfunction("""COMPUTED_VALUE"""),"SUPERIOR")</f>
        <v>SUPERIOR</v>
      </c>
      <c r="I168" s="10" t="str">
        <f ca="1">IFERROR(__xludf.dummyfunction("""COMPUTED_VALUE"""),"DIREITO")</f>
        <v>DIREITO</v>
      </c>
      <c r="J168" s="10" t="str">
        <f ca="1">IFERROR(__xludf.dummyfunction("""COMPUTED_VALUE"""),"NOITE")</f>
        <v>NOITE</v>
      </c>
      <c r="K168" s="10" t="str">
        <f ca="1">IFERROR(__xludf.dummyfunction("""COMPUTED_VALUE"""),"TARDE")</f>
        <v>TARDE</v>
      </c>
      <c r="L168" s="10" t="str">
        <f ca="1">IFERROR(__xludf.dummyfunction("""COMPUTED_VALUE"""),"FORMOSA - GO")</f>
        <v>FORMOSA - GO</v>
      </c>
      <c r="M168" s="10">
        <f ca="1">IFERROR(__xludf.dummyfunction("""COMPUTED_VALUE"""),5)</f>
        <v>5</v>
      </c>
      <c r="N168" s="10" t="str">
        <f ca="1">IFERROR(__xludf.dummyfunction("""COMPUTED_VALUE"""),"DISPONÍVEL")</f>
        <v>DISPONÍVEL</v>
      </c>
      <c r="O168" s="11"/>
      <c r="P168" s="11"/>
      <c r="Q168" s="11"/>
      <c r="R168" s="11"/>
    </row>
    <row r="169" spans="1:18">
      <c r="A169" s="10">
        <f ca="1">IFERROR(__xludf.dummyfunction("""COMPUTED_VALUE"""),13)</f>
        <v>13</v>
      </c>
      <c r="B169" s="11" t="str">
        <f ca="1">IFERROR(__xludf.dummyfunction("""COMPUTED_VALUE"""),"ANA GABRIELLA SANTANA CLARO")</f>
        <v>ANA GABRIELLA SANTANA CLARO</v>
      </c>
      <c r="C169" s="11" t="str">
        <f ca="1">IFERROR(__xludf.dummyfunction("""COMPUTED_VALUE"""),"3753971")</f>
        <v>3753971</v>
      </c>
      <c r="D169" s="11" t="str">
        <f ca="1">IFERROR(__xludf.dummyfunction("""COMPUTED_VALUE"""),"05274371159")</f>
        <v>05274371159</v>
      </c>
      <c r="E169" s="11" t="str">
        <f ca="1">IFERROR(__xludf.dummyfunction("""COMPUTED_VALUE"""),"AGABRIELLA.SATANA@GMAIL.COM")</f>
        <v>AGABRIELLA.SATANA@GMAIL.COM</v>
      </c>
      <c r="F169" s="11" t="str">
        <f ca="1">IFERROR(__xludf.dummyfunction("""COMPUTED_VALUE"""),"(61) 36315659")</f>
        <v>(61) 36315659</v>
      </c>
      <c r="G169" s="11" t="str">
        <f ca="1">IFERROR(__xludf.dummyfunction("""COMPUTED_VALUE"""),"(61) 993927424")</f>
        <v>(61) 993927424</v>
      </c>
      <c r="H169" s="11" t="str">
        <f ca="1">IFERROR(__xludf.dummyfunction("""COMPUTED_VALUE"""),"SUPERIOR")</f>
        <v>SUPERIOR</v>
      </c>
      <c r="I169" s="10" t="str">
        <f ca="1">IFERROR(__xludf.dummyfunction("""COMPUTED_VALUE"""),"DIREITO")</f>
        <v>DIREITO</v>
      </c>
      <c r="J169" s="10" t="str">
        <f ca="1">IFERROR(__xludf.dummyfunction("""COMPUTED_VALUE"""),"NOITE")</f>
        <v>NOITE</v>
      </c>
      <c r="K169" s="10" t="str">
        <f ca="1">IFERROR(__xludf.dummyfunction("""COMPUTED_VALUE"""),"TARDE")</f>
        <v>TARDE</v>
      </c>
      <c r="L169" s="10" t="str">
        <f ca="1">IFERROR(__xludf.dummyfunction("""COMPUTED_VALUE"""),"FORMOSA - GO")</f>
        <v>FORMOSA - GO</v>
      </c>
      <c r="M169" s="10">
        <f ca="1">IFERROR(__xludf.dummyfunction("""COMPUTED_VALUE"""),6)</f>
        <v>6</v>
      </c>
      <c r="N169" s="10" t="str">
        <f ca="1">IFERROR(__xludf.dummyfunction("""COMPUTED_VALUE"""),"DISPONÍVEL")</f>
        <v>DISPONÍVEL</v>
      </c>
      <c r="O169" s="11"/>
      <c r="P169" s="11"/>
      <c r="Q169" s="11"/>
      <c r="R169" s="11"/>
    </row>
    <row r="170" spans="1:18">
      <c r="A170" s="10">
        <f ca="1">IFERROR(__xludf.dummyfunction("QUERY('FORMOSO - GO'!A5)"),1)</f>
        <v>1</v>
      </c>
      <c r="B170" s="11" t="str">
        <f ca="1">IFERROR(__xludf.dummyfunction("QUERY('FORMOSO - GO'!B5)"),"JEFFERSON CARIRI DA SILVA")</f>
        <v>JEFFERSON CARIRI DA SILVA</v>
      </c>
      <c r="C170" s="11" t="str">
        <f ca="1">IFERROR(__xludf.dummyfunction("QUERY('FORMOSO - GO'!C5)"),"")</f>
        <v/>
      </c>
      <c r="D170" s="11" t="str">
        <f ca="1">IFERROR(__xludf.dummyfunction("QUERY('FORMOSO - GO'!D5)"),"05831693171")</f>
        <v>05831693171</v>
      </c>
      <c r="E170" s="11" t="str">
        <f ca="1">IFERROR(__xludf.dummyfunction("QUERY('FORMOSO - GO'!E5)"),"JEFFERSONCARIRI2015@GMAIL.COM")</f>
        <v>JEFFERSONCARIRI2015@GMAIL.COM</v>
      </c>
      <c r="F170" s="11" t="str">
        <f ca="1">IFERROR(__xludf.dummyfunction("QUERY('FORMOSO - GO'!F5)"),"(62) 99482545")</f>
        <v>(62) 99482545</v>
      </c>
      <c r="G170" s="11" t="str">
        <f ca="1">IFERROR(__xludf.dummyfunction("QUERY('FORMOSO - GO'!G5)"),"(62) 994825450")</f>
        <v>(62) 994825450</v>
      </c>
      <c r="H170" s="11" t="str">
        <f ca="1">IFERROR(__xludf.dummyfunction("QUERY('FORMOSO - GO'!H5)"),"SUPERIOR")</f>
        <v>SUPERIOR</v>
      </c>
      <c r="I170" s="10" t="str">
        <f ca="1">IFERROR(__xludf.dummyfunction("QUERY('FORMOSO - GO'!I5)"),"DIREITO")</f>
        <v>DIREITO</v>
      </c>
      <c r="J170" s="10" t="str">
        <f ca="1">IFERROR(__xludf.dummyfunction("QUERY('FORMOSO - GO'!J5)"),"NOITE")</f>
        <v>NOITE</v>
      </c>
      <c r="K170" s="10" t="str">
        <f ca="1">IFERROR(__xludf.dummyfunction("QUERY('FORMOSO - GO'!K5)"),"TARDE")</f>
        <v>TARDE</v>
      </c>
      <c r="L170" s="10" t="str">
        <f ca="1">IFERROR(__xludf.dummyfunction("QUERY('FORMOSO - GO'!L5)"),"FORMOSO - GO")</f>
        <v>FORMOSO - GO</v>
      </c>
      <c r="M170" s="10">
        <f ca="1">IFERROR(__xludf.dummyfunction("QUERY('FORMOSO - GO'!M5)"),9)</f>
        <v>9</v>
      </c>
      <c r="N170" s="10" t="str">
        <f ca="1">IFERROR(__xludf.dummyfunction("QUERY('FORMOSO - GO'!N5)"),"DISPONÍVEL")</f>
        <v>DISPONÍVEL</v>
      </c>
      <c r="O170" s="11" t="str">
        <f ca="1">IFERROR(__xludf.dummyfunction("QUERY('FORMOSO - GO'!O5)"),"")</f>
        <v/>
      </c>
      <c r="P170" s="11" t="str">
        <f ca="1">IFERROR(__xludf.dummyfunction("QUERY('FORMOSO - GO'!P5)"),"")</f>
        <v/>
      </c>
      <c r="Q170" s="11" t="str">
        <f ca="1">IFERROR(__xludf.dummyfunction("QUERY('FORMOSO - GO'!Q5)"),"")</f>
        <v/>
      </c>
      <c r="R170" s="11" t="str">
        <f ca="1">IFERROR(__xludf.dummyfunction("QUERY('FORMOSO - GO'!R5)"),"")</f>
        <v/>
      </c>
    </row>
    <row r="171" spans="1:18">
      <c r="A171" s="10">
        <f ca="1">IFERROR(__xludf.dummyfunction("QUERY('GOIANÉSIA'!A5:A13)"),1)</f>
        <v>1</v>
      </c>
      <c r="B171" s="11" t="str">
        <f ca="1">IFERROR(__xludf.dummyfunction("QUERY('GOIANÉSIA'!B5:B13)"),"LUÍS EDUARDO MENDONÇA MENDES")</f>
        <v>LUÍS EDUARDO MENDONÇA MENDES</v>
      </c>
      <c r="C171" s="11" t="str">
        <f ca="1">IFERROR(__xludf.dummyfunction("QUERY('GOIANÉSIA'!C5:C13)"),"6826963")</f>
        <v>6826963</v>
      </c>
      <c r="D171" s="11" t="str">
        <f ca="1">IFERROR(__xludf.dummyfunction("QUERY('GOIANÉSIA'!D5:D13)"),"00979169194")</f>
        <v>00979169194</v>
      </c>
      <c r="E171" s="11" t="str">
        <f ca="1">IFERROR(__xludf.dummyfunction("QUERY('GOIANÉSIA'!E5:E13)"),"LUISEDUARDOMMENDES@GMAIL.COM")</f>
        <v>LUISEDUARDOMMENDES@GMAIL.COM</v>
      </c>
      <c r="F171" s="11" t="str">
        <f ca="1">IFERROR(__xludf.dummyfunction("QUERY('GOIANÉSIA'!F5:F13)"),"(62) 81592734")</f>
        <v>(62) 81592734</v>
      </c>
      <c r="G171" s="11" t="str">
        <f ca="1">IFERROR(__xludf.dummyfunction("QUERY('GOIANÉSIA'!G5:G13)"),"(62) 981592734")</f>
        <v>(62) 981592734</v>
      </c>
      <c r="H171" s="11" t="str">
        <f ca="1">IFERROR(__xludf.dummyfunction("QUERY('GOIANÉSIA'!H5:H13)"),"SUPERIOR")</f>
        <v>SUPERIOR</v>
      </c>
      <c r="I171" s="10" t="str">
        <f ca="1">IFERROR(__xludf.dummyfunction("QUERY('GOIANÉSIA'!I5:I13)"),"DIREITO")</f>
        <v>DIREITO</v>
      </c>
      <c r="J171" s="10" t="str">
        <f ca="1">IFERROR(__xludf.dummyfunction("QUERY('GOIANÉSIA'!J5:J13)"),"NOITE")</f>
        <v>NOITE</v>
      </c>
      <c r="K171" s="10" t="str">
        <f ca="1">IFERROR(__xludf.dummyfunction("QUERY('GOIANÉSIA'!K5:K13)"),"TARDE")</f>
        <v>TARDE</v>
      </c>
      <c r="L171" s="10" t="str">
        <f ca="1">IFERROR(__xludf.dummyfunction("QUERY('GOIANÉSIA'!L5:L13)"),"GOIANÉSIA - GO")</f>
        <v>GOIANÉSIA - GO</v>
      </c>
      <c r="M171" s="10">
        <f ca="1">IFERROR(__xludf.dummyfunction("QUERY('GOIANÉSIA'!M5:M13)"),8)</f>
        <v>8</v>
      </c>
      <c r="N171" s="10" t="str">
        <f ca="1">IFERROR(__xludf.dummyfunction("QUERY('GOIANÉSIA'!N5:N13)"),"DISPONÍVEL")</f>
        <v>DISPONÍVEL</v>
      </c>
      <c r="O171" s="11" t="str">
        <f ca="1">IFERROR(__xludf.dummyfunction("QUERY('GOIANÉSIA'!O5:O13)"),"")</f>
        <v/>
      </c>
      <c r="P171" s="11" t="str">
        <f ca="1">IFERROR(__xludf.dummyfunction("QUERY('GOIANÉSIA'!P5:P13)"),"")</f>
        <v/>
      </c>
      <c r="Q171" s="11" t="str">
        <f ca="1">IFERROR(__xludf.dummyfunction("QUERY('GOIANÉSIA'!Q5:Q13)"),"")</f>
        <v/>
      </c>
      <c r="R171" s="11" t="str">
        <f ca="1">IFERROR(__xludf.dummyfunction("QUERY('GOIANÉSIA'!R5:R13)"),"")</f>
        <v/>
      </c>
    </row>
    <row r="172" spans="1:18">
      <c r="A172" s="10">
        <f ca="1">IFERROR(__xludf.dummyfunction("""COMPUTED_VALUE"""),2)</f>
        <v>2</v>
      </c>
      <c r="B172" s="11" t="str">
        <f ca="1">IFERROR(__xludf.dummyfunction("""COMPUTED_VALUE"""),"DÉBORA OLIVEIRA SILVA")</f>
        <v>DÉBORA OLIVEIRA SILVA</v>
      </c>
      <c r="C172" s="11"/>
      <c r="D172" s="11" t="str">
        <f ca="1">IFERROR(__xludf.dummyfunction("""COMPUTED_VALUE"""),"05578448194")</f>
        <v>05578448194</v>
      </c>
      <c r="E172" s="11" t="str">
        <f ca="1">IFERROR(__xludf.dummyfunction("""COMPUTED_VALUE"""),"DEBORAOLIS1205@GMAIL.COM")</f>
        <v>DEBORAOLIS1205@GMAIL.COM</v>
      </c>
      <c r="F172" s="11"/>
      <c r="G172" s="11" t="str">
        <f ca="1">IFERROR(__xludf.dummyfunction("""COMPUTED_VALUE"""),"(62) 999111219")</f>
        <v>(62) 999111219</v>
      </c>
      <c r="H172" s="11" t="str">
        <f ca="1">IFERROR(__xludf.dummyfunction("""COMPUTED_VALUE"""),"SUPERIOR")</f>
        <v>SUPERIOR</v>
      </c>
      <c r="I172" s="10" t="str">
        <f ca="1">IFERROR(__xludf.dummyfunction("""COMPUTED_VALUE"""),"DIREITO")</f>
        <v>DIREITO</v>
      </c>
      <c r="J172" s="10" t="str">
        <f ca="1">IFERROR(__xludf.dummyfunction("""COMPUTED_VALUE"""),"NOITE")</f>
        <v>NOITE</v>
      </c>
      <c r="K172" s="10" t="str">
        <f ca="1">IFERROR(__xludf.dummyfunction("""COMPUTED_VALUE"""),"TARDE")</f>
        <v>TARDE</v>
      </c>
      <c r="L172" s="10" t="str">
        <f ca="1">IFERROR(__xludf.dummyfunction("""COMPUTED_VALUE"""),"GOIANÉSIA - GO")</f>
        <v>GOIANÉSIA - GO</v>
      </c>
      <c r="M172" s="10">
        <f ca="1">IFERROR(__xludf.dummyfunction("""COMPUTED_VALUE"""),8)</f>
        <v>8</v>
      </c>
      <c r="N172" s="10" t="str">
        <f ca="1">IFERROR(__xludf.dummyfunction("""COMPUTED_VALUE"""),"DISPONÍVEL")</f>
        <v>DISPONÍVEL</v>
      </c>
      <c r="O172" s="11"/>
      <c r="P172" s="11"/>
      <c r="Q172" s="11"/>
      <c r="R172" s="11"/>
    </row>
    <row r="173" spans="1:18">
      <c r="A173" s="10">
        <f ca="1">IFERROR(__xludf.dummyfunction("""COMPUTED_VALUE"""),3)</f>
        <v>3</v>
      </c>
      <c r="B173" s="11" t="str">
        <f ca="1">IFERROR(__xludf.dummyfunction("""COMPUTED_VALUE"""),"EDER PIDDE PATRÍCIO")</f>
        <v>EDER PIDDE PATRÍCIO</v>
      </c>
      <c r="C173" s="11" t="str">
        <f ca="1">IFERROR(__xludf.dummyfunction("""COMPUTED_VALUE"""),"6617067")</f>
        <v>6617067</v>
      </c>
      <c r="D173" s="11" t="str">
        <f ca="1">IFERROR(__xludf.dummyfunction("""COMPUTED_VALUE"""),"70671297104")</f>
        <v>70671297104</v>
      </c>
      <c r="E173" s="11" t="str">
        <f ca="1">IFERROR(__xludf.dummyfunction("""COMPUTED_VALUE"""),"EDERPID24@GMAIL.COM")</f>
        <v>EDERPID24@GMAIL.COM</v>
      </c>
      <c r="F173" s="11" t="str">
        <f ca="1">IFERROR(__xludf.dummyfunction("""COMPUTED_VALUE"""),"(62) 85076321")</f>
        <v>(62) 85076321</v>
      </c>
      <c r="G173" s="11" t="str">
        <f ca="1">IFERROR(__xludf.dummyfunction("""COMPUTED_VALUE"""),"(62) 985076321")</f>
        <v>(62) 985076321</v>
      </c>
      <c r="H173" s="11" t="str">
        <f ca="1">IFERROR(__xludf.dummyfunction("""COMPUTED_VALUE"""),"SUPERIOR")</f>
        <v>SUPERIOR</v>
      </c>
      <c r="I173" s="10" t="str">
        <f ca="1">IFERROR(__xludf.dummyfunction("""COMPUTED_VALUE"""),"DIREITO")</f>
        <v>DIREITO</v>
      </c>
      <c r="J173" s="10" t="str">
        <f ca="1">IFERROR(__xludf.dummyfunction("""COMPUTED_VALUE"""),"NOITE")</f>
        <v>NOITE</v>
      </c>
      <c r="K173" s="10" t="str">
        <f ca="1">IFERROR(__xludf.dummyfunction("""COMPUTED_VALUE"""),"TARDE")</f>
        <v>TARDE</v>
      </c>
      <c r="L173" s="10" t="str">
        <f ca="1">IFERROR(__xludf.dummyfunction("""COMPUTED_VALUE"""),"GOIANÉSIA - GO")</f>
        <v>GOIANÉSIA - GO</v>
      </c>
      <c r="M173" s="10">
        <f ca="1">IFERROR(__xludf.dummyfunction("""COMPUTED_VALUE"""),5)</f>
        <v>5</v>
      </c>
      <c r="N173" s="10" t="str">
        <f ca="1">IFERROR(__xludf.dummyfunction("""COMPUTED_VALUE"""),"DISPONÍVEL")</f>
        <v>DISPONÍVEL</v>
      </c>
      <c r="O173" s="11"/>
      <c r="P173" s="11"/>
      <c r="Q173" s="11"/>
      <c r="R173" s="11"/>
    </row>
    <row r="174" spans="1:18">
      <c r="A174" s="10">
        <f ca="1">IFERROR(__xludf.dummyfunction("""COMPUTED_VALUE"""),4)</f>
        <v>4</v>
      </c>
      <c r="B174" s="11" t="str">
        <f ca="1">IFERROR(__xludf.dummyfunction("""COMPUTED_VALUE"""),"GUSTAVO JESUS BRAGA")</f>
        <v>GUSTAVO JESUS BRAGA</v>
      </c>
      <c r="C174" s="11"/>
      <c r="D174" s="11" t="str">
        <f ca="1">IFERROR(__xludf.dummyfunction("""COMPUTED_VALUE"""),"04419521198")</f>
        <v>04419521198</v>
      </c>
      <c r="E174" s="11" t="str">
        <f ca="1">IFERROR(__xludf.dummyfunction("""COMPUTED_VALUE"""),"GUSTAVOBRAGA7102@GMAIL.COM")</f>
        <v>GUSTAVOBRAGA7102@GMAIL.COM</v>
      </c>
      <c r="F174" s="11"/>
      <c r="G174" s="11" t="str">
        <f ca="1">IFERROR(__xludf.dummyfunction("""COMPUTED_VALUE"""),"(62) 984922933")</f>
        <v>(62) 984922933</v>
      </c>
      <c r="H174" s="11" t="str">
        <f ca="1">IFERROR(__xludf.dummyfunction("""COMPUTED_VALUE"""),"SUPERIOR")</f>
        <v>SUPERIOR</v>
      </c>
      <c r="I174" s="10" t="str">
        <f ca="1">IFERROR(__xludf.dummyfunction("""COMPUTED_VALUE"""),"DIREITO")</f>
        <v>DIREITO</v>
      </c>
      <c r="J174" s="10" t="str">
        <f ca="1">IFERROR(__xludf.dummyfunction("""COMPUTED_VALUE"""),"NOITE")</f>
        <v>NOITE</v>
      </c>
      <c r="K174" s="10" t="str">
        <f ca="1">IFERROR(__xludf.dummyfunction("""COMPUTED_VALUE"""),"TARDE")</f>
        <v>TARDE</v>
      </c>
      <c r="L174" s="10" t="str">
        <f ca="1">IFERROR(__xludf.dummyfunction("""COMPUTED_VALUE"""),"GOIANÉSIA - GO")</f>
        <v>GOIANÉSIA - GO</v>
      </c>
      <c r="M174" s="10">
        <f ca="1">IFERROR(__xludf.dummyfunction("""COMPUTED_VALUE"""),5)</f>
        <v>5</v>
      </c>
      <c r="N174" s="10" t="str">
        <f ca="1">IFERROR(__xludf.dummyfunction("""COMPUTED_VALUE"""),"DISPONÍVEL")</f>
        <v>DISPONÍVEL</v>
      </c>
      <c r="O174" s="11"/>
      <c r="P174" s="11"/>
      <c r="Q174" s="11"/>
      <c r="R174" s="11"/>
    </row>
    <row r="175" spans="1:18">
      <c r="A175" s="10">
        <f ca="1">IFERROR(__xludf.dummyfunction("""COMPUTED_VALUE"""),5)</f>
        <v>5</v>
      </c>
      <c r="B175" s="11" t="str">
        <f ca="1">IFERROR(__xludf.dummyfunction("""COMPUTED_VALUE"""),"AMANDA ANDRELINO COSTA")</f>
        <v>AMANDA ANDRELINO COSTA</v>
      </c>
      <c r="C175" s="11" t="str">
        <f ca="1">IFERROR(__xludf.dummyfunction("""COMPUTED_VALUE"""),"7286045")</f>
        <v>7286045</v>
      </c>
      <c r="D175" s="11" t="str">
        <f ca="1">IFERROR(__xludf.dummyfunction("""COMPUTED_VALUE"""),"08418725117")</f>
        <v>08418725117</v>
      </c>
      <c r="E175" s="11" t="str">
        <f ca="1">IFERROR(__xludf.dummyfunction("""COMPUTED_VALUE"""),"AMANDAANDREELINOCOOSTA@GMAIL.COM")</f>
        <v>AMANDAANDREELINOCOOSTA@GMAIL.COM</v>
      </c>
      <c r="F175" s="11"/>
      <c r="G175" s="11" t="str">
        <f ca="1">IFERROR(__xludf.dummyfunction("""COMPUTED_VALUE"""),"(62) 984143289")</f>
        <v>(62) 984143289</v>
      </c>
      <c r="H175" s="11" t="str">
        <f ca="1">IFERROR(__xludf.dummyfunction("""COMPUTED_VALUE"""),"SUPERIOR")</f>
        <v>SUPERIOR</v>
      </c>
      <c r="I175" s="10" t="str">
        <f ca="1">IFERROR(__xludf.dummyfunction("""COMPUTED_VALUE"""),"DIREITO")</f>
        <v>DIREITO</v>
      </c>
      <c r="J175" s="10" t="str">
        <f ca="1">IFERROR(__xludf.dummyfunction("""COMPUTED_VALUE"""),"NOITE")</f>
        <v>NOITE</v>
      </c>
      <c r="K175" s="10" t="str">
        <f ca="1">IFERROR(__xludf.dummyfunction("""COMPUTED_VALUE"""),"TARDE")</f>
        <v>TARDE</v>
      </c>
      <c r="L175" s="10" t="str">
        <f ca="1">IFERROR(__xludf.dummyfunction("""COMPUTED_VALUE"""),"GOIANÉSIA - GO")</f>
        <v>GOIANÉSIA - GO</v>
      </c>
      <c r="M175" s="10">
        <f ca="1">IFERROR(__xludf.dummyfunction("""COMPUTED_VALUE"""),6)</f>
        <v>6</v>
      </c>
      <c r="N175" s="10" t="str">
        <f ca="1">IFERROR(__xludf.dummyfunction("""COMPUTED_VALUE"""),"DISPONÍVEL")</f>
        <v>DISPONÍVEL</v>
      </c>
      <c r="O175" s="11"/>
      <c r="P175" s="11"/>
      <c r="Q175" s="11"/>
      <c r="R175" s="11"/>
    </row>
    <row r="176" spans="1:18">
      <c r="A176" s="10">
        <f ca="1">IFERROR(__xludf.dummyfunction("""COMPUTED_VALUE"""),6)</f>
        <v>6</v>
      </c>
      <c r="B176" s="11" t="str">
        <f ca="1">IFERROR(__xludf.dummyfunction("""COMPUTED_VALUE"""),"BRUNA CIPRIANO GONÇALVES")</f>
        <v>BRUNA CIPRIANO GONÇALVES</v>
      </c>
      <c r="C176" s="11"/>
      <c r="D176" s="11" t="str">
        <f ca="1">IFERROR(__xludf.dummyfunction("""COMPUTED_VALUE"""),"04546611188")</f>
        <v>04546611188</v>
      </c>
      <c r="E176" s="11" t="str">
        <f ca="1">IFERROR(__xludf.dummyfunction("""COMPUTED_VALUE"""),"BRUNACIPRIANO934@GMAIL.COM")</f>
        <v>BRUNACIPRIANO934@GMAIL.COM</v>
      </c>
      <c r="F176" s="11"/>
      <c r="G176" s="11" t="str">
        <f ca="1">IFERROR(__xludf.dummyfunction("""COMPUTED_VALUE"""),"(62) 981296725")</f>
        <v>(62) 981296725</v>
      </c>
      <c r="H176" s="11" t="str">
        <f ca="1">IFERROR(__xludf.dummyfunction("""COMPUTED_VALUE"""),"SUPERIOR")</f>
        <v>SUPERIOR</v>
      </c>
      <c r="I176" s="10" t="str">
        <f ca="1">IFERROR(__xludf.dummyfunction("""COMPUTED_VALUE"""),"DIREITO")</f>
        <v>DIREITO</v>
      </c>
      <c r="J176" s="10" t="str">
        <f ca="1">IFERROR(__xludf.dummyfunction("""COMPUTED_VALUE"""),"NOITE")</f>
        <v>NOITE</v>
      </c>
      <c r="K176" s="10" t="str">
        <f ca="1">IFERROR(__xludf.dummyfunction("""COMPUTED_VALUE"""),"TARDE")</f>
        <v>TARDE</v>
      </c>
      <c r="L176" s="10" t="str">
        <f ca="1">IFERROR(__xludf.dummyfunction("""COMPUTED_VALUE"""),"GOIANÉSIA - GO")</f>
        <v>GOIANÉSIA - GO</v>
      </c>
      <c r="M176" s="10">
        <f ca="1">IFERROR(__xludf.dummyfunction("""COMPUTED_VALUE"""),5)</f>
        <v>5</v>
      </c>
      <c r="N176" s="10" t="str">
        <f ca="1">IFERROR(__xludf.dummyfunction("""COMPUTED_VALUE"""),"DISPONÍVEL")</f>
        <v>DISPONÍVEL</v>
      </c>
      <c r="O176" s="11"/>
      <c r="P176" s="11"/>
      <c r="Q176" s="11"/>
      <c r="R176" s="11"/>
    </row>
    <row r="177" spans="1:18">
      <c r="A177" s="10">
        <f ca="1">IFERROR(__xludf.dummyfunction("""COMPUTED_VALUE"""),7)</f>
        <v>7</v>
      </c>
      <c r="B177" s="11" t="str">
        <f ca="1">IFERROR(__xludf.dummyfunction("""COMPUTED_VALUE"""),"ESTEFANE LORRANE SOUSA RIBEIRO")</f>
        <v>ESTEFANE LORRANE SOUSA RIBEIRO</v>
      </c>
      <c r="C177" s="11"/>
      <c r="D177" s="11" t="str">
        <f ca="1">IFERROR(__xludf.dummyfunction("""COMPUTED_VALUE"""),"70801027152")</f>
        <v>70801027152</v>
      </c>
      <c r="E177" s="11" t="str">
        <f ca="1">IFERROR(__xludf.dummyfunction("""COMPUTED_VALUE"""),"ESTEFANESRIBEIRO@HOTMAIL.COM")</f>
        <v>ESTEFANESRIBEIRO@HOTMAIL.COM</v>
      </c>
      <c r="F177" s="11"/>
      <c r="G177" s="11" t="str">
        <f ca="1">IFERROR(__xludf.dummyfunction("""COMPUTED_VALUE"""),"(62) 986406761")</f>
        <v>(62) 986406761</v>
      </c>
      <c r="H177" s="11" t="str">
        <f ca="1">IFERROR(__xludf.dummyfunction("""COMPUTED_VALUE"""),"SUPERIOR")</f>
        <v>SUPERIOR</v>
      </c>
      <c r="I177" s="10" t="str">
        <f ca="1">IFERROR(__xludf.dummyfunction("""COMPUTED_VALUE"""),"DIREITO")</f>
        <v>DIREITO</v>
      </c>
      <c r="J177" s="10" t="str">
        <f ca="1">IFERROR(__xludf.dummyfunction("""COMPUTED_VALUE"""),"NOITE")</f>
        <v>NOITE</v>
      </c>
      <c r="K177" s="10" t="str">
        <f ca="1">IFERROR(__xludf.dummyfunction("""COMPUTED_VALUE"""),"TARDE")</f>
        <v>TARDE</v>
      </c>
      <c r="L177" s="10" t="str">
        <f ca="1">IFERROR(__xludf.dummyfunction("""COMPUTED_VALUE"""),"GOIANÉSIA - GO")</f>
        <v>GOIANÉSIA - GO</v>
      </c>
      <c r="M177" s="10">
        <f ca="1">IFERROR(__xludf.dummyfunction("""COMPUTED_VALUE"""),7)</f>
        <v>7</v>
      </c>
      <c r="N177" s="10" t="str">
        <f ca="1">IFERROR(__xludf.dummyfunction("""COMPUTED_VALUE"""),"DISPONÍVEL")</f>
        <v>DISPONÍVEL</v>
      </c>
      <c r="O177" s="11"/>
      <c r="P177" s="11"/>
      <c r="Q177" s="11"/>
      <c r="R177" s="11"/>
    </row>
    <row r="178" spans="1:18">
      <c r="A178" s="10">
        <f ca="1">IFERROR(__xludf.dummyfunction("""COMPUTED_VALUE"""),8)</f>
        <v>8</v>
      </c>
      <c r="B178" s="11" t="str">
        <f ca="1">IFERROR(__xludf.dummyfunction("""COMPUTED_VALUE"""),"GLENDA SANTOS OLIVEIRA")</f>
        <v>GLENDA SANTOS OLIVEIRA</v>
      </c>
      <c r="C178" s="11"/>
      <c r="D178" s="11" t="str">
        <f ca="1">IFERROR(__xludf.dummyfunction("""COMPUTED_VALUE"""),"70722893132")</f>
        <v>70722893132</v>
      </c>
      <c r="E178" s="11" t="str">
        <f ca="1">IFERROR(__xludf.dummyfunction("""COMPUTED_VALUE"""),"GLENDASANTOS155@GMAIL.COM")</f>
        <v>GLENDASANTOS155@GMAIL.COM</v>
      </c>
      <c r="F178" s="11"/>
      <c r="G178" s="11" t="str">
        <f ca="1">IFERROR(__xludf.dummyfunction("""COMPUTED_VALUE"""),"(62) 985054990")</f>
        <v>(62) 985054990</v>
      </c>
      <c r="H178" s="11" t="str">
        <f ca="1">IFERROR(__xludf.dummyfunction("""COMPUTED_VALUE"""),"SUPERIOR")</f>
        <v>SUPERIOR</v>
      </c>
      <c r="I178" s="10" t="str">
        <f ca="1">IFERROR(__xludf.dummyfunction("""COMPUTED_VALUE"""),"DIREITO")</f>
        <v>DIREITO</v>
      </c>
      <c r="J178" s="10" t="str">
        <f ca="1">IFERROR(__xludf.dummyfunction("""COMPUTED_VALUE"""),"NOITE")</f>
        <v>NOITE</v>
      </c>
      <c r="K178" s="10" t="str">
        <f ca="1">IFERROR(__xludf.dummyfunction("""COMPUTED_VALUE"""),"TARDE")</f>
        <v>TARDE</v>
      </c>
      <c r="L178" s="10" t="str">
        <f ca="1">IFERROR(__xludf.dummyfunction("""COMPUTED_VALUE"""),"GOIANÉSIA - GO")</f>
        <v>GOIANÉSIA - GO</v>
      </c>
      <c r="M178" s="10">
        <f ca="1">IFERROR(__xludf.dummyfunction("""COMPUTED_VALUE"""),5)</f>
        <v>5</v>
      </c>
      <c r="N178" s="10" t="str">
        <f ca="1">IFERROR(__xludf.dummyfunction("""COMPUTED_VALUE"""),"DISPONÍVEL")</f>
        <v>DISPONÍVEL</v>
      </c>
      <c r="O178" s="11"/>
      <c r="P178" s="11"/>
      <c r="Q178" s="11"/>
      <c r="R178" s="11"/>
    </row>
    <row r="179" spans="1:18">
      <c r="A179" s="10">
        <f ca="1">IFERROR(__xludf.dummyfunction("""COMPUTED_VALUE"""),9)</f>
        <v>9</v>
      </c>
      <c r="B179" s="11" t="str">
        <f ca="1">IFERROR(__xludf.dummyfunction("""COMPUTED_VALUE"""),"GIOVANA JORGE ANDRADE")</f>
        <v>GIOVANA JORGE ANDRADE</v>
      </c>
      <c r="C179" s="11" t="str">
        <f ca="1">IFERROR(__xludf.dummyfunction("""COMPUTED_VALUE"""),"6559164")</f>
        <v>6559164</v>
      </c>
      <c r="D179" s="11" t="str">
        <f ca="1">IFERROR(__xludf.dummyfunction("""COMPUTED_VALUE"""),"05573057138")</f>
        <v>05573057138</v>
      </c>
      <c r="E179" s="11" t="str">
        <f ca="1">IFERROR(__xludf.dummyfunction("""COMPUTED_VALUE"""),"ANDRADE3.GIOVANA@GMAIL.COM")</f>
        <v>ANDRADE3.GIOVANA@GMAIL.COM</v>
      </c>
      <c r="F179" s="11" t="str">
        <f ca="1">IFERROR(__xludf.dummyfunction("""COMPUTED_VALUE"""),"(62) 91131550")</f>
        <v>(62) 91131550</v>
      </c>
      <c r="G179" s="11" t="str">
        <f ca="1">IFERROR(__xludf.dummyfunction("""COMPUTED_VALUE"""),"(62) 991131550")</f>
        <v>(62) 991131550</v>
      </c>
      <c r="H179" s="11" t="str">
        <f ca="1">IFERROR(__xludf.dummyfunction("""COMPUTED_VALUE"""),"SUPERIOR")</f>
        <v>SUPERIOR</v>
      </c>
      <c r="I179" s="10" t="str">
        <f ca="1">IFERROR(__xludf.dummyfunction("""COMPUTED_VALUE"""),"DIREITO")</f>
        <v>DIREITO</v>
      </c>
      <c r="J179" s="10" t="str">
        <f ca="1">IFERROR(__xludf.dummyfunction("""COMPUTED_VALUE"""),"NOITE")</f>
        <v>NOITE</v>
      </c>
      <c r="K179" s="10" t="str">
        <f ca="1">IFERROR(__xludf.dummyfunction("""COMPUTED_VALUE"""),"TARDE")</f>
        <v>TARDE</v>
      </c>
      <c r="L179" s="10" t="str">
        <f ca="1">IFERROR(__xludf.dummyfunction("""COMPUTED_VALUE"""),"GOIANÉSIA - GO")</f>
        <v>GOIANÉSIA - GO</v>
      </c>
      <c r="M179" s="10">
        <f ca="1">IFERROR(__xludf.dummyfunction("""COMPUTED_VALUE"""),5)</f>
        <v>5</v>
      </c>
      <c r="N179" s="10" t="str">
        <f ca="1">IFERROR(__xludf.dummyfunction("""COMPUTED_VALUE"""),"DISPONÍVEL")</f>
        <v>DISPONÍVEL</v>
      </c>
      <c r="O179" s="11"/>
      <c r="P179" s="11"/>
      <c r="Q179" s="11"/>
      <c r="R179" s="11"/>
    </row>
    <row r="180" spans="1:18">
      <c r="A180" s="10">
        <f ca="1">IFERROR(__xludf.dummyfunction("QUERY('GOIÂNIA'!A5:A357)"),1)</f>
        <v>1</v>
      </c>
      <c r="B180" s="11" t="str">
        <f ca="1">IFERROR(__xludf.dummyfunction("QUERY('GOIÂNIA'!B5:B357)"),"JANAINA ALVES DOS SANTOS")</f>
        <v>JANAINA ALVES DOS SANTOS</v>
      </c>
      <c r="C180" s="11" t="str">
        <f ca="1">IFERROR(__xludf.dummyfunction("QUERY('GOIÂNIA'!C5:C357)"),"")</f>
        <v/>
      </c>
      <c r="D180" s="11" t="str">
        <f ca="1">IFERROR(__xludf.dummyfunction("QUERY('GOIÂNIA'!D5:D357)"),"04366821176")</f>
        <v>04366821176</v>
      </c>
      <c r="E180" s="11" t="str">
        <f ca="1">IFERROR(__xludf.dummyfunction("QUERY('GOIÂNIA'!E5:E357)"),"MISSJANA2@HOTMAIL.COM")</f>
        <v>MISSJANA2@HOTMAIL.COM</v>
      </c>
      <c r="F180" s="11" t="str">
        <f ca="1">IFERROR(__xludf.dummyfunction("QUERY('GOIÂNIA'!F5:F357)"),"")</f>
        <v/>
      </c>
      <c r="G180" s="11" t="str">
        <f ca="1">IFERROR(__xludf.dummyfunction("QUERY('GOIÂNIA'!G5:G357)"),"(62) 991146801")</f>
        <v>(62) 991146801</v>
      </c>
      <c r="H180" s="11" t="str">
        <f ca="1">IFERROR(__xludf.dummyfunction("QUERY('GOIÂNIA'!H5:H357)"),"SUPERIOR")</f>
        <v>SUPERIOR</v>
      </c>
      <c r="I180" s="10" t="str">
        <f ca="1">IFERROR(__xludf.dummyfunction("QUERY('GOIÂNIA'!I5:I357)"),"ADMINISTRAÇÃO")</f>
        <v>ADMINISTRAÇÃO</v>
      </c>
      <c r="J180" s="10" t="str">
        <f ca="1">IFERROR(__xludf.dummyfunction("QUERY('GOIÂNIA'!J5:J357)"),"VARIÁVEL")</f>
        <v>VARIÁVEL</v>
      </c>
      <c r="K180" s="10" t="str">
        <f ca="1">IFERROR(__xludf.dummyfunction("QUERY('GOIÂNIA'!K5:K357)"),"TARDE")</f>
        <v>TARDE</v>
      </c>
      <c r="L180" s="10" t="str">
        <f ca="1">IFERROR(__xludf.dummyfunction("QUERY('GOIÂNIA'!L5:L357)"),"GOIÂNIA - GO")</f>
        <v>GOIÂNIA - GO</v>
      </c>
      <c r="M180" s="10">
        <f ca="1">IFERROR(__xludf.dummyfunction("QUERY('GOIÂNIA'!M5:M357)"),5)</f>
        <v>5</v>
      </c>
      <c r="N180" s="10" t="str">
        <f ca="1">IFERROR(__xludf.dummyfunction("QUERY('GOIÂNIA'!N5:N357)"),"DISPONÍVEL")</f>
        <v>DISPONÍVEL</v>
      </c>
      <c r="O180" s="11" t="str">
        <f ca="1">IFERROR(__xludf.dummyfunction("QUERY('GOIÂNIA'!O5:O357)"),"      ")</f>
        <v xml:space="preserve">      </v>
      </c>
      <c r="P180" s="11" t="str">
        <f ca="1">IFERROR(__xludf.dummyfunction("QUERY('GOIÂNIA'!P5:P357)"),"")</f>
        <v/>
      </c>
      <c r="Q180" s="11" t="str">
        <f ca="1">IFERROR(__xludf.dummyfunction("QUERY('GOIÂNIA'!Q5:Q357)"),"")</f>
        <v/>
      </c>
      <c r="R180" s="11" t="str">
        <f ca="1">IFERROR(__xludf.dummyfunction("QUERY('GOIÂNIA'!R5:R357)"),"")</f>
        <v/>
      </c>
    </row>
    <row r="181" spans="1:18">
      <c r="A181" s="10">
        <f ca="1">IFERROR(__xludf.dummyfunction("""COMPUTED_VALUE"""),2)</f>
        <v>2</v>
      </c>
      <c r="B181" s="11" t="str">
        <f ca="1">IFERROR(__xludf.dummyfunction("""COMPUTED_VALUE"""),"GABRIEL SALES MENDES DA SILVA")</f>
        <v>GABRIEL SALES MENDES DA SILVA</v>
      </c>
      <c r="C181" s="11" t="str">
        <f ca="1">IFERROR(__xludf.dummyfunction("""COMPUTED_VALUE"""),"6422517")</f>
        <v>6422517</v>
      </c>
      <c r="D181" s="11" t="str">
        <f ca="1">IFERROR(__xludf.dummyfunction("""COMPUTED_VALUE"""),"70485862140")</f>
        <v>70485862140</v>
      </c>
      <c r="E181" s="11" t="str">
        <f ca="1">IFERROR(__xludf.dummyfunction("""COMPUTED_VALUE"""),"GSMDS100@GMAIL.COM")</f>
        <v>GSMDS100@GMAIL.COM</v>
      </c>
      <c r="F181" s="11" t="str">
        <f ca="1">IFERROR(__xludf.dummyfunction("""COMPUTED_VALUE"""),"(62) 93842882")</f>
        <v>(62) 93842882</v>
      </c>
      <c r="G181" s="11" t="str">
        <f ca="1">IFERROR(__xludf.dummyfunction("""COMPUTED_VALUE"""),"(62) 993842882")</f>
        <v>(62) 993842882</v>
      </c>
      <c r="H181" s="11" t="str">
        <f ca="1">IFERROR(__xludf.dummyfunction("""COMPUTED_VALUE"""),"SUPERIOR")</f>
        <v>SUPERIOR</v>
      </c>
      <c r="I181" s="10" t="str">
        <f ca="1">IFERROR(__xludf.dummyfunction("""COMPUTED_VALUE"""),"ADMINISTRAÇÃO")</f>
        <v>ADMINISTRAÇÃO</v>
      </c>
      <c r="J181" s="10" t="str">
        <f ca="1">IFERROR(__xludf.dummyfunction("""COMPUTED_VALUE"""),"MANHÃ")</f>
        <v>MANHÃ</v>
      </c>
      <c r="K181" s="10" t="str">
        <f ca="1">IFERROR(__xludf.dummyfunction("""COMPUTED_VALUE"""),"TARDE")</f>
        <v>TARDE</v>
      </c>
      <c r="L181" s="10" t="str">
        <f ca="1">IFERROR(__xludf.dummyfunction("""COMPUTED_VALUE"""),"GOIÂNIA - GO")</f>
        <v>GOIÂNIA - GO</v>
      </c>
      <c r="M181" s="10">
        <f ca="1">IFERROR(__xludf.dummyfunction("""COMPUTED_VALUE"""),3)</f>
        <v>3</v>
      </c>
      <c r="N181" s="10" t="str">
        <f ca="1">IFERROR(__xludf.dummyfunction("""COMPUTED_VALUE"""),"DISPONÍVEL")</f>
        <v>DISPONÍVEL</v>
      </c>
      <c r="O181" s="12">
        <f ca="1">IFERROR(__xludf.dummyfunction("""COMPUTED_VALUE"""),45246)</f>
        <v>45246</v>
      </c>
      <c r="P181" s="11"/>
      <c r="Q181" s="11"/>
      <c r="R181" s="11"/>
    </row>
    <row r="182" spans="1:18">
      <c r="A182" s="10">
        <f ca="1">IFERROR(__xludf.dummyfunction("""COMPUTED_VALUE"""),3)</f>
        <v>3</v>
      </c>
      <c r="B182" s="11" t="str">
        <f ca="1">IFERROR(__xludf.dummyfunction("""COMPUTED_VALUE"""),"MURILO PEREIRA ALMEIDA")</f>
        <v>MURILO PEREIRA ALMEIDA</v>
      </c>
      <c r="C182" s="11"/>
      <c r="D182" s="11" t="str">
        <f ca="1">IFERROR(__xludf.dummyfunction("""COMPUTED_VALUE"""),"12270878450")</f>
        <v>12270878450</v>
      </c>
      <c r="E182" s="11" t="str">
        <f ca="1">IFERROR(__xludf.dummyfunction("""COMPUTED_VALUE"""),"MURILOALMEIDA.REC@GMAIL.COM")</f>
        <v>MURILOALMEIDA.REC@GMAIL.COM</v>
      </c>
      <c r="F182" s="11"/>
      <c r="G182" s="11" t="str">
        <f ca="1">IFERROR(__xludf.dummyfunction("""COMPUTED_VALUE"""),"(62) 984242691")</f>
        <v>(62) 984242691</v>
      </c>
      <c r="H182" s="11" t="str">
        <f ca="1">IFERROR(__xludf.dummyfunction("""COMPUTED_VALUE"""),"SUPERIOR")</f>
        <v>SUPERIOR</v>
      </c>
      <c r="I182" s="10" t="str">
        <f ca="1">IFERROR(__xludf.dummyfunction("""COMPUTED_VALUE"""),"ADMINISTRAÇÃO")</f>
        <v>ADMINISTRAÇÃO</v>
      </c>
      <c r="J182" s="10" t="str">
        <f ca="1">IFERROR(__xludf.dummyfunction("""COMPUTED_VALUE"""),"MANHÃ")</f>
        <v>MANHÃ</v>
      </c>
      <c r="K182" s="10" t="str">
        <f ca="1">IFERROR(__xludf.dummyfunction("""COMPUTED_VALUE"""),"TARDE")</f>
        <v>TARDE</v>
      </c>
      <c r="L182" s="10" t="str">
        <f ca="1">IFERROR(__xludf.dummyfunction("""COMPUTED_VALUE"""),"GOIÂNIA - GO")</f>
        <v>GOIÂNIA - GO</v>
      </c>
      <c r="M182" s="10">
        <f ca="1">IFERROR(__xludf.dummyfunction("""COMPUTED_VALUE"""),5)</f>
        <v>5</v>
      </c>
      <c r="N182" s="10" t="str">
        <f ca="1">IFERROR(__xludf.dummyfunction("""COMPUTED_VALUE"""),"DISPONÍVEL")</f>
        <v>DISPONÍVEL</v>
      </c>
      <c r="O182" s="12"/>
      <c r="P182" s="11"/>
      <c r="Q182" s="11"/>
      <c r="R182" s="11"/>
    </row>
    <row r="183" spans="1:18">
      <c r="A183" s="10">
        <f ca="1">IFERROR(__xludf.dummyfunction("""COMPUTED_VALUE"""),1)</f>
        <v>1</v>
      </c>
      <c r="B183" s="11" t="str">
        <f ca="1">IFERROR(__xludf.dummyfunction("""COMPUTED_VALUE"""),"LUDIELEN RIBEIRO DE OLIVEIRA")</f>
        <v>LUDIELEN RIBEIRO DE OLIVEIRA</v>
      </c>
      <c r="C183" s="11" t="str">
        <f ca="1">IFERROR(__xludf.dummyfunction("""COMPUTED_VALUE"""),"4919265")</f>
        <v>4919265</v>
      </c>
      <c r="D183" s="11" t="str">
        <f ca="1">IFERROR(__xludf.dummyfunction("""COMPUTED_VALUE"""),"02275717110")</f>
        <v>02275717110</v>
      </c>
      <c r="E183" s="11" t="str">
        <f ca="1">IFERROR(__xludf.dummyfunction("""COMPUTED_VALUE"""),"LUDIELENRIBEIRO@HOTMAIL.COM")</f>
        <v>LUDIELENRIBEIRO@HOTMAIL.COM</v>
      </c>
      <c r="F183" s="11" t="str">
        <f ca="1">IFERROR(__xludf.dummyfunction("""COMPUTED_VALUE"""),"(62) 82334310")</f>
        <v>(62) 82334310</v>
      </c>
      <c r="G183" s="11" t="str">
        <f ca="1">IFERROR(__xludf.dummyfunction("""COMPUTED_VALUE"""),"(62) 982334310")</f>
        <v>(62) 982334310</v>
      </c>
      <c r="H183" s="11" t="str">
        <f ca="1">IFERROR(__xludf.dummyfunction("""COMPUTED_VALUE"""),"SUPERIOR")</f>
        <v>SUPERIOR</v>
      </c>
      <c r="I183" s="10" t="str">
        <f ca="1">IFERROR(__xludf.dummyfunction("""COMPUTED_VALUE"""),"ARQUITETURA")</f>
        <v>ARQUITETURA</v>
      </c>
      <c r="J183" s="10" t="str">
        <f ca="1">IFERROR(__xludf.dummyfunction("""COMPUTED_VALUE"""),"MANHÃ")</f>
        <v>MANHÃ</v>
      </c>
      <c r="K183" s="10" t="str">
        <f ca="1">IFERROR(__xludf.dummyfunction("""COMPUTED_VALUE"""),"TARDE")</f>
        <v>TARDE</v>
      </c>
      <c r="L183" s="10" t="str">
        <f ca="1">IFERROR(__xludf.dummyfunction("""COMPUTED_VALUE"""),"GOIÂNIA - GO")</f>
        <v>GOIÂNIA - GO</v>
      </c>
      <c r="M183" s="10">
        <f ca="1">IFERROR(__xludf.dummyfunction("""COMPUTED_VALUE"""),3)</f>
        <v>3</v>
      </c>
      <c r="N183" s="10" t="str">
        <f ca="1">IFERROR(__xludf.dummyfunction("""COMPUTED_VALUE"""),"DISPONÍVEL")</f>
        <v>DISPONÍVEL</v>
      </c>
      <c r="O183" s="12"/>
      <c r="P183" s="11"/>
      <c r="Q183" s="11"/>
      <c r="R183" s="11"/>
    </row>
    <row r="184" spans="1:18">
      <c r="A184" s="10">
        <f ca="1">IFERROR(__xludf.dummyfunction("""COMPUTED_VALUE"""),2)</f>
        <v>2</v>
      </c>
      <c r="B184" s="11" t="str">
        <f ca="1">IFERROR(__xludf.dummyfunction("""COMPUTED_VALUE"""),"MARCOS ROBERTO NEVES DE OLIVEIRA")</f>
        <v>MARCOS ROBERTO NEVES DE OLIVEIRA</v>
      </c>
      <c r="C184" s="11" t="str">
        <f ca="1">IFERROR(__xludf.dummyfunction("""COMPUTED_VALUE"""),"3859663")</f>
        <v>3859663</v>
      </c>
      <c r="D184" s="11" t="str">
        <f ca="1">IFERROR(__xludf.dummyfunction("""COMPUTED_VALUE"""),"94428409168")</f>
        <v>94428409168</v>
      </c>
      <c r="E184" s="11" t="str">
        <f ca="1">IFERROR(__xludf.dummyfunction("""COMPUTED_VALUE"""),"MARCOSRNO@HOTMAIL.COM")</f>
        <v>MARCOSRNO@HOTMAIL.COM</v>
      </c>
      <c r="F184" s="11"/>
      <c r="G184" s="11" t="str">
        <f ca="1">IFERROR(__xludf.dummyfunction("""COMPUTED_VALUE"""),"(62) 996521791")</f>
        <v>(62) 996521791</v>
      </c>
      <c r="H184" s="11" t="str">
        <f ca="1">IFERROR(__xludf.dummyfunction("""COMPUTED_VALUE"""),"SUPERIOR")</f>
        <v>SUPERIOR</v>
      </c>
      <c r="I184" s="10" t="str">
        <f ca="1">IFERROR(__xludf.dummyfunction("""COMPUTED_VALUE"""),"ARQUITETURA")</f>
        <v>ARQUITETURA</v>
      </c>
      <c r="J184" s="10" t="str">
        <f ca="1">IFERROR(__xludf.dummyfunction("""COMPUTED_VALUE"""),"NOITE")</f>
        <v>NOITE</v>
      </c>
      <c r="K184" s="10" t="str">
        <f ca="1">IFERROR(__xludf.dummyfunction("""COMPUTED_VALUE"""),"TARDE")</f>
        <v>TARDE</v>
      </c>
      <c r="L184" s="10" t="str">
        <f ca="1">IFERROR(__xludf.dummyfunction("""COMPUTED_VALUE"""),"GOIÂNIA - GO")</f>
        <v>GOIÂNIA - GO</v>
      </c>
      <c r="M184" s="10">
        <f ca="1">IFERROR(__xludf.dummyfunction("""COMPUTED_VALUE"""),6)</f>
        <v>6</v>
      </c>
      <c r="N184" s="10" t="str">
        <f ca="1">IFERROR(__xludf.dummyfunction("""COMPUTED_VALUE"""),"DISPONÍVEL")</f>
        <v>DISPONÍVEL</v>
      </c>
      <c r="O184" s="12"/>
      <c r="P184" s="11"/>
      <c r="Q184" s="11"/>
      <c r="R184" s="11"/>
    </row>
    <row r="185" spans="1:18">
      <c r="A185" s="10">
        <f ca="1">IFERROR(__xludf.dummyfunction("""COMPUTED_VALUE"""),3)</f>
        <v>3</v>
      </c>
      <c r="B185" s="11" t="str">
        <f ca="1">IFERROR(__xludf.dummyfunction("""COMPUTED_VALUE"""),"LARA GABRIELLY TIERRE HONORIO")</f>
        <v>LARA GABRIELLY TIERRE HONORIO</v>
      </c>
      <c r="C185" s="11"/>
      <c r="D185" s="11" t="str">
        <f ca="1">IFERROR(__xludf.dummyfunction("""COMPUTED_VALUE"""),"75314541149")</f>
        <v>75314541149</v>
      </c>
      <c r="E185" s="11" t="str">
        <f ca="1">IFERROR(__xludf.dummyfunction("""COMPUTED_VALUE"""),"LARATIERRE03@GMAIL.COM")</f>
        <v>LARATIERRE03@GMAIL.COM</v>
      </c>
      <c r="F185" s="11" t="str">
        <f ca="1">IFERROR(__xludf.dummyfunction("""COMPUTED_VALUE"""),"(62) 32827052")</f>
        <v>(62) 32827052</v>
      </c>
      <c r="G185" s="11" t="str">
        <f ca="1">IFERROR(__xludf.dummyfunction("""COMPUTED_VALUE"""),"(62) 996642885")</f>
        <v>(62) 996642885</v>
      </c>
      <c r="H185" s="11" t="str">
        <f ca="1">IFERROR(__xludf.dummyfunction("""COMPUTED_VALUE"""),"SUPERIOR")</f>
        <v>SUPERIOR</v>
      </c>
      <c r="I185" s="10" t="str">
        <f ca="1">IFERROR(__xludf.dummyfunction("""COMPUTED_VALUE"""),"ARQUITETURA")</f>
        <v>ARQUITETURA</v>
      </c>
      <c r="J185" s="10" t="str">
        <f ca="1">IFERROR(__xludf.dummyfunction("""COMPUTED_VALUE"""),"MANHÃ")</f>
        <v>MANHÃ</v>
      </c>
      <c r="K185" s="10" t="str">
        <f ca="1">IFERROR(__xludf.dummyfunction("""COMPUTED_VALUE"""),"TARDE")</f>
        <v>TARDE</v>
      </c>
      <c r="L185" s="10" t="str">
        <f ca="1">IFERROR(__xludf.dummyfunction("""COMPUTED_VALUE"""),"GOIÂNIA - GO")</f>
        <v>GOIÂNIA - GO</v>
      </c>
      <c r="M185" s="10">
        <f ca="1">IFERROR(__xludf.dummyfunction("""COMPUTED_VALUE"""),4)</f>
        <v>4</v>
      </c>
      <c r="N185" s="10" t="str">
        <f ca="1">IFERROR(__xludf.dummyfunction("""COMPUTED_VALUE"""),"DISPONÍVEL")</f>
        <v>DISPONÍVEL</v>
      </c>
      <c r="O185" s="12">
        <f ca="1">IFERROR(__xludf.dummyfunction("""COMPUTED_VALUE"""),45324)</f>
        <v>45324</v>
      </c>
      <c r="P185" s="11"/>
      <c r="Q185" s="11"/>
      <c r="R185" s="11"/>
    </row>
    <row r="186" spans="1:18">
      <c r="A186" s="10">
        <f ca="1">IFERROR(__xludf.dummyfunction("""COMPUTED_VALUE"""),4)</f>
        <v>4</v>
      </c>
      <c r="B186" s="11" t="str">
        <f ca="1">IFERROR(__xludf.dummyfunction("""COMPUTED_VALUE"""),"REGIANE CAVALCANTE DOS SANTOS")</f>
        <v>REGIANE CAVALCANTE DOS SANTOS</v>
      </c>
      <c r="C186" s="11" t="str">
        <f ca="1">IFERROR(__xludf.dummyfunction("""COMPUTED_VALUE"""),"7172538")</f>
        <v>7172538</v>
      </c>
      <c r="D186" s="11" t="str">
        <f ca="1">IFERROR(__xludf.dummyfunction("""COMPUTED_VALUE"""),"71205200169")</f>
        <v>71205200169</v>
      </c>
      <c r="E186" s="11" t="str">
        <f ca="1">IFERROR(__xludf.dummyfunction("""COMPUTED_VALUE"""),"REGIANECAVALCANTE245@GMAIL.COM")</f>
        <v>REGIANECAVALCANTE245@GMAIL.COM</v>
      </c>
      <c r="F186" s="11"/>
      <c r="G186" s="11" t="str">
        <f ca="1">IFERROR(__xludf.dummyfunction("""COMPUTED_VALUE"""),"(62) 992303449")</f>
        <v>(62) 992303449</v>
      </c>
      <c r="H186" s="11" t="str">
        <f ca="1">IFERROR(__xludf.dummyfunction("""COMPUTED_VALUE"""),"SUPERIOR")</f>
        <v>SUPERIOR</v>
      </c>
      <c r="I186" s="10" t="str">
        <f ca="1">IFERROR(__xludf.dummyfunction("""COMPUTED_VALUE"""),"ARQUITETURA")</f>
        <v>ARQUITETURA</v>
      </c>
      <c r="J186" s="10" t="str">
        <f ca="1">IFERROR(__xludf.dummyfunction("""COMPUTED_VALUE"""),"NOITE")</f>
        <v>NOITE</v>
      </c>
      <c r="K186" s="10" t="str">
        <f ca="1">IFERROR(__xludf.dummyfunction("""COMPUTED_VALUE"""),"TARDE")</f>
        <v>TARDE</v>
      </c>
      <c r="L186" s="10" t="str">
        <f ca="1">IFERROR(__xludf.dummyfunction("""COMPUTED_VALUE"""),"GOIÂNIA - GO")</f>
        <v>GOIÂNIA - GO</v>
      </c>
      <c r="M186" s="10">
        <f ca="1">IFERROR(__xludf.dummyfunction("""COMPUTED_VALUE"""),5)</f>
        <v>5</v>
      </c>
      <c r="N186" s="10" t="str">
        <f ca="1">IFERROR(__xludf.dummyfunction("""COMPUTED_VALUE"""),"DISPONÍVEL")</f>
        <v>DISPONÍVEL</v>
      </c>
      <c r="O186" s="12">
        <f ca="1">IFERROR(__xludf.dummyfunction("""COMPUTED_VALUE"""),45324)</f>
        <v>45324</v>
      </c>
      <c r="P186" s="11"/>
      <c r="Q186" s="11"/>
      <c r="R186" s="11"/>
    </row>
    <row r="187" spans="1:18">
      <c r="A187" s="10">
        <f ca="1">IFERROR(__xludf.dummyfunction("""COMPUTED_VALUE"""),1)</f>
        <v>1</v>
      </c>
      <c r="B187" s="11" t="str">
        <f ca="1">IFERROR(__xludf.dummyfunction("""COMPUTED_VALUE"""),"VALDEIR SOARES DA CRUZ")</f>
        <v>VALDEIR SOARES DA CRUZ</v>
      </c>
      <c r="C187" s="11" t="str">
        <f ca="1">IFERROR(__xludf.dummyfunction("""COMPUTED_VALUE"""),"5231640")</f>
        <v>5231640</v>
      </c>
      <c r="D187" s="11" t="str">
        <f ca="1">IFERROR(__xludf.dummyfunction("""COMPUTED_VALUE"""),"02886761141")</f>
        <v>02886761141</v>
      </c>
      <c r="E187" s="11" t="str">
        <f ca="1">IFERROR(__xludf.dummyfunction("""COMPUTED_VALUE"""),"VALDEIRSOARESS@HOTMAIL.COM")</f>
        <v>VALDEIRSOARESS@HOTMAIL.COM</v>
      </c>
      <c r="F187" s="11" t="str">
        <f ca="1">IFERROR(__xludf.dummyfunction("""COMPUTED_VALUE"""),"(62) 82912146")</f>
        <v>(62) 82912146</v>
      </c>
      <c r="G187" s="11" t="str">
        <f ca="1">IFERROR(__xludf.dummyfunction("""COMPUTED_VALUE"""),"(62) 982912146")</f>
        <v>(62) 982912146</v>
      </c>
      <c r="H187" s="11" t="str">
        <f ca="1">IFERROR(__xludf.dummyfunction("""COMPUTED_VALUE"""),"SUPERIOR")</f>
        <v>SUPERIOR</v>
      </c>
      <c r="I187" s="10" t="str">
        <f ca="1">IFERROR(__xludf.dummyfunction("""COMPUTED_VALUE"""),"CIÊNCIAS CONTÁBEIS")</f>
        <v>CIÊNCIAS CONTÁBEIS</v>
      </c>
      <c r="J187" s="10" t="str">
        <f ca="1">IFERROR(__xludf.dummyfunction("""COMPUTED_VALUE"""),"NOITE")</f>
        <v>NOITE</v>
      </c>
      <c r="K187" s="10" t="str">
        <f ca="1">IFERROR(__xludf.dummyfunction("""COMPUTED_VALUE"""),"TARDE")</f>
        <v>TARDE</v>
      </c>
      <c r="L187" s="10" t="str">
        <f ca="1">IFERROR(__xludf.dummyfunction("""COMPUTED_VALUE"""),"GOIÂNIA - GO")</f>
        <v>GOIÂNIA - GO</v>
      </c>
      <c r="M187" s="10">
        <f ca="1">IFERROR(__xludf.dummyfunction("""COMPUTED_VALUE"""),3)</f>
        <v>3</v>
      </c>
      <c r="N187" s="10" t="str">
        <f ca="1">IFERROR(__xludf.dummyfunction("""COMPUTED_VALUE"""),"2ª CONVOCAÇÃO")</f>
        <v>2ª CONVOCAÇÃO</v>
      </c>
      <c r="O187" s="12">
        <f ca="1">IFERROR(__xludf.dummyfunction("""COMPUTED_VALUE"""),45324)</f>
        <v>45324</v>
      </c>
      <c r="P187" s="11" t="str">
        <f ca="1">IFERROR(__xludf.dummyfunction("""COMPUTED_VALUE"""),"Desistiu da vaga")</f>
        <v>Desistiu da vaga</v>
      </c>
      <c r="Q187" s="11"/>
      <c r="R187" s="11"/>
    </row>
    <row r="188" spans="1:18">
      <c r="A188" s="10">
        <f ca="1">IFERROR(__xludf.dummyfunction("""COMPUTED_VALUE"""),2)</f>
        <v>2</v>
      </c>
      <c r="B188" s="11" t="str">
        <f ca="1">IFERROR(__xludf.dummyfunction("""COMPUTED_VALUE"""),"KALINNE TASSIA FERREIRA PINTO")</f>
        <v>KALINNE TASSIA FERREIRA PINTO</v>
      </c>
      <c r="C188" s="11"/>
      <c r="D188" s="11" t="str">
        <f ca="1">IFERROR(__xludf.dummyfunction("""COMPUTED_VALUE"""),"70298403137")</f>
        <v>70298403137</v>
      </c>
      <c r="E188" s="11" t="str">
        <f ca="1">IFERROR(__xludf.dummyfunction("""COMPUTED_VALUE"""),"KALINNE.TASSIA23@GMAIL.COM")</f>
        <v>KALINNE.TASSIA23@GMAIL.COM</v>
      </c>
      <c r="F188" s="11"/>
      <c r="G188" s="11" t="str">
        <f ca="1">IFERROR(__xludf.dummyfunction("""COMPUTED_VALUE"""),"(62) 995117007")</f>
        <v>(62) 995117007</v>
      </c>
      <c r="H188" s="11" t="str">
        <f ca="1">IFERROR(__xludf.dummyfunction("""COMPUTED_VALUE"""),"SUPERIOR")</f>
        <v>SUPERIOR</v>
      </c>
      <c r="I188" s="10" t="str">
        <f ca="1">IFERROR(__xludf.dummyfunction("""COMPUTED_VALUE"""),"CIÊNCIAS CONTÁBEIS")</f>
        <v>CIÊNCIAS CONTÁBEIS</v>
      </c>
      <c r="J188" s="10" t="str">
        <f ca="1">IFERROR(__xludf.dummyfunction("""COMPUTED_VALUE"""),"NOITE")</f>
        <v>NOITE</v>
      </c>
      <c r="K188" s="10" t="str">
        <f ca="1">IFERROR(__xludf.dummyfunction("""COMPUTED_VALUE"""),"TARDE")</f>
        <v>TARDE</v>
      </c>
      <c r="L188" s="10" t="str">
        <f ca="1">IFERROR(__xludf.dummyfunction("""COMPUTED_VALUE"""),"GOIÂNIA - GO")</f>
        <v>GOIÂNIA - GO</v>
      </c>
      <c r="M188" s="10">
        <f ca="1">IFERROR(__xludf.dummyfunction("""COMPUTED_VALUE"""),3)</f>
        <v>3</v>
      </c>
      <c r="N188" s="10" t="str">
        <f ca="1">IFERROR(__xludf.dummyfunction("""COMPUTED_VALUE"""),"CONTRATADO")</f>
        <v>CONTRATADO</v>
      </c>
      <c r="O188" s="12">
        <f ca="1">IFERROR(__xludf.dummyfunction("""COMPUTED_VALUE"""),45324)</f>
        <v>45324</v>
      </c>
      <c r="P188" s="11"/>
      <c r="Q188" s="11"/>
      <c r="R188" s="11"/>
    </row>
    <row r="189" spans="1:18">
      <c r="A189" s="10">
        <f ca="1">IFERROR(__xludf.dummyfunction("""COMPUTED_VALUE"""),3)</f>
        <v>3</v>
      </c>
      <c r="B189" s="11" t="str">
        <f ca="1">IFERROR(__xludf.dummyfunction("""COMPUTED_VALUE"""),"SAMELLA RODRIGUES MONTEIRO")</f>
        <v>SAMELLA RODRIGUES MONTEIRO</v>
      </c>
      <c r="C189" s="11" t="str">
        <f ca="1">IFERROR(__xludf.dummyfunction("""COMPUTED_VALUE"""),"7242119")</f>
        <v>7242119</v>
      </c>
      <c r="D189" s="11" t="str">
        <f ca="1">IFERROR(__xludf.dummyfunction("""COMPUTED_VALUE"""),"71277039143")</f>
        <v>71277039143</v>
      </c>
      <c r="E189" s="11" t="str">
        <f ca="1">IFERROR(__xludf.dummyfunction("""COMPUTED_VALUE"""),"SAMELLARODRIGUES57@GMAIL.COM")</f>
        <v>SAMELLARODRIGUES57@GMAIL.COM</v>
      </c>
      <c r="F189" s="11"/>
      <c r="G189" s="11" t="str">
        <f ca="1">IFERROR(__xludf.dummyfunction("""COMPUTED_VALUE"""),"(62) 993940061")</f>
        <v>(62) 993940061</v>
      </c>
      <c r="H189" s="11" t="str">
        <f ca="1">IFERROR(__xludf.dummyfunction("""COMPUTED_VALUE"""),"SUPERIOR")</f>
        <v>SUPERIOR</v>
      </c>
      <c r="I189" s="10" t="str">
        <f ca="1">IFERROR(__xludf.dummyfunction("""COMPUTED_VALUE"""),"CIÊNCIAS CONTÁBEIS")</f>
        <v>CIÊNCIAS CONTÁBEIS</v>
      </c>
      <c r="J189" s="10" t="str">
        <f ca="1">IFERROR(__xludf.dummyfunction("""COMPUTED_VALUE"""),"MANHÃ")</f>
        <v>MANHÃ</v>
      </c>
      <c r="K189" s="10" t="str">
        <f ca="1">IFERROR(__xludf.dummyfunction("""COMPUTED_VALUE"""),"TARDE")</f>
        <v>TARDE</v>
      </c>
      <c r="L189" s="10" t="str">
        <f ca="1">IFERROR(__xludf.dummyfunction("""COMPUTED_VALUE"""),"GOIÂNIA - GO")</f>
        <v>GOIÂNIA - GO</v>
      </c>
      <c r="M189" s="10">
        <f ca="1">IFERROR(__xludf.dummyfunction("""COMPUTED_VALUE"""),4)</f>
        <v>4</v>
      </c>
      <c r="N189" s="10" t="str">
        <f ca="1">IFERROR(__xludf.dummyfunction("""COMPUTED_VALUE"""),"CONTRATADO")</f>
        <v>CONTRATADO</v>
      </c>
      <c r="O189" s="12">
        <f ca="1">IFERROR(__xludf.dummyfunction("""COMPUTED_VALUE"""),45324)</f>
        <v>45324</v>
      </c>
      <c r="P189" s="11"/>
      <c r="Q189" s="11"/>
      <c r="R189" s="11"/>
    </row>
    <row r="190" spans="1:18">
      <c r="A190" s="10">
        <f ca="1">IFERROR(__xludf.dummyfunction("""COMPUTED_VALUE"""),4)</f>
        <v>4</v>
      </c>
      <c r="B190" s="11" t="str">
        <f ca="1">IFERROR(__xludf.dummyfunction("""COMPUTED_VALUE"""),"KARINE MENEZES DOS SANTOS")</f>
        <v>KARINE MENEZES DOS SANTOS</v>
      </c>
      <c r="C190" s="11" t="str">
        <f ca="1">IFERROR(__xludf.dummyfunction("""COMPUTED_VALUE"""),"5783984")</f>
        <v>5783984</v>
      </c>
      <c r="D190" s="11" t="str">
        <f ca="1">IFERROR(__xludf.dummyfunction("""COMPUTED_VALUE"""),"04646006189")</f>
        <v>04646006189</v>
      </c>
      <c r="E190" s="11" t="str">
        <f ca="1">IFERROR(__xludf.dummyfunction("""COMPUTED_VALUE"""),"KARINEMDS@OUTLOOK.COM")</f>
        <v>KARINEMDS@OUTLOOK.COM</v>
      </c>
      <c r="F190" s="11"/>
      <c r="G190" s="11" t="str">
        <f ca="1">IFERROR(__xludf.dummyfunction("""COMPUTED_VALUE"""),"(62) 992758067")</f>
        <v>(62) 992758067</v>
      </c>
      <c r="H190" s="11" t="str">
        <f ca="1">IFERROR(__xludf.dummyfunction("""COMPUTED_VALUE"""),"SUPERIOR")</f>
        <v>SUPERIOR</v>
      </c>
      <c r="I190" s="10" t="str">
        <f ca="1">IFERROR(__xludf.dummyfunction("""COMPUTED_VALUE"""),"CIÊNCIAS CONTÁBEIS")</f>
        <v>CIÊNCIAS CONTÁBEIS</v>
      </c>
      <c r="J190" s="10" t="str">
        <f ca="1">IFERROR(__xludf.dummyfunction("""COMPUTED_VALUE"""),"NOITE")</f>
        <v>NOITE</v>
      </c>
      <c r="K190" s="10" t="str">
        <f ca="1">IFERROR(__xludf.dummyfunction("""COMPUTED_VALUE"""),"TARDE")</f>
        <v>TARDE</v>
      </c>
      <c r="L190" s="10" t="str">
        <f ca="1">IFERROR(__xludf.dummyfunction("""COMPUTED_VALUE"""),"GOIÂNIA - GO")</f>
        <v>GOIÂNIA - GO</v>
      </c>
      <c r="M190" s="10">
        <f ca="1">IFERROR(__xludf.dummyfunction("""COMPUTED_VALUE"""),7)</f>
        <v>7</v>
      </c>
      <c r="N190" s="10" t="str">
        <f ca="1">IFERROR(__xludf.dummyfunction("""COMPUTED_VALUE"""),"1ª CONVOCAÇÃO")</f>
        <v>1ª CONVOCAÇÃO</v>
      </c>
      <c r="O190" s="12">
        <f ca="1">IFERROR(__xludf.dummyfunction("""COMPUTED_VALUE"""),45324)</f>
        <v>45324</v>
      </c>
      <c r="P190" s="11"/>
      <c r="Q190" s="11"/>
      <c r="R190" s="11"/>
    </row>
    <row r="191" spans="1:18">
      <c r="A191" s="10">
        <f ca="1">IFERROR(__xludf.dummyfunction("""COMPUTED_VALUE"""),5)</f>
        <v>5</v>
      </c>
      <c r="B191" s="11" t="str">
        <f ca="1">IFERROR(__xludf.dummyfunction("""COMPUTED_VALUE"""),"LORRAYNE RODRIGUES MOURA")</f>
        <v>LORRAYNE RODRIGUES MOURA</v>
      </c>
      <c r="C191" s="11"/>
      <c r="D191" s="11" t="str">
        <f ca="1">IFERROR(__xludf.dummyfunction("""COMPUTED_VALUE"""),"06482173101")</f>
        <v>06482173101</v>
      </c>
      <c r="E191" s="11" t="str">
        <f ca="1">IFERROR(__xludf.dummyfunction("""COMPUTED_VALUE"""),"LORRAYNERODRIGUESGPO@GMAIL.COM")</f>
        <v>LORRAYNERODRIGUESGPO@GMAIL.COM</v>
      </c>
      <c r="F191" s="11"/>
      <c r="G191" s="11" t="str">
        <f ca="1">IFERROR(__xludf.dummyfunction("""COMPUTED_VALUE"""),"(62) 991497174")</f>
        <v>(62) 991497174</v>
      </c>
      <c r="H191" s="11" t="str">
        <f ca="1">IFERROR(__xludf.dummyfunction("""COMPUTED_VALUE"""),"SUPERIOR")</f>
        <v>SUPERIOR</v>
      </c>
      <c r="I191" s="10" t="str">
        <f ca="1">IFERROR(__xludf.dummyfunction("""COMPUTED_VALUE"""),"CIÊNCIAS CONTÁBEIS")</f>
        <v>CIÊNCIAS CONTÁBEIS</v>
      </c>
      <c r="J191" s="10" t="str">
        <f ca="1">IFERROR(__xludf.dummyfunction("""COMPUTED_VALUE"""),"VARIÁVEL")</f>
        <v>VARIÁVEL</v>
      </c>
      <c r="K191" s="10" t="str">
        <f ca="1">IFERROR(__xludf.dummyfunction("""COMPUTED_VALUE"""),"TARDE")</f>
        <v>TARDE</v>
      </c>
      <c r="L191" s="10" t="str">
        <f ca="1">IFERROR(__xludf.dummyfunction("""COMPUTED_VALUE"""),"GOIÂNIA - GO")</f>
        <v>GOIÂNIA - GO</v>
      </c>
      <c r="M191" s="10">
        <f ca="1">IFERROR(__xludf.dummyfunction("""COMPUTED_VALUE"""),7)</f>
        <v>7</v>
      </c>
      <c r="N191" s="10" t="str">
        <f ca="1">IFERROR(__xludf.dummyfunction("""COMPUTED_VALUE"""),"DESCLASSIFICADO")</f>
        <v>DESCLASSIFICADO</v>
      </c>
      <c r="O191" s="12">
        <f ca="1">IFERROR(__xludf.dummyfunction("""COMPUTED_VALUE"""),45324)</f>
        <v>45324</v>
      </c>
      <c r="P191" s="11" t="str">
        <f ca="1">IFERROR(__xludf.dummyfunction("""COMPUTED_VALUE"""),"Cursando o último semestre")</f>
        <v>Cursando o último semestre</v>
      </c>
      <c r="Q191" s="11"/>
      <c r="R191" s="11"/>
    </row>
    <row r="192" spans="1:18">
      <c r="A192" s="10">
        <f ca="1">IFERROR(__xludf.dummyfunction("""COMPUTED_VALUE"""),1)</f>
        <v>1</v>
      </c>
      <c r="B192" s="11" t="str">
        <f ca="1">IFERROR(__xludf.dummyfunction("""COMPUTED_VALUE"""),"VICTÓRIA KAROLYNE DE SOUZA BANDEIRA")</f>
        <v>VICTÓRIA KAROLYNE DE SOUZA BANDEIRA</v>
      </c>
      <c r="C192" s="11"/>
      <c r="D192" s="11" t="str">
        <f ca="1">IFERROR(__xludf.dummyfunction("""COMPUTED_VALUE"""),"70469256150")</f>
        <v>70469256150</v>
      </c>
      <c r="E192" s="11" t="str">
        <f ca="1">IFERROR(__xludf.dummyfunction("""COMPUTED_VALUE"""),"VICTORIASB70@GMAIL.COM")</f>
        <v>VICTORIASB70@GMAIL.COM</v>
      </c>
      <c r="F192" s="11"/>
      <c r="G192" s="11" t="str">
        <f ca="1">IFERROR(__xludf.dummyfunction("""COMPUTED_VALUE"""),"(62) 985585217")</f>
        <v>(62) 985585217</v>
      </c>
      <c r="H192" s="11" t="str">
        <f ca="1">IFERROR(__xludf.dummyfunction("""COMPUTED_VALUE"""),"SUPERIOR")</f>
        <v>SUPERIOR</v>
      </c>
      <c r="I192" s="10" t="str">
        <f ca="1">IFERROR(__xludf.dummyfunction("""COMPUTED_VALUE"""),"DIREITO")</f>
        <v>DIREITO</v>
      </c>
      <c r="J192" s="10" t="str">
        <f ca="1">IFERROR(__xludf.dummyfunction("""COMPUTED_VALUE"""),"MANHÃ")</f>
        <v>MANHÃ</v>
      </c>
      <c r="K192" s="10" t="str">
        <f ca="1">IFERROR(__xludf.dummyfunction("""COMPUTED_VALUE"""),"TARDE")</f>
        <v>TARDE</v>
      </c>
      <c r="L192" s="10" t="str">
        <f ca="1">IFERROR(__xludf.dummyfunction("""COMPUTED_VALUE"""),"GOIÂNIA - GO")</f>
        <v>GOIÂNIA - GO</v>
      </c>
      <c r="M192" s="10">
        <f ca="1">IFERROR(__xludf.dummyfunction("""COMPUTED_VALUE"""),5)</f>
        <v>5</v>
      </c>
      <c r="N192" s="10" t="str">
        <f ca="1">IFERROR(__xludf.dummyfunction("""COMPUTED_VALUE"""),"REMANEJADO")</f>
        <v>REMANEJADO</v>
      </c>
      <c r="O192" s="12">
        <f ca="1">IFERROR(__xludf.dummyfunction("""COMPUTED_VALUE"""),45324)</f>
        <v>45324</v>
      </c>
      <c r="P192" s="11"/>
      <c r="Q192" s="11"/>
      <c r="R192" s="11"/>
    </row>
    <row r="193" spans="1:18">
      <c r="A193" s="10">
        <f ca="1">IFERROR(__xludf.dummyfunction("""COMPUTED_VALUE"""),2)</f>
        <v>2</v>
      </c>
      <c r="B193" s="11" t="str">
        <f ca="1">IFERROR(__xludf.dummyfunction("""COMPUTED_VALUE"""),"JOCIMAR DOS SANTOS FILHO")</f>
        <v>JOCIMAR DOS SANTOS FILHO</v>
      </c>
      <c r="C193" s="11"/>
      <c r="D193" s="11" t="str">
        <f ca="1">IFERROR(__xludf.dummyfunction("""COMPUTED_VALUE"""),"70302896171")</f>
        <v>70302896171</v>
      </c>
      <c r="E193" s="11" t="str">
        <f ca="1">IFERROR(__xludf.dummyfunction("""COMPUTED_VALUE"""),"JOCIMARFILHO@JDS.ADV.BR")</f>
        <v>JOCIMARFILHO@JDS.ADV.BR</v>
      </c>
      <c r="F193" s="11" t="str">
        <f ca="1">IFERROR(__xludf.dummyfunction("""COMPUTED_VALUE"""),"(62) 30926457")</f>
        <v>(62) 30926457</v>
      </c>
      <c r="G193" s="11" t="str">
        <f ca="1">IFERROR(__xludf.dummyfunction("""COMPUTED_VALUE"""),"(62) 996931393")</f>
        <v>(62) 996931393</v>
      </c>
      <c r="H193" s="11" t="str">
        <f ca="1">IFERROR(__xludf.dummyfunction("""COMPUTED_VALUE"""),"SUPERIOR")</f>
        <v>SUPERIOR</v>
      </c>
      <c r="I193" s="10" t="str">
        <f ca="1">IFERROR(__xludf.dummyfunction("""COMPUTED_VALUE"""),"DIREITO")</f>
        <v>DIREITO</v>
      </c>
      <c r="J193" s="10" t="str">
        <f ca="1">IFERROR(__xludf.dummyfunction("""COMPUTED_VALUE"""),"NOITE")</f>
        <v>NOITE</v>
      </c>
      <c r="K193" s="10" t="str">
        <f ca="1">IFERROR(__xludf.dummyfunction("""COMPUTED_VALUE"""),"TARDE")</f>
        <v>TARDE</v>
      </c>
      <c r="L193" s="10" t="str">
        <f ca="1">IFERROR(__xludf.dummyfunction("""COMPUTED_VALUE"""),"GOIÂNIA - GO")</f>
        <v>GOIÂNIA - GO</v>
      </c>
      <c r="M193" s="10">
        <f ca="1">IFERROR(__xludf.dummyfunction("""COMPUTED_VALUE"""),5)</f>
        <v>5</v>
      </c>
      <c r="N193" s="10" t="str">
        <f ca="1">IFERROR(__xludf.dummyfunction("""COMPUTED_VALUE"""),"DESCLASSIFICADO")</f>
        <v>DESCLASSIFICADO</v>
      </c>
      <c r="O193" s="12">
        <f ca="1">IFERROR(__xludf.dummyfunction("""COMPUTED_VALUE"""),45324)</f>
        <v>45324</v>
      </c>
      <c r="P193" s="11" t="str">
        <f ca="1">IFERROR(__xludf.dummyfunction("""COMPUTED_VALUE"""),"Contratado pelo edital 06/2023")</f>
        <v>Contratado pelo edital 06/2023</v>
      </c>
      <c r="Q193" s="11"/>
      <c r="R193" s="11"/>
    </row>
    <row r="194" spans="1:18">
      <c r="A194" s="10">
        <f ca="1">IFERROR(__xludf.dummyfunction("""COMPUTED_VALUE"""),3)</f>
        <v>3</v>
      </c>
      <c r="B194" s="11" t="str">
        <f ca="1">IFERROR(__xludf.dummyfunction("""COMPUTED_VALUE"""),"MANUELA MACHADO PINHEIRO")</f>
        <v>MANUELA MACHADO PINHEIRO</v>
      </c>
      <c r="C194" s="11"/>
      <c r="D194" s="11" t="str">
        <f ca="1">IFERROR(__xludf.dummyfunction("""COMPUTED_VALUE"""),"70283806109")</f>
        <v>70283806109</v>
      </c>
      <c r="E194" s="11" t="str">
        <f ca="1">IFERROR(__xludf.dummyfunction("""COMPUTED_VALUE"""),"MANUELAMACHADOPINHEIRO@GMAIL.COM")</f>
        <v>MANUELAMACHADOPINHEIRO@GMAIL.COM</v>
      </c>
      <c r="F194" s="11"/>
      <c r="G194" s="11" t="str">
        <f ca="1">IFERROR(__xludf.dummyfunction("""COMPUTED_VALUE"""),"(62) 982242681")</f>
        <v>(62) 982242681</v>
      </c>
      <c r="H194" s="11" t="str">
        <f ca="1">IFERROR(__xludf.dummyfunction("""COMPUTED_VALUE"""),"SUPERIOR")</f>
        <v>SUPERIOR</v>
      </c>
      <c r="I194" s="10" t="str">
        <f ca="1">IFERROR(__xludf.dummyfunction("""COMPUTED_VALUE"""),"DIREITO")</f>
        <v>DIREITO</v>
      </c>
      <c r="J194" s="10" t="str">
        <f ca="1">IFERROR(__xludf.dummyfunction("""COMPUTED_VALUE"""),"TARDE")</f>
        <v>TARDE</v>
      </c>
      <c r="K194" s="10" t="str">
        <f ca="1">IFERROR(__xludf.dummyfunction("""COMPUTED_VALUE"""),"TARDE")</f>
        <v>TARDE</v>
      </c>
      <c r="L194" s="10" t="str">
        <f ca="1">IFERROR(__xludf.dummyfunction("""COMPUTED_VALUE"""),"GOIÂNIA - GO")</f>
        <v>GOIÂNIA - GO</v>
      </c>
      <c r="M194" s="10">
        <f ca="1">IFERROR(__xludf.dummyfunction("""COMPUTED_VALUE"""),5)</f>
        <v>5</v>
      </c>
      <c r="N194" s="10" t="str">
        <f ca="1">IFERROR(__xludf.dummyfunction("""COMPUTED_VALUE"""),"REMANEJADO")</f>
        <v>REMANEJADO</v>
      </c>
      <c r="O194" s="12">
        <f ca="1">IFERROR(__xludf.dummyfunction("""COMPUTED_VALUE"""),45324)</f>
        <v>45324</v>
      </c>
      <c r="P194" s="11" t="str">
        <f ca="1">IFERROR(__xludf.dummyfunction("""COMPUTED_VALUE"""),"SEM RETORNO")</f>
        <v>SEM RETORNO</v>
      </c>
      <c r="Q194" s="11"/>
      <c r="R194" s="11"/>
    </row>
    <row r="195" spans="1:18">
      <c r="A195" s="10">
        <f ca="1">IFERROR(__xludf.dummyfunction("""COMPUTED_VALUE"""),4)</f>
        <v>4</v>
      </c>
      <c r="B195" s="11" t="str">
        <f ca="1">IFERROR(__xludf.dummyfunction("""COMPUTED_VALUE"""),"ANA LUIZA MERENCIO SOARES")</f>
        <v>ANA LUIZA MERENCIO SOARES</v>
      </c>
      <c r="C195" s="11"/>
      <c r="D195" s="11" t="str">
        <f ca="1">IFERROR(__xludf.dummyfunction("""COMPUTED_VALUE"""),"70125909128")</f>
        <v>70125909128</v>
      </c>
      <c r="E195" s="11" t="str">
        <f ca="1">IFERROR(__xludf.dummyfunction("""COMPUTED_VALUE"""),"ANALUIZAMERENCIO0@GMAIL.COM")</f>
        <v>ANALUIZAMERENCIO0@GMAIL.COM</v>
      </c>
      <c r="F195" s="11" t="str">
        <f ca="1">IFERROR(__xludf.dummyfunction("""COMPUTED_VALUE"""),"(62) 99839620")</f>
        <v>(62) 99839620</v>
      </c>
      <c r="G195" s="11" t="str">
        <f ca="1">IFERROR(__xludf.dummyfunction("""COMPUTED_VALUE"""),"(62) 995123940")</f>
        <v>(62) 995123940</v>
      </c>
      <c r="H195" s="11" t="str">
        <f ca="1">IFERROR(__xludf.dummyfunction("""COMPUTED_VALUE"""),"SUPERIOR")</f>
        <v>SUPERIOR</v>
      </c>
      <c r="I195" s="10" t="str">
        <f ca="1">IFERROR(__xludf.dummyfunction("""COMPUTED_VALUE"""),"DIREITO")</f>
        <v>DIREITO</v>
      </c>
      <c r="J195" s="10" t="str">
        <f ca="1">IFERROR(__xludf.dummyfunction("""COMPUTED_VALUE"""),"NOITE")</f>
        <v>NOITE</v>
      </c>
      <c r="K195" s="10" t="str">
        <f ca="1">IFERROR(__xludf.dummyfunction("""COMPUTED_VALUE"""),"TARDE")</f>
        <v>TARDE</v>
      </c>
      <c r="L195" s="10" t="str">
        <f ca="1">IFERROR(__xludf.dummyfunction("""COMPUTED_VALUE"""),"GOIÂNIA - GO")</f>
        <v>GOIÂNIA - GO</v>
      </c>
      <c r="M195" s="10">
        <f ca="1">IFERROR(__xludf.dummyfunction("""COMPUTED_VALUE"""),5)</f>
        <v>5</v>
      </c>
      <c r="N195" s="10" t="str">
        <f ca="1">IFERROR(__xludf.dummyfunction("""COMPUTED_VALUE"""),"REMANEJADO")</f>
        <v>REMANEJADO</v>
      </c>
      <c r="O195" s="12">
        <f ca="1">IFERROR(__xludf.dummyfunction("""COMPUTED_VALUE"""),45327)</f>
        <v>45327</v>
      </c>
      <c r="P195" s="11" t="str">
        <f ca="1">IFERROR(__xludf.dummyfunction("""COMPUTED_VALUE"""),"SEM RETORNO")</f>
        <v>SEM RETORNO</v>
      </c>
      <c r="Q195" s="11"/>
      <c r="R195" s="11"/>
    </row>
    <row r="196" spans="1:18">
      <c r="A196" s="10">
        <f ca="1">IFERROR(__xludf.dummyfunction("""COMPUTED_VALUE"""),5)</f>
        <v>5</v>
      </c>
      <c r="B196" s="11" t="str">
        <f ca="1">IFERROR(__xludf.dummyfunction("""COMPUTED_VALUE"""),"IGOR GONÇALVES FAVARO")</f>
        <v>IGOR GONÇALVES FAVARO</v>
      </c>
      <c r="C196" s="11"/>
      <c r="D196" s="11" t="str">
        <f ca="1">IFERROR(__xludf.dummyfunction("""COMPUTED_VALUE"""),"03898422143")</f>
        <v>03898422143</v>
      </c>
      <c r="E196" s="11" t="str">
        <f ca="1">IFERROR(__xludf.dummyfunction("""COMPUTED_VALUE"""),"IGORGONFAVARO@GMAIL.COM")</f>
        <v>IGORGONFAVARO@GMAIL.COM</v>
      </c>
      <c r="F196" s="11" t="str">
        <f ca="1">IFERROR(__xludf.dummyfunction("""COMPUTED_VALUE"""),"(62) 34342899")</f>
        <v>(62) 34342899</v>
      </c>
      <c r="G196" s="11" t="str">
        <f ca="1">IFERROR(__xludf.dummyfunction("""COMPUTED_VALUE"""),"(62) 992737000")</f>
        <v>(62) 992737000</v>
      </c>
      <c r="H196" s="11" t="str">
        <f ca="1">IFERROR(__xludf.dummyfunction("""COMPUTED_VALUE"""),"SUPERIOR")</f>
        <v>SUPERIOR</v>
      </c>
      <c r="I196" s="10" t="str">
        <f ca="1">IFERROR(__xludf.dummyfunction("""COMPUTED_VALUE"""),"DIREITO")</f>
        <v>DIREITO</v>
      </c>
      <c r="J196" s="10" t="str">
        <f ca="1">IFERROR(__xludf.dummyfunction("""COMPUTED_VALUE"""),"MANHÃ")</f>
        <v>MANHÃ</v>
      </c>
      <c r="K196" s="10" t="str">
        <f ca="1">IFERROR(__xludf.dummyfunction("""COMPUTED_VALUE"""),"TARDE")</f>
        <v>TARDE</v>
      </c>
      <c r="L196" s="10" t="str">
        <f ca="1">IFERROR(__xludf.dummyfunction("""COMPUTED_VALUE"""),"GOIÂNIA - GO")</f>
        <v>GOIÂNIA - GO</v>
      </c>
      <c r="M196" s="10">
        <f ca="1">IFERROR(__xludf.dummyfunction("""COMPUTED_VALUE"""),9)</f>
        <v>9</v>
      </c>
      <c r="N196" s="10" t="str">
        <f ca="1">IFERROR(__xludf.dummyfunction("""COMPUTED_VALUE"""),"REMANEJADO")</f>
        <v>REMANEJADO</v>
      </c>
      <c r="O196" s="12">
        <f ca="1">IFERROR(__xludf.dummyfunction("""COMPUTED_VALUE"""),45327)</f>
        <v>45327</v>
      </c>
      <c r="P196" s="11" t="str">
        <f ca="1">IFERROR(__xludf.dummyfunction("""COMPUTED_VALUE"""),"SEM RETORNO")</f>
        <v>SEM RETORNO</v>
      </c>
      <c r="Q196" s="11"/>
      <c r="R196" s="11"/>
    </row>
    <row r="197" spans="1:18">
      <c r="A197" s="10">
        <f ca="1">IFERROR(__xludf.dummyfunction("""COMPUTED_VALUE"""),6)</f>
        <v>6</v>
      </c>
      <c r="B197" s="11" t="str">
        <f ca="1">IFERROR(__xludf.dummyfunction("""COMPUTED_VALUE"""),"ISABELLA LEÃO SILVA MELO")</f>
        <v>ISABELLA LEÃO SILVA MELO</v>
      </c>
      <c r="C197" s="11"/>
      <c r="D197" s="11" t="str">
        <f ca="1">IFERROR(__xludf.dummyfunction("""COMPUTED_VALUE"""),"03302122144")</f>
        <v>03302122144</v>
      </c>
      <c r="E197" s="11" t="str">
        <f ca="1">IFERROR(__xludf.dummyfunction("""COMPUTED_VALUE"""),"ISALEAOMELO@HOTMAIL.COM")</f>
        <v>ISALEAOMELO@HOTMAIL.COM</v>
      </c>
      <c r="F197" s="11" t="str">
        <f ca="1">IFERROR(__xludf.dummyfunction("""COMPUTED_VALUE"""),"(64) 81339199")</f>
        <v>(64) 81339199</v>
      </c>
      <c r="G197" s="11" t="str">
        <f ca="1">IFERROR(__xludf.dummyfunction("""COMPUTED_VALUE"""),"(64) 981339199")</f>
        <v>(64) 981339199</v>
      </c>
      <c r="H197" s="11" t="str">
        <f ca="1">IFERROR(__xludf.dummyfunction("""COMPUTED_VALUE"""),"SUPERIOR")</f>
        <v>SUPERIOR</v>
      </c>
      <c r="I197" s="10" t="str">
        <f ca="1">IFERROR(__xludf.dummyfunction("""COMPUTED_VALUE"""),"DIREITO")</f>
        <v>DIREITO</v>
      </c>
      <c r="J197" s="10" t="str">
        <f ca="1">IFERROR(__xludf.dummyfunction("""COMPUTED_VALUE"""),"MANHÃ")</f>
        <v>MANHÃ</v>
      </c>
      <c r="K197" s="10" t="str">
        <f ca="1">IFERROR(__xludf.dummyfunction("""COMPUTED_VALUE"""),"TARDE")</f>
        <v>TARDE</v>
      </c>
      <c r="L197" s="10" t="str">
        <f ca="1">IFERROR(__xludf.dummyfunction("""COMPUTED_VALUE"""),"GOIÂNIA - GO")</f>
        <v>GOIÂNIA - GO</v>
      </c>
      <c r="M197" s="10">
        <f ca="1">IFERROR(__xludf.dummyfunction("""COMPUTED_VALUE"""),9)</f>
        <v>9</v>
      </c>
      <c r="N197" s="10" t="str">
        <f ca="1">IFERROR(__xludf.dummyfunction("""COMPUTED_VALUE"""),"REMANEJADO")</f>
        <v>REMANEJADO</v>
      </c>
      <c r="O197" s="12">
        <f ca="1">IFERROR(__xludf.dummyfunction("""COMPUTED_VALUE"""),45327)</f>
        <v>45327</v>
      </c>
      <c r="P197" s="11" t="str">
        <f ca="1">IFERROR(__xludf.dummyfunction("""COMPUTED_VALUE"""),"SEM RETORNO")</f>
        <v>SEM RETORNO</v>
      </c>
      <c r="Q197" s="11"/>
      <c r="R197" s="11"/>
    </row>
    <row r="198" spans="1:18">
      <c r="A198" s="10">
        <f ca="1">IFERROR(__xludf.dummyfunction("""COMPUTED_VALUE"""),7)</f>
        <v>7</v>
      </c>
      <c r="B198" s="11" t="str">
        <f ca="1">IFERROR(__xludf.dummyfunction("""COMPUTED_VALUE"""),"SANTIAGO OLIVEIRA DE ATAÍDES")</f>
        <v>SANTIAGO OLIVEIRA DE ATAÍDES</v>
      </c>
      <c r="C198" s="11"/>
      <c r="D198" s="11" t="str">
        <f ca="1">IFERROR(__xludf.dummyfunction("""COMPUTED_VALUE"""),"07336132170")</f>
        <v>07336132170</v>
      </c>
      <c r="E198" s="11" t="str">
        <f ca="1">IFERROR(__xludf.dummyfunction("""COMPUTED_VALUE"""),"SANTIAAGOOLIVEIRA@GMAIL.COM")</f>
        <v>SANTIAAGOOLIVEIRA@GMAIL.COM</v>
      </c>
      <c r="F198" s="11"/>
      <c r="G198" s="11" t="str">
        <f ca="1">IFERROR(__xludf.dummyfunction("""COMPUTED_VALUE"""),"(62) 999660079")</f>
        <v>(62) 999660079</v>
      </c>
      <c r="H198" s="11" t="str">
        <f ca="1">IFERROR(__xludf.dummyfunction("""COMPUTED_VALUE"""),"SUPERIOR")</f>
        <v>SUPERIOR</v>
      </c>
      <c r="I198" s="10" t="str">
        <f ca="1">IFERROR(__xludf.dummyfunction("""COMPUTED_VALUE"""),"DIREITO")</f>
        <v>DIREITO</v>
      </c>
      <c r="J198" s="10" t="str">
        <f ca="1">IFERROR(__xludf.dummyfunction("""COMPUTED_VALUE"""),"MANHÃ")</f>
        <v>MANHÃ</v>
      </c>
      <c r="K198" s="10" t="str">
        <f ca="1">IFERROR(__xludf.dummyfunction("""COMPUTED_VALUE"""),"TARDE")</f>
        <v>TARDE</v>
      </c>
      <c r="L198" s="10" t="str">
        <f ca="1">IFERROR(__xludf.dummyfunction("""COMPUTED_VALUE"""),"GOIÂNIA - GO")</f>
        <v>GOIÂNIA - GO</v>
      </c>
      <c r="M198" s="10">
        <f ca="1">IFERROR(__xludf.dummyfunction("""COMPUTED_VALUE"""),5)</f>
        <v>5</v>
      </c>
      <c r="N198" s="10" t="str">
        <f ca="1">IFERROR(__xludf.dummyfunction("""COMPUTED_VALUE"""),"NÃO ATENDE/AGUARDANDO RETORNO")</f>
        <v>NÃO ATENDE/AGUARDANDO RETORNO</v>
      </c>
      <c r="O198" s="12">
        <f ca="1">IFERROR(__xludf.dummyfunction("""COMPUTED_VALUE"""),45327)</f>
        <v>45327</v>
      </c>
      <c r="P198" s="11" t="str">
        <f ca="1">IFERROR(__xludf.dummyfunction("""COMPUTED_VALUE"""),"AG. DESLIGAMENTO")</f>
        <v>AG. DESLIGAMENTO</v>
      </c>
      <c r="Q198" s="11"/>
      <c r="R198" s="11"/>
    </row>
    <row r="199" spans="1:18">
      <c r="A199" s="10">
        <f ca="1">IFERROR(__xludf.dummyfunction("""COMPUTED_VALUE"""),8)</f>
        <v>8</v>
      </c>
      <c r="B199" s="11" t="str">
        <f ca="1">IFERROR(__xludf.dummyfunction("""COMPUTED_VALUE"""),"LUANA VITORIA DIAS FARIAS")</f>
        <v>LUANA VITORIA DIAS FARIAS</v>
      </c>
      <c r="C199" s="11" t="str">
        <f ca="1">IFERROR(__xludf.dummyfunction("""COMPUTED_VALUE"""),"6990655")</f>
        <v>6990655</v>
      </c>
      <c r="D199" s="11" t="str">
        <f ca="1">IFERROR(__xludf.dummyfunction("""COMPUTED_VALUE"""),"70321608160")</f>
        <v>70321608160</v>
      </c>
      <c r="E199" s="11" t="str">
        <f ca="1">IFERROR(__xludf.dummyfunction("""COMPUTED_VALUE"""),"LUANALVDF@GMAIL.COM")</f>
        <v>LUANALVDF@GMAIL.COM</v>
      </c>
      <c r="F199" s="11" t="str">
        <f ca="1">IFERROR(__xludf.dummyfunction("""COMPUTED_VALUE"""),"(62) 98629363")</f>
        <v>(62) 98629363</v>
      </c>
      <c r="G199" s="11" t="str">
        <f ca="1">IFERROR(__xludf.dummyfunction("""COMPUTED_VALUE"""),"(62) 986293638")</f>
        <v>(62) 986293638</v>
      </c>
      <c r="H199" s="11" t="str">
        <f ca="1">IFERROR(__xludf.dummyfunction("""COMPUTED_VALUE"""),"SUPERIOR")</f>
        <v>SUPERIOR</v>
      </c>
      <c r="I199" s="10" t="str">
        <f ca="1">IFERROR(__xludf.dummyfunction("""COMPUTED_VALUE"""),"DIREITO")</f>
        <v>DIREITO</v>
      </c>
      <c r="J199" s="10" t="str">
        <f ca="1">IFERROR(__xludf.dummyfunction("""COMPUTED_VALUE"""),"MANHÃ")</f>
        <v>MANHÃ</v>
      </c>
      <c r="K199" s="10" t="str">
        <f ca="1">IFERROR(__xludf.dummyfunction("""COMPUTED_VALUE"""),"TARDE")</f>
        <v>TARDE</v>
      </c>
      <c r="L199" s="10" t="str">
        <f ca="1">IFERROR(__xludf.dummyfunction("""COMPUTED_VALUE"""),"GOIÂNIA - GO")</f>
        <v>GOIÂNIA - GO</v>
      </c>
      <c r="M199" s="10">
        <f ca="1">IFERROR(__xludf.dummyfunction("""COMPUTED_VALUE"""),8)</f>
        <v>8</v>
      </c>
      <c r="N199" s="10" t="str">
        <f ca="1">IFERROR(__xludf.dummyfunction("""COMPUTED_VALUE"""),"REMANEJADO")</f>
        <v>REMANEJADO</v>
      </c>
      <c r="O199" s="12">
        <f ca="1">IFERROR(__xludf.dummyfunction("""COMPUTED_VALUE"""),45327)</f>
        <v>45327</v>
      </c>
      <c r="P199" s="11" t="str">
        <f ca="1">IFERROR(__xludf.dummyfunction("""COMPUTED_VALUE"""),"SEM RETORNO")</f>
        <v>SEM RETORNO</v>
      </c>
      <c r="Q199" s="11"/>
      <c r="R199" s="11"/>
    </row>
    <row r="200" spans="1:18">
      <c r="A200" s="10">
        <f ca="1">IFERROR(__xludf.dummyfunction("""COMPUTED_VALUE"""),9)</f>
        <v>9</v>
      </c>
      <c r="B200" s="11" t="str">
        <f ca="1">IFERROR(__xludf.dummyfunction("""COMPUTED_VALUE"""),"LUDMYLLA MENDES OLIVEIRA")</f>
        <v>LUDMYLLA MENDES OLIVEIRA</v>
      </c>
      <c r="C200" s="11"/>
      <c r="D200" s="11" t="str">
        <f ca="1">IFERROR(__xludf.dummyfunction("""COMPUTED_VALUE"""),"75208091100")</f>
        <v>75208091100</v>
      </c>
      <c r="E200" s="11" t="str">
        <f ca="1">IFERROR(__xludf.dummyfunction("""COMPUTED_VALUE"""),"LUDMYLLAMENDES@OUTLOOK.COM")</f>
        <v>LUDMYLLAMENDES@OUTLOOK.COM</v>
      </c>
      <c r="F200" s="11" t="str">
        <f ca="1">IFERROR(__xludf.dummyfunction("""COMPUTED_VALUE"""),"(62) 32586459")</f>
        <v>(62) 32586459</v>
      </c>
      <c r="G200" s="11" t="str">
        <f ca="1">IFERROR(__xludf.dummyfunction("""COMPUTED_VALUE"""),"(62) 995497083")</f>
        <v>(62) 995497083</v>
      </c>
      <c r="H200" s="11" t="str">
        <f ca="1">IFERROR(__xludf.dummyfunction("""COMPUTED_VALUE"""),"SUPERIOR")</f>
        <v>SUPERIOR</v>
      </c>
      <c r="I200" s="10" t="str">
        <f ca="1">IFERROR(__xludf.dummyfunction("""COMPUTED_VALUE"""),"DIREITO")</f>
        <v>DIREITO</v>
      </c>
      <c r="J200" s="10" t="str">
        <f ca="1">IFERROR(__xludf.dummyfunction("""COMPUTED_VALUE"""),"MANHÃ")</f>
        <v>MANHÃ</v>
      </c>
      <c r="K200" s="10" t="str">
        <f ca="1">IFERROR(__xludf.dummyfunction("""COMPUTED_VALUE"""),"TARDE")</f>
        <v>TARDE</v>
      </c>
      <c r="L200" s="10" t="str">
        <f ca="1">IFERROR(__xludf.dummyfunction("""COMPUTED_VALUE"""),"GOIÂNIA - GO")</f>
        <v>GOIÂNIA - GO</v>
      </c>
      <c r="M200" s="10">
        <f ca="1">IFERROR(__xludf.dummyfunction("""COMPUTED_VALUE"""),6)</f>
        <v>6</v>
      </c>
      <c r="N200" s="10" t="str">
        <f ca="1">IFERROR(__xludf.dummyfunction("""COMPUTED_VALUE"""),"NÃO ATENDE/AGUARDANDO RETORNO")</f>
        <v>NÃO ATENDE/AGUARDANDO RETORNO</v>
      </c>
      <c r="O200" s="12">
        <f ca="1">IFERROR(__xludf.dummyfunction("""COMPUTED_VALUE"""),45327)</f>
        <v>45327</v>
      </c>
      <c r="P200" s="11"/>
      <c r="Q200" s="11"/>
      <c r="R200" s="11"/>
    </row>
    <row r="201" spans="1:18">
      <c r="A201" s="10">
        <f ca="1">IFERROR(__xludf.dummyfunction("""COMPUTED_VALUE"""),10)</f>
        <v>10</v>
      </c>
      <c r="B201" s="11" t="str">
        <f ca="1">IFERROR(__xludf.dummyfunction("""COMPUTED_VALUE"""),"JOSILENE LUIZ CORDEIRO")</f>
        <v>JOSILENE LUIZ CORDEIRO</v>
      </c>
      <c r="C201" s="11" t="str">
        <f ca="1">IFERROR(__xludf.dummyfunction("""COMPUTED_VALUE"""),"7355867")</f>
        <v>7355867</v>
      </c>
      <c r="D201" s="11" t="str">
        <f ca="1">IFERROR(__xludf.dummyfunction("""COMPUTED_VALUE"""),"71389597105")</f>
        <v>71389597105</v>
      </c>
      <c r="E201" s="11" t="str">
        <f ca="1">IFERROR(__xludf.dummyfunction("""COMPUTED_VALUE"""),"JOSILENELUIZCORDEIRO3@GMAIL.COM")</f>
        <v>JOSILENELUIZCORDEIRO3@GMAIL.COM</v>
      </c>
      <c r="F201" s="11"/>
      <c r="G201" s="11" t="str">
        <f ca="1">IFERROR(__xludf.dummyfunction("""COMPUTED_VALUE"""),"(62) 999313601")</f>
        <v>(62) 999313601</v>
      </c>
      <c r="H201" s="11" t="str">
        <f ca="1">IFERROR(__xludf.dummyfunction("""COMPUTED_VALUE"""),"SUPERIOR")</f>
        <v>SUPERIOR</v>
      </c>
      <c r="I201" s="10" t="str">
        <f ca="1">IFERROR(__xludf.dummyfunction("""COMPUTED_VALUE"""),"DIREITO")</f>
        <v>DIREITO</v>
      </c>
      <c r="J201" s="10" t="str">
        <f ca="1">IFERROR(__xludf.dummyfunction("""COMPUTED_VALUE"""),"TARDE")</f>
        <v>TARDE</v>
      </c>
      <c r="K201" s="10" t="str">
        <f ca="1">IFERROR(__xludf.dummyfunction("""COMPUTED_VALUE"""),"TARDE")</f>
        <v>TARDE</v>
      </c>
      <c r="L201" s="10" t="str">
        <f ca="1">IFERROR(__xludf.dummyfunction("""COMPUTED_VALUE"""),"GOIÂNIA - GO")</f>
        <v>GOIÂNIA - GO</v>
      </c>
      <c r="M201" s="10">
        <f ca="1">IFERROR(__xludf.dummyfunction("""COMPUTED_VALUE"""),8)</f>
        <v>8</v>
      </c>
      <c r="N201" s="10" t="str">
        <f ca="1">IFERROR(__xludf.dummyfunction("""COMPUTED_VALUE"""),"NÃO ATENDE/AGUARDANDO RETORNO")</f>
        <v>NÃO ATENDE/AGUARDANDO RETORNO</v>
      </c>
      <c r="O201" s="12"/>
      <c r="P201" s="11"/>
      <c r="Q201" s="11"/>
      <c r="R201" s="11"/>
    </row>
    <row r="202" spans="1:18">
      <c r="A202" s="10">
        <f ca="1">IFERROR(__xludf.dummyfunction("""COMPUTED_VALUE"""),11)</f>
        <v>11</v>
      </c>
      <c r="B202" s="11" t="str">
        <f ca="1">IFERROR(__xludf.dummyfunction("""COMPUTED_VALUE"""),"NATALIA ROCHA BRUST PEIXOTO")</f>
        <v>NATALIA ROCHA BRUST PEIXOTO</v>
      </c>
      <c r="C202" s="11" t="str">
        <f ca="1">IFERROR(__xludf.dummyfunction("""COMPUTED_VALUE"""),"4682387")</f>
        <v>4682387</v>
      </c>
      <c r="D202" s="11" t="str">
        <f ca="1">IFERROR(__xludf.dummyfunction("""COMPUTED_VALUE"""),"00407669183")</f>
        <v>00407669183</v>
      </c>
      <c r="E202" s="11" t="str">
        <f ca="1">IFERROR(__xludf.dummyfunction("""COMPUTED_VALUE"""),"NATALIARBP10@GMAIL.COM")</f>
        <v>NATALIARBP10@GMAIL.COM</v>
      </c>
      <c r="F202" s="11" t="str">
        <f ca="1">IFERROR(__xludf.dummyfunction("""COMPUTED_VALUE"""),"(62) 99790926")</f>
        <v>(62) 99790926</v>
      </c>
      <c r="G202" s="11" t="str">
        <f ca="1">IFERROR(__xludf.dummyfunction("""COMPUTED_VALUE"""),"(62) 999212999")</f>
        <v>(62) 999212999</v>
      </c>
      <c r="H202" s="11" t="str">
        <f ca="1">IFERROR(__xludf.dummyfunction("""COMPUTED_VALUE"""),"SUPERIOR")</f>
        <v>SUPERIOR</v>
      </c>
      <c r="I202" s="10" t="str">
        <f ca="1">IFERROR(__xludf.dummyfunction("""COMPUTED_VALUE"""),"DIREITO")</f>
        <v>DIREITO</v>
      </c>
      <c r="J202" s="10" t="str">
        <f ca="1">IFERROR(__xludf.dummyfunction("""COMPUTED_VALUE"""),"MANHÃ")</f>
        <v>MANHÃ</v>
      </c>
      <c r="K202" s="10" t="str">
        <f ca="1">IFERROR(__xludf.dummyfunction("""COMPUTED_VALUE"""),"TARDE")</f>
        <v>TARDE</v>
      </c>
      <c r="L202" s="10" t="str">
        <f ca="1">IFERROR(__xludf.dummyfunction("""COMPUTED_VALUE"""),"GOIÂNIA - GO")</f>
        <v>GOIÂNIA - GO</v>
      </c>
      <c r="M202" s="10">
        <f ca="1">IFERROR(__xludf.dummyfunction("""COMPUTED_VALUE"""),9)</f>
        <v>9</v>
      </c>
      <c r="N202" s="10" t="str">
        <f ca="1">IFERROR(__xludf.dummyfunction("""COMPUTED_VALUE"""),"NÃO ATENDE/AGUARDANDO RETORNO")</f>
        <v>NÃO ATENDE/AGUARDANDO RETORNO</v>
      </c>
      <c r="O202" s="12"/>
      <c r="P202" s="11"/>
      <c r="Q202" s="11"/>
      <c r="R202" s="11"/>
    </row>
    <row r="203" spans="1:18">
      <c r="A203" s="10">
        <f ca="1">IFERROR(__xludf.dummyfunction("""COMPUTED_VALUE"""),12)</f>
        <v>12</v>
      </c>
      <c r="B203" s="11" t="str">
        <f ca="1">IFERROR(__xludf.dummyfunction("""COMPUTED_VALUE"""),"JÚLIA MENDONÇA CÉZAR")</f>
        <v>JÚLIA MENDONÇA CÉZAR</v>
      </c>
      <c r="C203" s="11"/>
      <c r="D203" s="11" t="str">
        <f ca="1">IFERROR(__xludf.dummyfunction("""COMPUTED_VALUE"""),"04204165109")</f>
        <v>04204165109</v>
      </c>
      <c r="E203" s="11" t="str">
        <f ca="1">IFERROR(__xludf.dummyfunction("""COMPUTED_VALUE"""),"JULIAMENDONCAJD@GMAIL.COM")</f>
        <v>JULIAMENDONCAJD@GMAIL.COM</v>
      </c>
      <c r="F203" s="11"/>
      <c r="G203" s="11" t="str">
        <f ca="1">IFERROR(__xludf.dummyfunction("""COMPUTED_VALUE"""),"(62) 999355750")</f>
        <v>(62) 999355750</v>
      </c>
      <c r="H203" s="11" t="str">
        <f ca="1">IFERROR(__xludf.dummyfunction("""COMPUTED_VALUE"""),"SUPERIOR")</f>
        <v>SUPERIOR</v>
      </c>
      <c r="I203" s="10" t="str">
        <f ca="1">IFERROR(__xludf.dummyfunction("""COMPUTED_VALUE"""),"DIREITO")</f>
        <v>DIREITO</v>
      </c>
      <c r="J203" s="10" t="str">
        <f ca="1">IFERROR(__xludf.dummyfunction("""COMPUTED_VALUE"""),"NOITE")</f>
        <v>NOITE</v>
      </c>
      <c r="K203" s="10" t="str">
        <f ca="1">IFERROR(__xludf.dummyfunction("""COMPUTED_VALUE"""),"TARDE")</f>
        <v>TARDE</v>
      </c>
      <c r="L203" s="10" t="str">
        <f ca="1">IFERROR(__xludf.dummyfunction("""COMPUTED_VALUE"""),"GOIÂNIA - GO")</f>
        <v>GOIÂNIA - GO</v>
      </c>
      <c r="M203" s="10">
        <f ca="1">IFERROR(__xludf.dummyfunction("""COMPUTED_VALUE"""),5)</f>
        <v>5</v>
      </c>
      <c r="N203" s="10" t="str">
        <f ca="1">IFERROR(__xludf.dummyfunction("""COMPUTED_VALUE"""),"NÃO ATENDE/AGUARDANDO RETORNO")</f>
        <v>NÃO ATENDE/AGUARDANDO RETORNO</v>
      </c>
      <c r="O203" s="12"/>
      <c r="P203" s="11"/>
      <c r="Q203" s="11"/>
      <c r="R203" s="11"/>
    </row>
    <row r="204" spans="1:18">
      <c r="A204" s="10">
        <f ca="1">IFERROR(__xludf.dummyfunction("""COMPUTED_VALUE"""),13)</f>
        <v>13</v>
      </c>
      <c r="B204" s="11" t="str">
        <f ca="1">IFERROR(__xludf.dummyfunction("""COMPUTED_VALUE"""),"EDUARDO ELIAS REZENDE DA SILVA")</f>
        <v>EDUARDO ELIAS REZENDE DA SILVA</v>
      </c>
      <c r="C204" s="11"/>
      <c r="D204" s="11" t="str">
        <f ca="1">IFERROR(__xludf.dummyfunction("""COMPUTED_VALUE"""),"06418021100")</f>
        <v>06418021100</v>
      </c>
      <c r="E204" s="11" t="str">
        <f ca="1">IFERROR(__xludf.dummyfunction("""COMPUTED_VALUE"""),"EDUARDOSILVAPDR@GMAIL.COM")</f>
        <v>EDUARDOSILVAPDR@GMAIL.COM</v>
      </c>
      <c r="F204" s="11" t="str">
        <f ca="1">IFERROR(__xludf.dummyfunction("""COMPUTED_VALUE"""),"(64) 99610128")</f>
        <v>(64) 99610128</v>
      </c>
      <c r="G204" s="11" t="str">
        <f ca="1">IFERROR(__xludf.dummyfunction("""COMPUTED_VALUE"""),"(64) 996101287")</f>
        <v>(64) 996101287</v>
      </c>
      <c r="H204" s="11" t="str">
        <f ca="1">IFERROR(__xludf.dummyfunction("""COMPUTED_VALUE"""),"SUPERIOR")</f>
        <v>SUPERIOR</v>
      </c>
      <c r="I204" s="10" t="str">
        <f ca="1">IFERROR(__xludf.dummyfunction("""COMPUTED_VALUE"""),"DIREITO")</f>
        <v>DIREITO</v>
      </c>
      <c r="J204" s="10" t="str">
        <f ca="1">IFERROR(__xludf.dummyfunction("""COMPUTED_VALUE"""),"VARIÁVEL")</f>
        <v>VARIÁVEL</v>
      </c>
      <c r="K204" s="10" t="str">
        <f ca="1">IFERROR(__xludf.dummyfunction("""COMPUTED_VALUE"""),"TARDE")</f>
        <v>TARDE</v>
      </c>
      <c r="L204" s="10" t="str">
        <f ca="1">IFERROR(__xludf.dummyfunction("""COMPUTED_VALUE"""),"GOIÂNIA - GO")</f>
        <v>GOIÂNIA - GO</v>
      </c>
      <c r="M204" s="10">
        <f ca="1">IFERROR(__xludf.dummyfunction("""COMPUTED_VALUE"""),5)</f>
        <v>5</v>
      </c>
      <c r="N204" s="10" t="str">
        <f ca="1">IFERROR(__xludf.dummyfunction("""COMPUTED_VALUE"""),"NÃO ATENDE/AGUARDANDO RETORNO")</f>
        <v>NÃO ATENDE/AGUARDANDO RETORNO</v>
      </c>
      <c r="O204" s="12"/>
      <c r="P204" s="11"/>
      <c r="Q204" s="11"/>
      <c r="R204" s="11"/>
    </row>
    <row r="205" spans="1:18">
      <c r="A205" s="10">
        <f ca="1">IFERROR(__xludf.dummyfunction("""COMPUTED_VALUE"""),14)</f>
        <v>14</v>
      </c>
      <c r="B205" s="11" t="str">
        <f ca="1">IFERROR(__xludf.dummyfunction("""COMPUTED_VALUE"""),"GENI LOPES DE OLIVEIRA SOUZA")</f>
        <v>GENI LOPES DE OLIVEIRA SOUZA</v>
      </c>
      <c r="C205" s="11"/>
      <c r="D205" s="11" t="str">
        <f ca="1">IFERROR(__xludf.dummyfunction("""COMPUTED_VALUE"""),"91934338168")</f>
        <v>91934338168</v>
      </c>
      <c r="E205" s="11" t="str">
        <f ca="1">IFERROR(__xludf.dummyfunction("""COMPUTED_VALUE"""),"GENILOPESDEOLIVEIRASOUZA@GMAIL.COM")</f>
        <v>GENILOPESDEOLIVEIRASOUZA@GMAIL.COM</v>
      </c>
      <c r="F205" s="11" t="str">
        <f ca="1">IFERROR(__xludf.dummyfunction("""COMPUTED_VALUE"""),"(62) 81642642")</f>
        <v>(62) 81642642</v>
      </c>
      <c r="G205" s="11" t="str">
        <f ca="1">IFERROR(__xludf.dummyfunction("""COMPUTED_VALUE"""),"(62) 981642642")</f>
        <v>(62) 981642642</v>
      </c>
      <c r="H205" s="11" t="str">
        <f ca="1">IFERROR(__xludf.dummyfunction("""COMPUTED_VALUE"""),"SUPERIOR")</f>
        <v>SUPERIOR</v>
      </c>
      <c r="I205" s="10" t="str">
        <f ca="1">IFERROR(__xludf.dummyfunction("""COMPUTED_VALUE"""),"DIREITO")</f>
        <v>DIREITO</v>
      </c>
      <c r="J205" s="10" t="str">
        <f ca="1">IFERROR(__xludf.dummyfunction("""COMPUTED_VALUE"""),"MANHÃ")</f>
        <v>MANHÃ</v>
      </c>
      <c r="K205" s="10" t="str">
        <f ca="1">IFERROR(__xludf.dummyfunction("""COMPUTED_VALUE"""),"TARDE")</f>
        <v>TARDE</v>
      </c>
      <c r="L205" s="10" t="str">
        <f ca="1">IFERROR(__xludf.dummyfunction("""COMPUTED_VALUE"""),"GOIÂNIA - GO")</f>
        <v>GOIÂNIA - GO</v>
      </c>
      <c r="M205" s="10">
        <f ca="1">IFERROR(__xludf.dummyfunction("""COMPUTED_VALUE"""),6)</f>
        <v>6</v>
      </c>
      <c r="N205" s="10" t="str">
        <f ca="1">IFERROR(__xludf.dummyfunction("""COMPUTED_VALUE"""),"NÃO ATENDE/AGUARDANDO RETORNO")</f>
        <v>NÃO ATENDE/AGUARDANDO RETORNO</v>
      </c>
      <c r="O205" s="12"/>
      <c r="P205" s="11"/>
      <c r="Q205" s="11"/>
      <c r="R205" s="11"/>
    </row>
    <row r="206" spans="1:18">
      <c r="A206" s="10">
        <f ca="1">IFERROR(__xludf.dummyfunction("""COMPUTED_VALUE"""),15)</f>
        <v>15</v>
      </c>
      <c r="B206" s="11" t="str">
        <f ca="1">IFERROR(__xludf.dummyfunction("""COMPUTED_VALUE"""),"JOÃO VÍTOR GONÇALVES SOARES")</f>
        <v>JOÃO VÍTOR GONÇALVES SOARES</v>
      </c>
      <c r="C206" s="11"/>
      <c r="D206" s="11" t="str">
        <f ca="1">IFERROR(__xludf.dummyfunction("""COMPUTED_VALUE"""),"02316043194")</f>
        <v>02316043194</v>
      </c>
      <c r="E206" s="11" t="str">
        <f ca="1">IFERROR(__xludf.dummyfunction("""COMPUTED_VALUE"""),"JOAOVITOR2004@HOTMAIL.COM")</f>
        <v>JOAOVITOR2004@HOTMAIL.COM</v>
      </c>
      <c r="F206" s="11" t="str">
        <f ca="1">IFERROR(__xludf.dummyfunction("""COMPUTED_VALUE"""),"(62) 32598576")</f>
        <v>(62) 32598576</v>
      </c>
      <c r="G206" s="11" t="str">
        <f ca="1">IFERROR(__xludf.dummyfunction("""COMPUTED_VALUE"""),"(62) 985782908")</f>
        <v>(62) 985782908</v>
      </c>
      <c r="H206" s="11" t="str">
        <f ca="1">IFERROR(__xludf.dummyfunction("""COMPUTED_VALUE"""),"SUPERIOR")</f>
        <v>SUPERIOR</v>
      </c>
      <c r="I206" s="10" t="str">
        <f ca="1">IFERROR(__xludf.dummyfunction("""COMPUTED_VALUE"""),"DIREITO")</f>
        <v>DIREITO</v>
      </c>
      <c r="J206" s="10" t="str">
        <f ca="1">IFERROR(__xludf.dummyfunction("""COMPUTED_VALUE"""),"MANHÃ")</f>
        <v>MANHÃ</v>
      </c>
      <c r="K206" s="10" t="str">
        <f ca="1">IFERROR(__xludf.dummyfunction("""COMPUTED_VALUE"""),"TARDE")</f>
        <v>TARDE</v>
      </c>
      <c r="L206" s="10" t="str">
        <f ca="1">IFERROR(__xludf.dummyfunction("""COMPUTED_VALUE"""),"GOIÂNIA - GO")</f>
        <v>GOIÂNIA - GO</v>
      </c>
      <c r="M206" s="10">
        <f ca="1">IFERROR(__xludf.dummyfunction("""COMPUTED_VALUE"""),5)</f>
        <v>5</v>
      </c>
      <c r="N206" s="10" t="str">
        <f ca="1">IFERROR(__xludf.dummyfunction("""COMPUTED_VALUE"""),"NÃO ATENDE/AGUARDANDO RETORNO")</f>
        <v>NÃO ATENDE/AGUARDANDO RETORNO</v>
      </c>
      <c r="O206" s="12"/>
      <c r="P206" s="11"/>
      <c r="Q206" s="11"/>
      <c r="R206" s="11"/>
    </row>
    <row r="207" spans="1:18">
      <c r="A207" s="10">
        <f ca="1">IFERROR(__xludf.dummyfunction("""COMPUTED_VALUE"""),16)</f>
        <v>16</v>
      </c>
      <c r="B207" s="11" t="str">
        <f ca="1">IFERROR(__xludf.dummyfunction("""COMPUTED_VALUE"""),"ALLAYNE REBEKA DE PAULA SOUZA")</f>
        <v>ALLAYNE REBEKA DE PAULA SOUZA</v>
      </c>
      <c r="C207" s="11"/>
      <c r="D207" s="11" t="str">
        <f ca="1">IFERROR(__xludf.dummyfunction("""COMPUTED_VALUE"""),"71372327100")</f>
        <v>71372327100</v>
      </c>
      <c r="E207" s="11" t="str">
        <f ca="1">IFERROR(__xludf.dummyfunction("""COMPUTED_VALUE"""),"ALLAYNEREBEKA67@GMAIL.COM")</f>
        <v>ALLAYNEREBEKA67@GMAIL.COM</v>
      </c>
      <c r="F207" s="11"/>
      <c r="G207" s="11" t="str">
        <f ca="1">IFERROR(__xludf.dummyfunction("""COMPUTED_VALUE"""),"(62) 984737479")</f>
        <v>(62) 984737479</v>
      </c>
      <c r="H207" s="11" t="str">
        <f ca="1">IFERROR(__xludf.dummyfunction("""COMPUTED_VALUE"""),"SUPERIOR")</f>
        <v>SUPERIOR</v>
      </c>
      <c r="I207" s="10" t="str">
        <f ca="1">IFERROR(__xludf.dummyfunction("""COMPUTED_VALUE"""),"DIREITO")</f>
        <v>DIREITO</v>
      </c>
      <c r="J207" s="10" t="str">
        <f ca="1">IFERROR(__xludf.dummyfunction("""COMPUTED_VALUE"""),"MANHÃ")</f>
        <v>MANHÃ</v>
      </c>
      <c r="K207" s="10" t="str">
        <f ca="1">IFERROR(__xludf.dummyfunction("""COMPUTED_VALUE"""),"TARDE")</f>
        <v>TARDE</v>
      </c>
      <c r="L207" s="10" t="str">
        <f ca="1">IFERROR(__xludf.dummyfunction("""COMPUTED_VALUE"""),"GOIÂNIA - GO")</f>
        <v>GOIÂNIA - GO</v>
      </c>
      <c r="M207" s="10">
        <f ca="1">IFERROR(__xludf.dummyfunction("""COMPUTED_VALUE"""),5)</f>
        <v>5</v>
      </c>
      <c r="N207" s="10" t="str">
        <f ca="1">IFERROR(__xludf.dummyfunction("""COMPUTED_VALUE"""),"DISPONÍVEL")</f>
        <v>DISPONÍVEL</v>
      </c>
      <c r="O207" s="12"/>
      <c r="P207" s="11"/>
      <c r="Q207" s="11"/>
      <c r="R207" s="11"/>
    </row>
    <row r="208" spans="1:18">
      <c r="A208" s="10">
        <f ca="1">IFERROR(__xludf.dummyfunction("""COMPUTED_VALUE"""),17)</f>
        <v>17</v>
      </c>
      <c r="B208" s="11" t="str">
        <f ca="1">IFERROR(__xludf.dummyfunction("""COMPUTED_VALUE"""),"LAVINIA VIEIRA DOS SANTOS")</f>
        <v>LAVINIA VIEIRA DOS SANTOS</v>
      </c>
      <c r="C208" s="11"/>
      <c r="D208" s="11" t="str">
        <f ca="1">IFERROR(__xludf.dummyfunction("""COMPUTED_VALUE"""),"71286933196")</f>
        <v>71286933196</v>
      </c>
      <c r="E208" s="11" t="str">
        <f ca="1">IFERROR(__xludf.dummyfunction("""COMPUTED_VALUE"""),"LAVINIASANTOSV14@GMAIL.COM")</f>
        <v>LAVINIASANTOSV14@GMAIL.COM</v>
      </c>
      <c r="F208" s="11"/>
      <c r="G208" s="11" t="str">
        <f ca="1">IFERROR(__xludf.dummyfunction("""COMPUTED_VALUE"""),"(62) 995665520")</f>
        <v>(62) 995665520</v>
      </c>
      <c r="H208" s="11" t="str">
        <f ca="1">IFERROR(__xludf.dummyfunction("""COMPUTED_VALUE"""),"SUPERIOR")</f>
        <v>SUPERIOR</v>
      </c>
      <c r="I208" s="10" t="str">
        <f ca="1">IFERROR(__xludf.dummyfunction("""COMPUTED_VALUE"""),"DIREITO")</f>
        <v>DIREITO</v>
      </c>
      <c r="J208" s="10" t="str">
        <f ca="1">IFERROR(__xludf.dummyfunction("""COMPUTED_VALUE"""),"MANHÃ")</f>
        <v>MANHÃ</v>
      </c>
      <c r="K208" s="10" t="str">
        <f ca="1">IFERROR(__xludf.dummyfunction("""COMPUTED_VALUE"""),"TARDE")</f>
        <v>TARDE</v>
      </c>
      <c r="L208" s="10" t="str">
        <f ca="1">IFERROR(__xludf.dummyfunction("""COMPUTED_VALUE"""),"GOIÂNIA - GO")</f>
        <v>GOIÂNIA - GO</v>
      </c>
      <c r="M208" s="10">
        <f ca="1">IFERROR(__xludf.dummyfunction("""COMPUTED_VALUE"""),6)</f>
        <v>6</v>
      </c>
      <c r="N208" s="10" t="str">
        <f ca="1">IFERROR(__xludf.dummyfunction("""COMPUTED_VALUE"""),"DISPONÍVEL")</f>
        <v>DISPONÍVEL</v>
      </c>
      <c r="O208" s="12"/>
      <c r="P208" s="11"/>
      <c r="Q208" s="11"/>
      <c r="R208" s="11"/>
    </row>
    <row r="209" spans="1:18">
      <c r="A209" s="10">
        <f ca="1">IFERROR(__xludf.dummyfunction("""COMPUTED_VALUE"""),18)</f>
        <v>18</v>
      </c>
      <c r="B209" s="11" t="str">
        <f ca="1">IFERROR(__xludf.dummyfunction("""COMPUTED_VALUE"""),"JUAN RICARDO RIBEIRO PORTILHO DÂMASO")</f>
        <v>JUAN RICARDO RIBEIRO PORTILHO DÂMASO</v>
      </c>
      <c r="C209" s="11"/>
      <c r="D209" s="11" t="str">
        <f ca="1">IFERROR(__xludf.dummyfunction("""COMPUTED_VALUE"""),"08421027107")</f>
        <v>08421027107</v>
      </c>
      <c r="E209" s="11" t="str">
        <f ca="1">IFERROR(__xludf.dummyfunction("""COMPUTED_VALUE"""),"JUANRICARDODAMASO@GMAIL.COM")</f>
        <v>JUANRICARDODAMASO@GMAIL.COM</v>
      </c>
      <c r="F209" s="11"/>
      <c r="G209" s="11" t="str">
        <f ca="1">IFERROR(__xludf.dummyfunction("""COMPUTED_VALUE"""),"(62) 985882603")</f>
        <v>(62) 985882603</v>
      </c>
      <c r="H209" s="11" t="str">
        <f ca="1">IFERROR(__xludf.dummyfunction("""COMPUTED_VALUE"""),"SUPERIOR")</f>
        <v>SUPERIOR</v>
      </c>
      <c r="I209" s="10" t="str">
        <f ca="1">IFERROR(__xludf.dummyfunction("""COMPUTED_VALUE"""),"DIREITO")</f>
        <v>DIREITO</v>
      </c>
      <c r="J209" s="10" t="str">
        <f ca="1">IFERROR(__xludf.dummyfunction("""COMPUTED_VALUE"""),"MANHÃ")</f>
        <v>MANHÃ</v>
      </c>
      <c r="K209" s="10" t="str">
        <f ca="1">IFERROR(__xludf.dummyfunction("""COMPUTED_VALUE"""),"TARDE")</f>
        <v>TARDE</v>
      </c>
      <c r="L209" s="10" t="str">
        <f ca="1">IFERROR(__xludf.dummyfunction("""COMPUTED_VALUE"""),"GOIÂNIA - GO")</f>
        <v>GOIÂNIA - GO</v>
      </c>
      <c r="M209" s="10">
        <f ca="1">IFERROR(__xludf.dummyfunction("""COMPUTED_VALUE"""),5)</f>
        <v>5</v>
      </c>
      <c r="N209" s="10" t="str">
        <f ca="1">IFERROR(__xludf.dummyfunction("""COMPUTED_VALUE"""),"DISPONÍVEL")</f>
        <v>DISPONÍVEL</v>
      </c>
      <c r="O209" s="12"/>
      <c r="P209" s="11"/>
      <c r="Q209" s="11"/>
      <c r="R209" s="11"/>
    </row>
    <row r="210" spans="1:18">
      <c r="A210" s="10">
        <f ca="1">IFERROR(__xludf.dummyfunction("""COMPUTED_VALUE"""),19)</f>
        <v>19</v>
      </c>
      <c r="B210" s="11" t="str">
        <f ca="1">IFERROR(__xludf.dummyfunction("""COMPUTED_VALUE"""),"CAMILA ANGÉLICA DOS SANTOS ARAÚJO")</f>
        <v>CAMILA ANGÉLICA DOS SANTOS ARAÚJO</v>
      </c>
      <c r="C210" s="11"/>
      <c r="D210" s="11" t="str">
        <f ca="1">IFERROR(__xludf.dummyfunction("""COMPUTED_VALUE"""),"08032146504")</f>
        <v>08032146504</v>
      </c>
      <c r="E210" s="11" t="str">
        <f ca="1">IFERROR(__xludf.dummyfunction("""COMPUTED_VALUE"""),"CAMILAARAUJOANGELICA76@GMAIL.COM")</f>
        <v>CAMILAARAUJOANGELICA76@GMAIL.COM</v>
      </c>
      <c r="F210" s="11"/>
      <c r="G210" s="11" t="str">
        <f ca="1">IFERROR(__xludf.dummyfunction("""COMPUTED_VALUE"""),"(62) 995081248")</f>
        <v>(62) 995081248</v>
      </c>
      <c r="H210" s="11" t="str">
        <f ca="1">IFERROR(__xludf.dummyfunction("""COMPUTED_VALUE"""),"SUPERIOR")</f>
        <v>SUPERIOR</v>
      </c>
      <c r="I210" s="10" t="str">
        <f ca="1">IFERROR(__xludf.dummyfunction("""COMPUTED_VALUE"""),"DIREITO")</f>
        <v>DIREITO</v>
      </c>
      <c r="J210" s="10" t="str">
        <f ca="1">IFERROR(__xludf.dummyfunction("""COMPUTED_VALUE"""),"MANHÃ")</f>
        <v>MANHÃ</v>
      </c>
      <c r="K210" s="10" t="str">
        <f ca="1">IFERROR(__xludf.dummyfunction("""COMPUTED_VALUE"""),"TARDE")</f>
        <v>TARDE</v>
      </c>
      <c r="L210" s="10" t="str">
        <f ca="1">IFERROR(__xludf.dummyfunction("""COMPUTED_VALUE"""),"GOIÂNIA - GO")</f>
        <v>GOIÂNIA - GO</v>
      </c>
      <c r="M210" s="10">
        <f ca="1">IFERROR(__xludf.dummyfunction("""COMPUTED_VALUE"""),5)</f>
        <v>5</v>
      </c>
      <c r="N210" s="10" t="str">
        <f ca="1">IFERROR(__xludf.dummyfunction("""COMPUTED_VALUE"""),"DISPONÍVEL")</f>
        <v>DISPONÍVEL</v>
      </c>
      <c r="O210" s="12"/>
      <c r="P210" s="11"/>
      <c r="Q210" s="11"/>
      <c r="R210" s="11"/>
    </row>
    <row r="211" spans="1:18">
      <c r="A211" s="10">
        <f ca="1">IFERROR(__xludf.dummyfunction("""COMPUTED_VALUE"""),20)</f>
        <v>20</v>
      </c>
      <c r="B211" s="11" t="str">
        <f ca="1">IFERROR(__xludf.dummyfunction("""COMPUTED_VALUE"""),"DANIELLA GOMES ALVES OLIVEIRA")</f>
        <v>DANIELLA GOMES ALVES OLIVEIRA</v>
      </c>
      <c r="C211" s="11"/>
      <c r="D211" s="11" t="str">
        <f ca="1">IFERROR(__xludf.dummyfunction("""COMPUTED_VALUE"""),"71167173155")</f>
        <v>71167173155</v>
      </c>
      <c r="E211" s="11" t="str">
        <f ca="1">IFERROR(__xludf.dummyfunction("""COMPUTED_VALUE"""),"DANIELLAGOMS2002@GMAIL.COM")</f>
        <v>DANIELLAGOMS2002@GMAIL.COM</v>
      </c>
      <c r="F211" s="11"/>
      <c r="G211" s="11" t="str">
        <f ca="1">IFERROR(__xludf.dummyfunction("""COMPUTED_VALUE"""),"(64) 981149510")</f>
        <v>(64) 981149510</v>
      </c>
      <c r="H211" s="11" t="str">
        <f ca="1">IFERROR(__xludf.dummyfunction("""COMPUTED_VALUE"""),"SUPERIOR")</f>
        <v>SUPERIOR</v>
      </c>
      <c r="I211" s="10" t="str">
        <f ca="1">IFERROR(__xludf.dummyfunction("""COMPUTED_VALUE"""),"DIREITO")</f>
        <v>DIREITO</v>
      </c>
      <c r="J211" s="10" t="str">
        <f ca="1">IFERROR(__xludf.dummyfunction("""COMPUTED_VALUE"""),"MANHÃ")</f>
        <v>MANHÃ</v>
      </c>
      <c r="K211" s="10" t="str">
        <f ca="1">IFERROR(__xludf.dummyfunction("""COMPUTED_VALUE"""),"TARDE")</f>
        <v>TARDE</v>
      </c>
      <c r="L211" s="10" t="str">
        <f ca="1">IFERROR(__xludf.dummyfunction("""COMPUTED_VALUE"""),"GOIÂNIA - GO")</f>
        <v>GOIÂNIA - GO</v>
      </c>
      <c r="M211" s="10">
        <f ca="1">IFERROR(__xludf.dummyfunction("""COMPUTED_VALUE"""),7)</f>
        <v>7</v>
      </c>
      <c r="N211" s="10" t="str">
        <f ca="1">IFERROR(__xludf.dummyfunction("""COMPUTED_VALUE"""),"DISPONÍVEL")</f>
        <v>DISPONÍVEL</v>
      </c>
      <c r="O211" s="12"/>
      <c r="P211" s="11"/>
      <c r="Q211" s="11"/>
      <c r="R211" s="11"/>
    </row>
    <row r="212" spans="1:18">
      <c r="A212" s="10">
        <f ca="1">IFERROR(__xludf.dummyfunction("""COMPUTED_VALUE"""),21)</f>
        <v>21</v>
      </c>
      <c r="B212" s="11" t="str">
        <f ca="1">IFERROR(__xludf.dummyfunction("""COMPUTED_VALUE"""),"MARIA CECÍLIA CURADO MORAIS")</f>
        <v>MARIA CECÍLIA CURADO MORAIS</v>
      </c>
      <c r="C212" s="11" t="str">
        <f ca="1">IFERROR(__xludf.dummyfunction("""COMPUTED_VALUE"""),"6566437")</f>
        <v>6566437</v>
      </c>
      <c r="D212" s="11" t="str">
        <f ca="1">IFERROR(__xludf.dummyfunction("""COMPUTED_VALUE"""),"70703872109")</f>
        <v>70703872109</v>
      </c>
      <c r="E212" s="11" t="str">
        <f ca="1">IFERROR(__xludf.dummyfunction("""COMPUTED_VALUE"""),"MORAIS.MARIACECILIA@GMAIL.COM")</f>
        <v>MORAIS.MARIACECILIA@GMAIL.COM</v>
      </c>
      <c r="F212" s="11"/>
      <c r="G212" s="11" t="str">
        <f ca="1">IFERROR(__xludf.dummyfunction("""COMPUTED_VALUE"""),"(62) 992444510")</f>
        <v>(62) 992444510</v>
      </c>
      <c r="H212" s="11" t="str">
        <f ca="1">IFERROR(__xludf.dummyfunction("""COMPUTED_VALUE"""),"SUPERIOR")</f>
        <v>SUPERIOR</v>
      </c>
      <c r="I212" s="10" t="str">
        <f ca="1">IFERROR(__xludf.dummyfunction("""COMPUTED_VALUE"""),"DIREITO")</f>
        <v>DIREITO</v>
      </c>
      <c r="J212" s="10" t="str">
        <f ca="1">IFERROR(__xludf.dummyfunction("""COMPUTED_VALUE"""),"MANHÃ")</f>
        <v>MANHÃ</v>
      </c>
      <c r="K212" s="10" t="str">
        <f ca="1">IFERROR(__xludf.dummyfunction("""COMPUTED_VALUE"""),"TARDE")</f>
        <v>TARDE</v>
      </c>
      <c r="L212" s="10" t="str">
        <f ca="1">IFERROR(__xludf.dummyfunction("""COMPUTED_VALUE"""),"GOIÂNIA - GO")</f>
        <v>GOIÂNIA - GO</v>
      </c>
      <c r="M212" s="10">
        <f ca="1">IFERROR(__xludf.dummyfunction("""COMPUTED_VALUE"""),6)</f>
        <v>6</v>
      </c>
      <c r="N212" s="10" t="str">
        <f ca="1">IFERROR(__xludf.dummyfunction("""COMPUTED_VALUE"""),"CONTRATADO")</f>
        <v>CONTRATADO</v>
      </c>
      <c r="O212" s="12"/>
      <c r="P212" s="11"/>
      <c r="Q212" s="11"/>
      <c r="R212" s="11"/>
    </row>
    <row r="213" spans="1:18">
      <c r="A213" s="10">
        <f ca="1">IFERROR(__xludf.dummyfunction("""COMPUTED_VALUE"""),22)</f>
        <v>22</v>
      </c>
      <c r="B213" s="11" t="str">
        <f ca="1">IFERROR(__xludf.dummyfunction("""COMPUTED_VALUE"""),"GABRIEL CARNEIRO DE FREITAS")</f>
        <v>GABRIEL CARNEIRO DE FREITAS</v>
      </c>
      <c r="C213" s="11"/>
      <c r="D213" s="11" t="str">
        <f ca="1">IFERROR(__xludf.dummyfunction("""COMPUTED_VALUE"""),"03823648136")</f>
        <v>03823648136</v>
      </c>
      <c r="E213" s="11" t="str">
        <f ca="1">IFERROR(__xludf.dummyfunction("""COMPUTED_VALUE"""),"GABRIELCARNEIROFREITAS43@GMAIL.COM")</f>
        <v>GABRIELCARNEIROFREITAS43@GMAIL.COM</v>
      </c>
      <c r="F213" s="11" t="str">
        <f ca="1">IFERROR(__xludf.dummyfunction("""COMPUTED_VALUE"""),"(62) 32962068")</f>
        <v>(62) 32962068</v>
      </c>
      <c r="G213" s="11" t="str">
        <f ca="1">IFERROR(__xludf.dummyfunction("""COMPUTED_VALUE"""),"(62) 984328650")</f>
        <v>(62) 984328650</v>
      </c>
      <c r="H213" s="11" t="str">
        <f ca="1">IFERROR(__xludf.dummyfunction("""COMPUTED_VALUE"""),"SUPERIOR")</f>
        <v>SUPERIOR</v>
      </c>
      <c r="I213" s="10" t="str">
        <f ca="1">IFERROR(__xludf.dummyfunction("""COMPUTED_VALUE"""),"DIREITO")</f>
        <v>DIREITO</v>
      </c>
      <c r="J213" s="10" t="str">
        <f ca="1">IFERROR(__xludf.dummyfunction("""COMPUTED_VALUE"""),"MANHÃ")</f>
        <v>MANHÃ</v>
      </c>
      <c r="K213" s="10" t="str">
        <f ca="1">IFERROR(__xludf.dummyfunction("""COMPUTED_VALUE"""),"TARDE")</f>
        <v>TARDE</v>
      </c>
      <c r="L213" s="10" t="str">
        <f ca="1">IFERROR(__xludf.dummyfunction("""COMPUTED_VALUE"""),"GOIÂNIA - GO")</f>
        <v>GOIÂNIA - GO</v>
      </c>
      <c r="M213" s="10">
        <f ca="1">IFERROR(__xludf.dummyfunction("""COMPUTED_VALUE"""),5)</f>
        <v>5</v>
      </c>
      <c r="N213" s="10" t="str">
        <f ca="1">IFERROR(__xludf.dummyfunction("""COMPUTED_VALUE"""),"DISPONÍVEL")</f>
        <v>DISPONÍVEL</v>
      </c>
      <c r="O213" s="12"/>
      <c r="P213" s="11"/>
      <c r="Q213" s="11"/>
      <c r="R213" s="11"/>
    </row>
    <row r="214" spans="1:18">
      <c r="A214" s="10">
        <f ca="1">IFERROR(__xludf.dummyfunction("""COMPUTED_VALUE"""),23)</f>
        <v>23</v>
      </c>
      <c r="B214" s="11" t="str">
        <f ca="1">IFERROR(__xludf.dummyfunction("""COMPUTED_VALUE"""),"ROSANE BORGES DE OLIVEIRA")</f>
        <v>ROSANE BORGES DE OLIVEIRA</v>
      </c>
      <c r="C214" s="11" t="str">
        <f ca="1">IFERROR(__xludf.dummyfunction("""COMPUTED_VALUE"""),"5448526")</f>
        <v>5448526</v>
      </c>
      <c r="D214" s="11" t="str">
        <f ca="1">IFERROR(__xludf.dummyfunction("""COMPUTED_VALUE"""),"02678161110")</f>
        <v>02678161110</v>
      </c>
      <c r="E214" s="11" t="str">
        <f ca="1">IFERROR(__xludf.dummyfunction("""COMPUTED_VALUE"""),"ROSANE_BORGES@DISCENTE.UFG.BR")</f>
        <v>ROSANE_BORGES@DISCENTE.UFG.BR</v>
      </c>
      <c r="F214" s="11"/>
      <c r="G214" s="11" t="str">
        <f ca="1">IFERROR(__xludf.dummyfunction("""COMPUTED_VALUE"""),"(62) 985564569")</f>
        <v>(62) 985564569</v>
      </c>
      <c r="H214" s="11" t="str">
        <f ca="1">IFERROR(__xludf.dummyfunction("""COMPUTED_VALUE"""),"SUPERIOR")</f>
        <v>SUPERIOR</v>
      </c>
      <c r="I214" s="10" t="str">
        <f ca="1">IFERROR(__xludf.dummyfunction("""COMPUTED_VALUE"""),"DIREITO")</f>
        <v>DIREITO</v>
      </c>
      <c r="J214" s="10" t="str">
        <f ca="1">IFERROR(__xludf.dummyfunction("""COMPUTED_VALUE"""),"NOITE")</f>
        <v>NOITE</v>
      </c>
      <c r="K214" s="10" t="str">
        <f ca="1">IFERROR(__xludf.dummyfunction("""COMPUTED_VALUE"""),"TARDE")</f>
        <v>TARDE</v>
      </c>
      <c r="L214" s="10" t="str">
        <f ca="1">IFERROR(__xludf.dummyfunction("""COMPUTED_VALUE"""),"GOIÂNIA - GO")</f>
        <v>GOIÂNIA - GO</v>
      </c>
      <c r="M214" s="10">
        <f ca="1">IFERROR(__xludf.dummyfunction("""COMPUTED_VALUE"""),5)</f>
        <v>5</v>
      </c>
      <c r="N214" s="10" t="str">
        <f ca="1">IFERROR(__xludf.dummyfunction("""COMPUTED_VALUE"""),"DISPONÍVEL")</f>
        <v>DISPONÍVEL</v>
      </c>
      <c r="O214" s="12"/>
      <c r="P214" s="11"/>
      <c r="Q214" s="11"/>
      <c r="R214" s="11"/>
    </row>
    <row r="215" spans="1:18">
      <c r="A215" s="10">
        <f ca="1">IFERROR(__xludf.dummyfunction("""COMPUTED_VALUE"""),24)</f>
        <v>24</v>
      </c>
      <c r="B215" s="11" t="str">
        <f ca="1">IFERROR(__xludf.dummyfunction("""COMPUTED_VALUE"""),"LAURA ROIZ POVOA")</f>
        <v>LAURA ROIZ POVOA</v>
      </c>
      <c r="C215" s="11" t="str">
        <f ca="1">IFERROR(__xludf.dummyfunction("""COMPUTED_VALUE"""),"6831152")</f>
        <v>6831152</v>
      </c>
      <c r="D215" s="11" t="str">
        <f ca="1">IFERROR(__xludf.dummyfunction("""COMPUTED_VALUE"""),"70878445129")</f>
        <v>70878445129</v>
      </c>
      <c r="E215" s="11" t="str">
        <f ca="1">IFERROR(__xludf.dummyfunction("""COMPUTED_VALUE"""),"LAURA22ROIZ@OUTLOOK.COM")</f>
        <v>LAURA22ROIZ@OUTLOOK.COM</v>
      </c>
      <c r="F215" s="11" t="str">
        <f ca="1">IFERROR(__xludf.dummyfunction("""COMPUTED_VALUE"""),"(62) 32595968")</f>
        <v>(62) 32595968</v>
      </c>
      <c r="G215" s="11" t="str">
        <f ca="1">IFERROR(__xludf.dummyfunction("""COMPUTED_VALUE"""),"(62) 996164050")</f>
        <v>(62) 996164050</v>
      </c>
      <c r="H215" s="11" t="str">
        <f ca="1">IFERROR(__xludf.dummyfunction("""COMPUTED_VALUE"""),"SUPERIOR")</f>
        <v>SUPERIOR</v>
      </c>
      <c r="I215" s="10" t="str">
        <f ca="1">IFERROR(__xludf.dummyfunction("""COMPUTED_VALUE"""),"DIREITO")</f>
        <v>DIREITO</v>
      </c>
      <c r="J215" s="10" t="str">
        <f ca="1">IFERROR(__xludf.dummyfunction("""COMPUTED_VALUE"""),"MANHÃ")</f>
        <v>MANHÃ</v>
      </c>
      <c r="K215" s="10" t="str">
        <f ca="1">IFERROR(__xludf.dummyfunction("""COMPUTED_VALUE"""),"TARDE")</f>
        <v>TARDE</v>
      </c>
      <c r="L215" s="10" t="str">
        <f ca="1">IFERROR(__xludf.dummyfunction("""COMPUTED_VALUE"""),"GOIÂNIA - GO")</f>
        <v>GOIÂNIA - GO</v>
      </c>
      <c r="M215" s="10">
        <f ca="1">IFERROR(__xludf.dummyfunction("""COMPUTED_VALUE"""),6)</f>
        <v>6</v>
      </c>
      <c r="N215" s="10" t="str">
        <f ca="1">IFERROR(__xludf.dummyfunction("""COMPUTED_VALUE"""),"DISPONÍVEL")</f>
        <v>DISPONÍVEL</v>
      </c>
      <c r="O215" s="12"/>
      <c r="P215" s="11"/>
      <c r="Q215" s="11"/>
      <c r="R215" s="11"/>
    </row>
    <row r="216" spans="1:18">
      <c r="A216" s="10">
        <f ca="1">IFERROR(__xludf.dummyfunction("""COMPUTED_VALUE"""),25)</f>
        <v>25</v>
      </c>
      <c r="B216" s="11" t="str">
        <f ca="1">IFERROR(__xludf.dummyfunction("""COMPUTED_VALUE"""),"CECILIA GOMES AIRES")</f>
        <v>CECILIA GOMES AIRES</v>
      </c>
      <c r="C216" s="11" t="str">
        <f ca="1">IFERROR(__xludf.dummyfunction("""COMPUTED_VALUE"""),"1992021")</f>
        <v>1992021</v>
      </c>
      <c r="D216" s="11" t="str">
        <f ca="1">IFERROR(__xludf.dummyfunction("""COMPUTED_VALUE"""),"08425499194")</f>
        <v>08425499194</v>
      </c>
      <c r="E216" s="11" t="str">
        <f ca="1">IFERROR(__xludf.dummyfunction("""COMPUTED_VALUE"""),"CECILIAGOMESAIRES.PMW@GMAIL.COM")</f>
        <v>CECILIAGOMESAIRES.PMW@GMAIL.COM</v>
      </c>
      <c r="F216" s="11"/>
      <c r="G216" s="11" t="str">
        <f ca="1">IFERROR(__xludf.dummyfunction("""COMPUTED_VALUE"""),"(63) 981081511")</f>
        <v>(63) 981081511</v>
      </c>
      <c r="H216" s="11" t="str">
        <f ca="1">IFERROR(__xludf.dummyfunction("""COMPUTED_VALUE"""),"SUPERIOR")</f>
        <v>SUPERIOR</v>
      </c>
      <c r="I216" s="10" t="str">
        <f ca="1">IFERROR(__xludf.dummyfunction("""COMPUTED_VALUE"""),"DIREITO")</f>
        <v>DIREITO</v>
      </c>
      <c r="J216" s="10" t="str">
        <f ca="1">IFERROR(__xludf.dummyfunction("""COMPUTED_VALUE"""),"MANHÃ")</f>
        <v>MANHÃ</v>
      </c>
      <c r="K216" s="10" t="str">
        <f ca="1">IFERROR(__xludf.dummyfunction("""COMPUTED_VALUE"""),"TARDE")</f>
        <v>TARDE</v>
      </c>
      <c r="L216" s="10" t="str">
        <f ca="1">IFERROR(__xludf.dummyfunction("""COMPUTED_VALUE"""),"GOIÂNIA - GO")</f>
        <v>GOIÂNIA - GO</v>
      </c>
      <c r="M216" s="10">
        <f ca="1">IFERROR(__xludf.dummyfunction("""COMPUTED_VALUE"""),5)</f>
        <v>5</v>
      </c>
      <c r="N216" s="10" t="str">
        <f ca="1">IFERROR(__xludf.dummyfunction("""COMPUTED_VALUE"""),"DISPONÍVEL")</f>
        <v>DISPONÍVEL</v>
      </c>
      <c r="O216" s="12"/>
      <c r="P216" s="11"/>
      <c r="Q216" s="11"/>
      <c r="R216" s="11"/>
    </row>
    <row r="217" spans="1:18">
      <c r="A217" s="10">
        <f ca="1">IFERROR(__xludf.dummyfunction("""COMPUTED_VALUE"""),26)</f>
        <v>26</v>
      </c>
      <c r="B217" s="11" t="str">
        <f ca="1">IFERROR(__xludf.dummyfunction("""COMPUTED_VALUE"""),"GABRYELLA QUINTINO RODRIGUES")</f>
        <v>GABRYELLA QUINTINO RODRIGUES</v>
      </c>
      <c r="C217" s="11" t="str">
        <f ca="1">IFERROR(__xludf.dummyfunction("""COMPUTED_VALUE"""),"6859943")</f>
        <v>6859943</v>
      </c>
      <c r="D217" s="11" t="str">
        <f ca="1">IFERROR(__xludf.dummyfunction("""COMPUTED_VALUE"""),"70903025124")</f>
        <v>70903025124</v>
      </c>
      <c r="E217" s="11" t="str">
        <f ca="1">IFERROR(__xludf.dummyfunction("""COMPUTED_VALUE"""),"GABYRODRIGUES100@GMAIL.COM")</f>
        <v>GABYRODRIGUES100@GMAIL.COM</v>
      </c>
      <c r="F217" s="11" t="str">
        <f ca="1">IFERROR(__xludf.dummyfunction("""COMPUTED_VALUE"""),"(62) 35872027")</f>
        <v>(62) 35872027</v>
      </c>
      <c r="G217" s="11" t="str">
        <f ca="1">IFERROR(__xludf.dummyfunction("""COMPUTED_VALUE"""),"(62) 985946278")</f>
        <v>(62) 985946278</v>
      </c>
      <c r="H217" s="11" t="str">
        <f ca="1">IFERROR(__xludf.dummyfunction("""COMPUTED_VALUE"""),"SUPERIOR")</f>
        <v>SUPERIOR</v>
      </c>
      <c r="I217" s="10" t="str">
        <f ca="1">IFERROR(__xludf.dummyfunction("""COMPUTED_VALUE"""),"DIREITO")</f>
        <v>DIREITO</v>
      </c>
      <c r="J217" s="10" t="str">
        <f ca="1">IFERROR(__xludf.dummyfunction("""COMPUTED_VALUE"""),"NOITE")</f>
        <v>NOITE</v>
      </c>
      <c r="K217" s="10" t="str">
        <f ca="1">IFERROR(__xludf.dummyfunction("""COMPUTED_VALUE"""),"TARDE")</f>
        <v>TARDE</v>
      </c>
      <c r="L217" s="10" t="str">
        <f ca="1">IFERROR(__xludf.dummyfunction("""COMPUTED_VALUE"""),"GOIÂNIA - GO")</f>
        <v>GOIÂNIA - GO</v>
      </c>
      <c r="M217" s="10">
        <f ca="1">IFERROR(__xludf.dummyfunction("""COMPUTED_VALUE"""),5)</f>
        <v>5</v>
      </c>
      <c r="N217" s="10" t="str">
        <f ca="1">IFERROR(__xludf.dummyfunction("""COMPUTED_VALUE"""),"DISPONÍVEL")</f>
        <v>DISPONÍVEL</v>
      </c>
      <c r="O217" s="12"/>
      <c r="P217" s="11"/>
      <c r="Q217" s="11"/>
      <c r="R217" s="11"/>
    </row>
    <row r="218" spans="1:18">
      <c r="A218" s="10">
        <f ca="1">IFERROR(__xludf.dummyfunction("""COMPUTED_VALUE"""),27)</f>
        <v>27</v>
      </c>
      <c r="B218" s="11" t="str">
        <f ca="1">IFERROR(__xludf.dummyfunction("""COMPUTED_VALUE"""),"CAMILA CRISTIE MAGGI")</f>
        <v>CAMILA CRISTIE MAGGI</v>
      </c>
      <c r="C218" s="11" t="str">
        <f ca="1">IFERROR(__xludf.dummyfunction("""COMPUTED_VALUE"""),"6690069")</f>
        <v>6690069</v>
      </c>
      <c r="D218" s="11" t="str">
        <f ca="1">IFERROR(__xludf.dummyfunction("""COMPUTED_VALUE"""),"03579951122")</f>
        <v>03579951122</v>
      </c>
      <c r="E218" s="11" t="str">
        <f ca="1">IFERROR(__xludf.dummyfunction("""COMPUTED_VALUE"""),"CAMILAMAGGI@DISCENTE.UFG.BR")</f>
        <v>CAMILAMAGGI@DISCENTE.UFG.BR</v>
      </c>
      <c r="F218" s="11" t="str">
        <f ca="1">IFERROR(__xludf.dummyfunction("""COMPUTED_VALUE"""),"(62) 32882845")</f>
        <v>(62) 32882845</v>
      </c>
      <c r="G218" s="11" t="str">
        <f ca="1">IFERROR(__xludf.dummyfunction("""COMPUTED_VALUE"""),"(62) 994036456")</f>
        <v>(62) 994036456</v>
      </c>
      <c r="H218" s="11" t="str">
        <f ca="1">IFERROR(__xludf.dummyfunction("""COMPUTED_VALUE"""),"SUPERIOR")</f>
        <v>SUPERIOR</v>
      </c>
      <c r="I218" s="10" t="str">
        <f ca="1">IFERROR(__xludf.dummyfunction("""COMPUTED_VALUE"""),"DIREITO")</f>
        <v>DIREITO</v>
      </c>
      <c r="J218" s="10" t="str">
        <f ca="1">IFERROR(__xludf.dummyfunction("""COMPUTED_VALUE"""),"MANHÃ")</f>
        <v>MANHÃ</v>
      </c>
      <c r="K218" s="10" t="str">
        <f ca="1">IFERROR(__xludf.dummyfunction("""COMPUTED_VALUE"""),"TARDE")</f>
        <v>TARDE</v>
      </c>
      <c r="L218" s="10" t="str">
        <f ca="1">IFERROR(__xludf.dummyfunction("""COMPUTED_VALUE"""),"GOIÂNIA - GO")</f>
        <v>GOIÂNIA - GO</v>
      </c>
      <c r="M218" s="10">
        <f ca="1">IFERROR(__xludf.dummyfunction("""COMPUTED_VALUE"""),5)</f>
        <v>5</v>
      </c>
      <c r="N218" s="10" t="str">
        <f ca="1">IFERROR(__xludf.dummyfunction("""COMPUTED_VALUE"""),"DISPONÍVEL")</f>
        <v>DISPONÍVEL</v>
      </c>
      <c r="O218" s="12">
        <f ca="1">IFERROR(__xludf.dummyfunction("""COMPUTED_VALUE"""),45324)</f>
        <v>45324</v>
      </c>
      <c r="P218" s="11"/>
      <c r="Q218" s="11"/>
      <c r="R218" s="11"/>
    </row>
    <row r="219" spans="1:18">
      <c r="A219" s="10">
        <f ca="1">IFERROR(__xludf.dummyfunction("""COMPUTED_VALUE"""),28)</f>
        <v>28</v>
      </c>
      <c r="B219" s="11" t="str">
        <f ca="1">IFERROR(__xludf.dummyfunction("""COMPUTED_VALUE"""),"SARAH DIAS FREIRE")</f>
        <v>SARAH DIAS FREIRE</v>
      </c>
      <c r="C219" s="11" t="str">
        <f ca="1">IFERROR(__xludf.dummyfunction("""COMPUTED_VALUE"""),"07855734032")</f>
        <v>07855734032</v>
      </c>
      <c r="D219" s="11" t="str">
        <f ca="1">IFERROR(__xludf.dummyfunction("""COMPUTED_VALUE"""),"07710064116")</f>
        <v>07710064116</v>
      </c>
      <c r="E219" s="11" t="str">
        <f ca="1">IFERROR(__xludf.dummyfunction("""COMPUTED_VALUE"""),"SARAHDIAASF@GMAIL.COM")</f>
        <v>SARAHDIAASF@GMAIL.COM</v>
      </c>
      <c r="F219" s="11" t="str">
        <f ca="1">IFERROR(__xludf.dummyfunction("""COMPUTED_VALUE"""),"(62) 99239233")</f>
        <v>(62) 99239233</v>
      </c>
      <c r="G219" s="11" t="str">
        <f ca="1">IFERROR(__xludf.dummyfunction("""COMPUTED_VALUE"""),"(62) 992392337")</f>
        <v>(62) 992392337</v>
      </c>
      <c r="H219" s="11" t="str">
        <f ca="1">IFERROR(__xludf.dummyfunction("""COMPUTED_VALUE"""),"SUPERIOR")</f>
        <v>SUPERIOR</v>
      </c>
      <c r="I219" s="10" t="str">
        <f ca="1">IFERROR(__xludf.dummyfunction("""COMPUTED_VALUE"""),"DIREITO")</f>
        <v>DIREITO</v>
      </c>
      <c r="J219" s="10" t="str">
        <f ca="1">IFERROR(__xludf.dummyfunction("""COMPUTED_VALUE"""),"MANHÃ")</f>
        <v>MANHÃ</v>
      </c>
      <c r="K219" s="10" t="str">
        <f ca="1">IFERROR(__xludf.dummyfunction("""COMPUTED_VALUE"""),"TARDE")</f>
        <v>TARDE</v>
      </c>
      <c r="L219" s="10" t="str">
        <f ca="1">IFERROR(__xludf.dummyfunction("""COMPUTED_VALUE"""),"GOIÂNIA - GO")</f>
        <v>GOIÂNIA - GO</v>
      </c>
      <c r="M219" s="10">
        <f ca="1">IFERROR(__xludf.dummyfunction("""COMPUTED_VALUE"""),8)</f>
        <v>8</v>
      </c>
      <c r="N219" s="10" t="str">
        <f ca="1">IFERROR(__xludf.dummyfunction("""COMPUTED_VALUE"""),"DISPONÍVEL")</f>
        <v>DISPONÍVEL</v>
      </c>
      <c r="O219" s="12"/>
      <c r="P219" s="11"/>
      <c r="Q219" s="11"/>
      <c r="R219" s="11"/>
    </row>
    <row r="220" spans="1:18">
      <c r="A220" s="10">
        <f ca="1">IFERROR(__xludf.dummyfunction("""COMPUTED_VALUE"""),29)</f>
        <v>29</v>
      </c>
      <c r="B220" s="11" t="str">
        <f ca="1">IFERROR(__xludf.dummyfunction("""COMPUTED_VALUE"""),"FELIPE DE OLIVEIRA SENE")</f>
        <v>FELIPE DE OLIVEIRA SENE</v>
      </c>
      <c r="C220" s="11" t="str">
        <f ca="1">IFERROR(__xludf.dummyfunction("""COMPUTED_VALUE"""),"6420864")</f>
        <v>6420864</v>
      </c>
      <c r="D220" s="11" t="str">
        <f ca="1">IFERROR(__xludf.dummyfunction("""COMPUTED_VALUE"""),"06561788176")</f>
        <v>06561788176</v>
      </c>
      <c r="E220" s="11" t="str">
        <f ca="1">IFERROR(__xludf.dummyfunction("""COMPUTED_VALUE"""),"SENE.OLIVEIRA2@GMAIL.COM")</f>
        <v>SENE.OLIVEIRA2@GMAIL.COM</v>
      </c>
      <c r="F220" s="11" t="str">
        <f ca="1">IFERROR(__xludf.dummyfunction("""COMPUTED_VALUE"""),"(62) 98602136")</f>
        <v>(62) 98602136</v>
      </c>
      <c r="G220" s="11" t="str">
        <f ca="1">IFERROR(__xludf.dummyfunction("""COMPUTED_VALUE"""),"(62) 986021365")</f>
        <v>(62) 986021365</v>
      </c>
      <c r="H220" s="11" t="str">
        <f ca="1">IFERROR(__xludf.dummyfunction("""COMPUTED_VALUE"""),"SUPERIOR")</f>
        <v>SUPERIOR</v>
      </c>
      <c r="I220" s="10" t="str">
        <f ca="1">IFERROR(__xludf.dummyfunction("""COMPUTED_VALUE"""),"DIREITO")</f>
        <v>DIREITO</v>
      </c>
      <c r="J220" s="10" t="str">
        <f ca="1">IFERROR(__xludf.dummyfunction("""COMPUTED_VALUE"""),"NOITE")</f>
        <v>NOITE</v>
      </c>
      <c r="K220" s="10" t="str">
        <f ca="1">IFERROR(__xludf.dummyfunction("""COMPUTED_VALUE"""),"TARDE")</f>
        <v>TARDE</v>
      </c>
      <c r="L220" s="10" t="str">
        <f ca="1">IFERROR(__xludf.dummyfunction("""COMPUTED_VALUE"""),"GOIÂNIA - GO")</f>
        <v>GOIÂNIA - GO</v>
      </c>
      <c r="M220" s="10">
        <f ca="1">IFERROR(__xludf.dummyfunction("""COMPUTED_VALUE"""),9)</f>
        <v>9</v>
      </c>
      <c r="N220" s="10" t="str">
        <f ca="1">IFERROR(__xludf.dummyfunction("""COMPUTED_VALUE"""),"DISPONÍVEL")</f>
        <v>DISPONÍVEL</v>
      </c>
      <c r="O220" s="12"/>
      <c r="P220" s="11"/>
      <c r="Q220" s="11"/>
      <c r="R220" s="11"/>
    </row>
    <row r="221" spans="1:18">
      <c r="A221" s="10">
        <f ca="1">IFERROR(__xludf.dummyfunction("""COMPUTED_VALUE"""),30)</f>
        <v>30</v>
      </c>
      <c r="B221" s="11" t="str">
        <f ca="1">IFERROR(__xludf.dummyfunction("""COMPUTED_VALUE"""),"RAYANE AIRES REIS")</f>
        <v>RAYANE AIRES REIS</v>
      </c>
      <c r="C221" s="11" t="str">
        <f ca="1">IFERROR(__xludf.dummyfunction("""COMPUTED_VALUE"""),"5873249")</f>
        <v>5873249</v>
      </c>
      <c r="D221" s="11" t="str">
        <f ca="1">IFERROR(__xludf.dummyfunction("""COMPUTED_VALUE"""),"70024118109")</f>
        <v>70024118109</v>
      </c>
      <c r="E221" s="11" t="str">
        <f ca="1">IFERROR(__xludf.dummyfunction("""COMPUTED_VALUE"""),"RAYANEAIRES55@GMAIL.COM")</f>
        <v>RAYANEAIRES55@GMAIL.COM</v>
      </c>
      <c r="F221" s="11" t="str">
        <f ca="1">IFERROR(__xludf.dummyfunction("""COMPUTED_VALUE"""),"(62) 96239863")</f>
        <v>(62) 96239863</v>
      </c>
      <c r="G221" s="11" t="str">
        <f ca="1">IFERROR(__xludf.dummyfunction("""COMPUTED_VALUE"""),"(62) 996239863")</f>
        <v>(62) 996239863</v>
      </c>
      <c r="H221" s="11" t="str">
        <f ca="1">IFERROR(__xludf.dummyfunction("""COMPUTED_VALUE"""),"SUPERIOR")</f>
        <v>SUPERIOR</v>
      </c>
      <c r="I221" s="10" t="str">
        <f ca="1">IFERROR(__xludf.dummyfunction("""COMPUTED_VALUE"""),"DIREITO")</f>
        <v>DIREITO</v>
      </c>
      <c r="J221" s="10" t="str">
        <f ca="1">IFERROR(__xludf.dummyfunction("""COMPUTED_VALUE"""),"NOITE")</f>
        <v>NOITE</v>
      </c>
      <c r="K221" s="10" t="str">
        <f ca="1">IFERROR(__xludf.dummyfunction("""COMPUTED_VALUE"""),"TARDE")</f>
        <v>TARDE</v>
      </c>
      <c r="L221" s="10" t="str">
        <f ca="1">IFERROR(__xludf.dummyfunction("""COMPUTED_VALUE"""),"GOIÂNIA - GO")</f>
        <v>GOIÂNIA - GO</v>
      </c>
      <c r="M221" s="10">
        <f ca="1">IFERROR(__xludf.dummyfunction("""COMPUTED_VALUE"""),9)</f>
        <v>9</v>
      </c>
      <c r="N221" s="10" t="str">
        <f ca="1">IFERROR(__xludf.dummyfunction("""COMPUTED_VALUE"""),"DISPONÍVEL")</f>
        <v>DISPONÍVEL</v>
      </c>
      <c r="O221" s="12"/>
      <c r="P221" s="11"/>
      <c r="Q221" s="11"/>
      <c r="R221" s="11"/>
    </row>
    <row r="222" spans="1:18">
      <c r="A222" s="10">
        <f ca="1">IFERROR(__xludf.dummyfunction("""COMPUTED_VALUE"""),31)</f>
        <v>31</v>
      </c>
      <c r="B222" s="11" t="str">
        <f ca="1">IFERROR(__xludf.dummyfunction("""COMPUTED_VALUE"""),"FERNANDA MARTINS JAIME")</f>
        <v>FERNANDA MARTINS JAIME</v>
      </c>
      <c r="C222" s="11"/>
      <c r="D222" s="11" t="str">
        <f ca="1">IFERROR(__xludf.dummyfunction("""COMPUTED_VALUE"""),"02631502167")</f>
        <v>02631502167</v>
      </c>
      <c r="E222" s="11" t="str">
        <f ca="1">IFERROR(__xludf.dummyfunction("""COMPUTED_VALUE"""),"NANDAWORLD.38@GMAIL.COM")</f>
        <v>NANDAWORLD.38@GMAIL.COM</v>
      </c>
      <c r="F222" s="11"/>
      <c r="G222" s="11" t="str">
        <f ca="1">IFERROR(__xludf.dummyfunction("""COMPUTED_VALUE"""),"(62) 984974541")</f>
        <v>(62) 984974541</v>
      </c>
      <c r="H222" s="11" t="str">
        <f ca="1">IFERROR(__xludf.dummyfunction("""COMPUTED_VALUE"""),"SUPERIOR")</f>
        <v>SUPERIOR</v>
      </c>
      <c r="I222" s="10" t="str">
        <f ca="1">IFERROR(__xludf.dummyfunction("""COMPUTED_VALUE"""),"DIREITO")</f>
        <v>DIREITO</v>
      </c>
      <c r="J222" s="10" t="str">
        <f ca="1">IFERROR(__xludf.dummyfunction("""COMPUTED_VALUE"""),"MANHÃ")</f>
        <v>MANHÃ</v>
      </c>
      <c r="K222" s="10" t="str">
        <f ca="1">IFERROR(__xludf.dummyfunction("""COMPUTED_VALUE"""),"TARDE")</f>
        <v>TARDE</v>
      </c>
      <c r="L222" s="10" t="str">
        <f ca="1">IFERROR(__xludf.dummyfunction("""COMPUTED_VALUE"""),"GOIÂNIA - GO")</f>
        <v>GOIÂNIA - GO</v>
      </c>
      <c r="M222" s="10">
        <f ca="1">IFERROR(__xludf.dummyfunction("""COMPUTED_VALUE"""),5)</f>
        <v>5</v>
      </c>
      <c r="N222" s="10" t="str">
        <f ca="1">IFERROR(__xludf.dummyfunction("""COMPUTED_VALUE"""),"DISPONÍVEL")</f>
        <v>DISPONÍVEL</v>
      </c>
      <c r="O222" s="12"/>
      <c r="P222" s="11"/>
      <c r="Q222" s="11"/>
      <c r="R222" s="11"/>
    </row>
    <row r="223" spans="1:18">
      <c r="A223" s="10">
        <f ca="1">IFERROR(__xludf.dummyfunction("""COMPUTED_VALUE"""),32)</f>
        <v>32</v>
      </c>
      <c r="B223" s="11" t="str">
        <f ca="1">IFERROR(__xludf.dummyfunction("""COMPUTED_VALUE"""),"MARIA EUGÊNIA MOREIRA")</f>
        <v>MARIA EUGÊNIA MOREIRA</v>
      </c>
      <c r="C223" s="11"/>
      <c r="D223" s="11" t="str">
        <f ca="1">IFERROR(__xludf.dummyfunction("""COMPUTED_VALUE"""),"99190575504")</f>
        <v>99190575504</v>
      </c>
      <c r="E223" s="11" t="str">
        <f ca="1">IFERROR(__xludf.dummyfunction("""COMPUTED_VALUE"""),"MARIAEUGENIAMOREIRA719@GMAIL.COM")</f>
        <v>MARIAEUGENIAMOREIRA719@GMAIL.COM</v>
      </c>
      <c r="F223" s="11" t="str">
        <f ca="1">IFERROR(__xludf.dummyfunction("""COMPUTED_VALUE"""),"(62) 98106637")</f>
        <v>(62) 98106637</v>
      </c>
      <c r="G223" s="11" t="str">
        <f ca="1">IFERROR(__xludf.dummyfunction("""COMPUTED_VALUE"""),"(62) 981066373")</f>
        <v>(62) 981066373</v>
      </c>
      <c r="H223" s="11" t="str">
        <f ca="1">IFERROR(__xludf.dummyfunction("""COMPUTED_VALUE"""),"SUPERIOR")</f>
        <v>SUPERIOR</v>
      </c>
      <c r="I223" s="10" t="str">
        <f ca="1">IFERROR(__xludf.dummyfunction("""COMPUTED_VALUE"""),"DIREITO")</f>
        <v>DIREITO</v>
      </c>
      <c r="J223" s="10" t="str">
        <f ca="1">IFERROR(__xludf.dummyfunction("""COMPUTED_VALUE"""),"NOITE")</f>
        <v>NOITE</v>
      </c>
      <c r="K223" s="10" t="str">
        <f ca="1">IFERROR(__xludf.dummyfunction("""COMPUTED_VALUE"""),"TARDE")</f>
        <v>TARDE</v>
      </c>
      <c r="L223" s="10" t="str">
        <f ca="1">IFERROR(__xludf.dummyfunction("""COMPUTED_VALUE"""),"GOIÂNIA - GO")</f>
        <v>GOIÂNIA - GO</v>
      </c>
      <c r="M223" s="10">
        <f ca="1">IFERROR(__xludf.dummyfunction("""COMPUTED_VALUE"""),5)</f>
        <v>5</v>
      </c>
      <c r="N223" s="10" t="str">
        <f ca="1">IFERROR(__xludf.dummyfunction("""COMPUTED_VALUE"""),"DISPONÍVEL")</f>
        <v>DISPONÍVEL</v>
      </c>
      <c r="O223" s="12"/>
      <c r="P223" s="11"/>
      <c r="Q223" s="11"/>
      <c r="R223" s="11"/>
    </row>
    <row r="224" spans="1:18">
      <c r="A224" s="10">
        <f ca="1">IFERROR(__xludf.dummyfunction("""COMPUTED_VALUE"""),33)</f>
        <v>33</v>
      </c>
      <c r="B224" s="11" t="str">
        <f ca="1">IFERROR(__xludf.dummyfunction("""COMPUTED_VALUE"""),"ANA CLARA PENHA")</f>
        <v>ANA CLARA PENHA</v>
      </c>
      <c r="C224" s="11" t="str">
        <f ca="1">IFERROR(__xludf.dummyfunction("""COMPUTED_VALUE"""),"6429521")</f>
        <v>6429521</v>
      </c>
      <c r="D224" s="11" t="str">
        <f ca="1">IFERROR(__xludf.dummyfunction("""COMPUTED_VALUE"""),"70499439163")</f>
        <v>70499439163</v>
      </c>
      <c r="E224" s="11" t="str">
        <f ca="1">IFERROR(__xludf.dummyfunction("""COMPUTED_VALUE"""),"ANACLARAPR045@ALUNO.UEG.BR")</f>
        <v>ANACLARAPR045@ALUNO.UEG.BR</v>
      </c>
      <c r="F224" s="11"/>
      <c r="G224" s="11" t="str">
        <f ca="1">IFERROR(__xludf.dummyfunction("""COMPUTED_VALUE"""),"(62) 981348063")</f>
        <v>(62) 981348063</v>
      </c>
      <c r="H224" s="11" t="str">
        <f ca="1">IFERROR(__xludf.dummyfunction("""COMPUTED_VALUE"""),"SUPERIOR")</f>
        <v>SUPERIOR</v>
      </c>
      <c r="I224" s="10" t="str">
        <f ca="1">IFERROR(__xludf.dummyfunction("""COMPUTED_VALUE"""),"DIREITO")</f>
        <v>DIREITO</v>
      </c>
      <c r="J224" s="10" t="str">
        <f ca="1">IFERROR(__xludf.dummyfunction("""COMPUTED_VALUE"""),"MANHÃ")</f>
        <v>MANHÃ</v>
      </c>
      <c r="K224" s="10" t="str">
        <f ca="1">IFERROR(__xludf.dummyfunction("""COMPUTED_VALUE"""),"TARDE")</f>
        <v>TARDE</v>
      </c>
      <c r="L224" s="10" t="str">
        <f ca="1">IFERROR(__xludf.dummyfunction("""COMPUTED_VALUE"""),"GOIÂNIA - GO")</f>
        <v>GOIÂNIA - GO</v>
      </c>
      <c r="M224" s="10">
        <f ca="1">IFERROR(__xludf.dummyfunction("""COMPUTED_VALUE"""),5)</f>
        <v>5</v>
      </c>
      <c r="N224" s="10" t="str">
        <f ca="1">IFERROR(__xludf.dummyfunction("""COMPUTED_VALUE"""),"NÃO ATENDE/AGUARDANDO RETORNO")</f>
        <v>NÃO ATENDE/AGUARDANDO RETORNO</v>
      </c>
      <c r="O224" s="12"/>
      <c r="P224" s="11"/>
      <c r="Q224" s="11"/>
      <c r="R224" s="11"/>
    </row>
    <row r="225" spans="1:18">
      <c r="A225" s="10">
        <f ca="1">IFERROR(__xludf.dummyfunction("""COMPUTED_VALUE"""),34)</f>
        <v>34</v>
      </c>
      <c r="B225" s="11" t="str">
        <f ca="1">IFERROR(__xludf.dummyfunction("""COMPUTED_VALUE"""),"PEDRO LIMA DE SOUSA RODRIGUES")</f>
        <v>PEDRO LIMA DE SOUSA RODRIGUES</v>
      </c>
      <c r="C225" s="11"/>
      <c r="D225" s="11" t="str">
        <f ca="1">IFERROR(__xludf.dummyfunction("""COMPUTED_VALUE"""),"04893582178")</f>
        <v>04893582178</v>
      </c>
      <c r="E225" s="11" t="str">
        <f ca="1">IFERROR(__xludf.dummyfunction("""COMPUTED_VALUE"""),"PEDROLSR17@GMAIL.COM")</f>
        <v>PEDROLSR17@GMAIL.COM</v>
      </c>
      <c r="F225" s="11"/>
      <c r="G225" s="11" t="str">
        <f ca="1">IFERROR(__xludf.dummyfunction("""COMPUTED_VALUE"""),"(62) 999895303")</f>
        <v>(62) 999895303</v>
      </c>
      <c r="H225" s="11" t="str">
        <f ca="1">IFERROR(__xludf.dummyfunction("""COMPUTED_VALUE"""),"SUPERIOR")</f>
        <v>SUPERIOR</v>
      </c>
      <c r="I225" s="10" t="str">
        <f ca="1">IFERROR(__xludf.dummyfunction("""COMPUTED_VALUE"""),"DIREITO")</f>
        <v>DIREITO</v>
      </c>
      <c r="J225" s="10" t="str">
        <f ca="1">IFERROR(__xludf.dummyfunction("""COMPUTED_VALUE"""),"MANHÃ")</f>
        <v>MANHÃ</v>
      </c>
      <c r="K225" s="10" t="str">
        <f ca="1">IFERROR(__xludf.dummyfunction("""COMPUTED_VALUE"""),"TARDE")</f>
        <v>TARDE</v>
      </c>
      <c r="L225" s="10" t="str">
        <f ca="1">IFERROR(__xludf.dummyfunction("""COMPUTED_VALUE"""),"GOIÂNIA - GO")</f>
        <v>GOIÂNIA - GO</v>
      </c>
      <c r="M225" s="10">
        <f ca="1">IFERROR(__xludf.dummyfunction("""COMPUTED_VALUE"""),5)</f>
        <v>5</v>
      </c>
      <c r="N225" s="10" t="str">
        <f ca="1">IFERROR(__xludf.dummyfunction("""COMPUTED_VALUE"""),"DISPONÍVEL")</f>
        <v>DISPONÍVEL</v>
      </c>
      <c r="O225" s="12"/>
      <c r="P225" s="11"/>
      <c r="Q225" s="11"/>
      <c r="R225" s="11"/>
    </row>
    <row r="226" spans="1:18">
      <c r="A226" s="10">
        <f ca="1">IFERROR(__xludf.dummyfunction("""COMPUTED_VALUE"""),35)</f>
        <v>35</v>
      </c>
      <c r="B226" s="11" t="str">
        <f ca="1">IFERROR(__xludf.dummyfunction("""COMPUTED_VALUE"""),"ISABELA FRANCO BROTAS")</f>
        <v>ISABELA FRANCO BROTAS</v>
      </c>
      <c r="C226" s="11"/>
      <c r="D226" s="11" t="str">
        <f ca="1">IFERROR(__xludf.dummyfunction("""COMPUTED_VALUE"""),"70600560171")</f>
        <v>70600560171</v>
      </c>
      <c r="E226" s="11" t="str">
        <f ca="1">IFERROR(__xludf.dummyfunction("""COMPUTED_VALUE"""),"FRANCOISABELAB@GMAIL.COM")</f>
        <v>FRANCOISABELAB@GMAIL.COM</v>
      </c>
      <c r="F226" s="11" t="str">
        <f ca="1">IFERROR(__xludf.dummyfunction("""COMPUTED_VALUE"""),"(62) 99626451")</f>
        <v>(62) 99626451</v>
      </c>
      <c r="G226" s="11" t="str">
        <f ca="1">IFERROR(__xludf.dummyfunction("""COMPUTED_VALUE"""),"(62) 999491468")</f>
        <v>(62) 999491468</v>
      </c>
      <c r="H226" s="11" t="str">
        <f ca="1">IFERROR(__xludf.dummyfunction("""COMPUTED_VALUE"""),"SUPERIOR")</f>
        <v>SUPERIOR</v>
      </c>
      <c r="I226" s="10" t="str">
        <f ca="1">IFERROR(__xludf.dummyfunction("""COMPUTED_VALUE"""),"DIREITO")</f>
        <v>DIREITO</v>
      </c>
      <c r="J226" s="10" t="str">
        <f ca="1">IFERROR(__xludf.dummyfunction("""COMPUTED_VALUE"""),"NOITE")</f>
        <v>NOITE</v>
      </c>
      <c r="K226" s="10" t="str">
        <f ca="1">IFERROR(__xludf.dummyfunction("""COMPUTED_VALUE"""),"TARDE")</f>
        <v>TARDE</v>
      </c>
      <c r="L226" s="10" t="str">
        <f ca="1">IFERROR(__xludf.dummyfunction("""COMPUTED_VALUE"""),"GOIÂNIA - GO")</f>
        <v>GOIÂNIA - GO</v>
      </c>
      <c r="M226" s="10">
        <f ca="1">IFERROR(__xludf.dummyfunction("""COMPUTED_VALUE"""),5)</f>
        <v>5</v>
      </c>
      <c r="N226" s="10" t="str">
        <f ca="1">IFERROR(__xludf.dummyfunction("""COMPUTED_VALUE"""),"DISPONÍVEL")</f>
        <v>DISPONÍVEL</v>
      </c>
      <c r="O226" s="12"/>
      <c r="P226" s="11"/>
      <c r="Q226" s="11"/>
      <c r="R226" s="11"/>
    </row>
    <row r="227" spans="1:18">
      <c r="A227" s="10">
        <f ca="1">IFERROR(__xludf.dummyfunction("""COMPUTED_VALUE"""),36)</f>
        <v>36</v>
      </c>
      <c r="B227" s="11" t="str">
        <f ca="1">IFERROR(__xludf.dummyfunction("""COMPUTED_VALUE"""),"GABRIELA LOPES OLIVEIRA")</f>
        <v>GABRIELA LOPES OLIVEIRA</v>
      </c>
      <c r="C227" s="11"/>
      <c r="D227" s="11" t="str">
        <f ca="1">IFERROR(__xludf.dummyfunction("""COMPUTED_VALUE"""),"10063582937")</f>
        <v>10063582937</v>
      </c>
      <c r="E227" s="11" t="str">
        <f ca="1">IFERROR(__xludf.dummyfunction("""COMPUTED_VALUE"""),"GABI.LOPES10@HOTMAIL.COM")</f>
        <v>GABI.LOPES10@HOTMAIL.COM</v>
      </c>
      <c r="F227" s="11" t="str">
        <f ca="1">IFERROR(__xludf.dummyfunction("""COMPUTED_VALUE"""),"(62) 98199001")</f>
        <v>(62) 98199001</v>
      </c>
      <c r="G227" s="11" t="str">
        <f ca="1">IFERROR(__xludf.dummyfunction("""COMPUTED_VALUE"""),"(62) 981990014")</f>
        <v>(62) 981990014</v>
      </c>
      <c r="H227" s="11" t="str">
        <f ca="1">IFERROR(__xludf.dummyfunction("""COMPUTED_VALUE"""),"SUPERIOR")</f>
        <v>SUPERIOR</v>
      </c>
      <c r="I227" s="10" t="str">
        <f ca="1">IFERROR(__xludf.dummyfunction("""COMPUTED_VALUE"""),"DIREITO")</f>
        <v>DIREITO</v>
      </c>
      <c r="J227" s="10" t="str">
        <f ca="1">IFERROR(__xludf.dummyfunction("""COMPUTED_VALUE"""),"NOITE")</f>
        <v>NOITE</v>
      </c>
      <c r="K227" s="10" t="str">
        <f ca="1">IFERROR(__xludf.dummyfunction("""COMPUTED_VALUE"""),"TARDE")</f>
        <v>TARDE</v>
      </c>
      <c r="L227" s="10" t="str">
        <f ca="1">IFERROR(__xludf.dummyfunction("""COMPUTED_VALUE"""),"GOIÂNIA - GO")</f>
        <v>GOIÂNIA - GO</v>
      </c>
      <c r="M227" s="10">
        <f ca="1">IFERROR(__xludf.dummyfunction("""COMPUTED_VALUE"""),7)</f>
        <v>7</v>
      </c>
      <c r="N227" s="10" t="str">
        <f ca="1">IFERROR(__xludf.dummyfunction("""COMPUTED_VALUE"""),"DISPONÍVEL")</f>
        <v>DISPONÍVEL</v>
      </c>
      <c r="O227" s="12"/>
      <c r="P227" s="11"/>
      <c r="Q227" s="11"/>
      <c r="R227" s="11"/>
    </row>
    <row r="228" spans="1:18">
      <c r="A228" s="10">
        <f ca="1">IFERROR(__xludf.dummyfunction("""COMPUTED_VALUE"""),37)</f>
        <v>37</v>
      </c>
      <c r="B228" s="11" t="str">
        <f ca="1">IFERROR(__xludf.dummyfunction("""COMPUTED_VALUE"""),"AMANDA SILVA DE OLIVEIRA")</f>
        <v>AMANDA SILVA DE OLIVEIRA</v>
      </c>
      <c r="C228" s="11" t="str">
        <f ca="1">IFERROR(__xludf.dummyfunction("""COMPUTED_VALUE"""),"7334228")</f>
        <v>7334228</v>
      </c>
      <c r="D228" s="11" t="str">
        <f ca="1">IFERROR(__xludf.dummyfunction("""COMPUTED_VALUE"""),"71225130174")</f>
        <v>71225130174</v>
      </c>
      <c r="E228" s="11" t="str">
        <f ca="1">IFERROR(__xludf.dummyfunction("""COMPUTED_VALUE"""),"AMANDA.SILVA11133@GMAIL.COM")</f>
        <v>AMANDA.SILVA11133@GMAIL.COM</v>
      </c>
      <c r="F228" s="11"/>
      <c r="G228" s="11" t="str">
        <f ca="1">IFERROR(__xludf.dummyfunction("""COMPUTED_VALUE"""),"(62) 995037286")</f>
        <v>(62) 995037286</v>
      </c>
      <c r="H228" s="11" t="str">
        <f ca="1">IFERROR(__xludf.dummyfunction("""COMPUTED_VALUE"""),"SUPERIOR")</f>
        <v>SUPERIOR</v>
      </c>
      <c r="I228" s="10" t="str">
        <f ca="1">IFERROR(__xludf.dummyfunction("""COMPUTED_VALUE"""),"DIREITO")</f>
        <v>DIREITO</v>
      </c>
      <c r="J228" s="10" t="str">
        <f ca="1">IFERROR(__xludf.dummyfunction("""COMPUTED_VALUE"""),"VARIÁVEL")</f>
        <v>VARIÁVEL</v>
      </c>
      <c r="K228" s="10" t="str">
        <f ca="1">IFERROR(__xludf.dummyfunction("""COMPUTED_VALUE"""),"TARDE")</f>
        <v>TARDE</v>
      </c>
      <c r="L228" s="10" t="str">
        <f ca="1">IFERROR(__xludf.dummyfunction("""COMPUTED_VALUE"""),"GOIÂNIA - GO")</f>
        <v>GOIÂNIA - GO</v>
      </c>
      <c r="M228" s="10">
        <f ca="1">IFERROR(__xludf.dummyfunction("""COMPUTED_VALUE"""),6)</f>
        <v>6</v>
      </c>
      <c r="N228" s="10" t="str">
        <f ca="1">IFERROR(__xludf.dummyfunction("""COMPUTED_VALUE"""),"DISPONÍVEL")</f>
        <v>DISPONÍVEL</v>
      </c>
      <c r="O228" s="12"/>
      <c r="P228" s="11"/>
      <c r="Q228" s="11"/>
      <c r="R228" s="11"/>
    </row>
    <row r="229" spans="1:18">
      <c r="A229" s="10">
        <f ca="1">IFERROR(__xludf.dummyfunction("""COMPUTED_VALUE"""),38)</f>
        <v>38</v>
      </c>
      <c r="B229" s="11" t="str">
        <f ca="1">IFERROR(__xludf.dummyfunction("""COMPUTED_VALUE"""),"BARBARA CAROLINE BEZERRA DA SILVA")</f>
        <v>BARBARA CAROLINE BEZERRA DA SILVA</v>
      </c>
      <c r="C229" s="11"/>
      <c r="D229" s="11" t="str">
        <f ca="1">IFERROR(__xludf.dummyfunction("""COMPUTED_VALUE"""),"71168521157")</f>
        <v>71168521157</v>
      </c>
      <c r="E229" s="11" t="str">
        <f ca="1">IFERROR(__xludf.dummyfunction("""COMPUTED_VALUE"""),"CAROLINEBARBARACAROLINE@GMAIL.COM")</f>
        <v>CAROLINEBARBARACAROLINE@GMAIL.COM</v>
      </c>
      <c r="F229" s="11" t="str">
        <f ca="1">IFERROR(__xludf.dummyfunction("""COMPUTED_VALUE"""),"(62) 32087592")</f>
        <v>(62) 32087592</v>
      </c>
      <c r="G229" s="11" t="str">
        <f ca="1">IFERROR(__xludf.dummyfunction("""COMPUTED_VALUE"""),"(62) 981345735")</f>
        <v>(62) 981345735</v>
      </c>
      <c r="H229" s="11" t="str">
        <f ca="1">IFERROR(__xludf.dummyfunction("""COMPUTED_VALUE"""),"SUPERIOR")</f>
        <v>SUPERIOR</v>
      </c>
      <c r="I229" s="10" t="str">
        <f ca="1">IFERROR(__xludf.dummyfunction("""COMPUTED_VALUE"""),"DIREITO")</f>
        <v>DIREITO</v>
      </c>
      <c r="J229" s="10" t="str">
        <f ca="1">IFERROR(__xludf.dummyfunction("""COMPUTED_VALUE"""),"NOITE")</f>
        <v>NOITE</v>
      </c>
      <c r="K229" s="10" t="str">
        <f ca="1">IFERROR(__xludf.dummyfunction("""COMPUTED_VALUE"""),"TARDE")</f>
        <v>TARDE</v>
      </c>
      <c r="L229" s="10" t="str">
        <f ca="1">IFERROR(__xludf.dummyfunction("""COMPUTED_VALUE"""),"GOIÂNIA - GO")</f>
        <v>GOIÂNIA - GO</v>
      </c>
      <c r="M229" s="10">
        <f ca="1">IFERROR(__xludf.dummyfunction("""COMPUTED_VALUE"""),5)</f>
        <v>5</v>
      </c>
      <c r="N229" s="10" t="str">
        <f ca="1">IFERROR(__xludf.dummyfunction("""COMPUTED_VALUE"""),"DISPONÍVEL")</f>
        <v>DISPONÍVEL</v>
      </c>
      <c r="O229" s="12"/>
      <c r="P229" s="11"/>
      <c r="Q229" s="11"/>
      <c r="R229" s="11"/>
    </row>
    <row r="230" spans="1:18">
      <c r="A230" s="10">
        <f ca="1">IFERROR(__xludf.dummyfunction("""COMPUTED_VALUE"""),39)</f>
        <v>39</v>
      </c>
      <c r="B230" s="11" t="str">
        <f ca="1">IFERROR(__xludf.dummyfunction("""COMPUTED_VALUE"""),"GEOVANNA CANDIDO CARLOS")</f>
        <v>GEOVANNA CANDIDO CARLOS</v>
      </c>
      <c r="C230" s="11"/>
      <c r="D230" s="11" t="str">
        <f ca="1">IFERROR(__xludf.dummyfunction("""COMPUTED_VALUE"""),"06374713184")</f>
        <v>06374713184</v>
      </c>
      <c r="E230" s="11" t="str">
        <f ca="1">IFERROR(__xludf.dummyfunction("""COMPUTED_VALUE"""),"GEOVANNACANDIDO127@GMAIL.COM")</f>
        <v>GEOVANNACANDIDO127@GMAIL.COM</v>
      </c>
      <c r="F230" s="11" t="str">
        <f ca="1">IFERROR(__xludf.dummyfunction("""COMPUTED_VALUE"""),"(62) 32940592")</f>
        <v>(62) 32940592</v>
      </c>
      <c r="G230" s="11" t="str">
        <f ca="1">IFERROR(__xludf.dummyfunction("""COMPUTED_VALUE"""),"(62) 985511323")</f>
        <v>(62) 985511323</v>
      </c>
      <c r="H230" s="11" t="str">
        <f ca="1">IFERROR(__xludf.dummyfunction("""COMPUTED_VALUE"""),"SUPERIOR")</f>
        <v>SUPERIOR</v>
      </c>
      <c r="I230" s="10" t="str">
        <f ca="1">IFERROR(__xludf.dummyfunction("""COMPUTED_VALUE"""),"DIREITO")</f>
        <v>DIREITO</v>
      </c>
      <c r="J230" s="10" t="str">
        <f ca="1">IFERROR(__xludf.dummyfunction("""COMPUTED_VALUE"""),"NOITE")</f>
        <v>NOITE</v>
      </c>
      <c r="K230" s="10" t="str">
        <f ca="1">IFERROR(__xludf.dummyfunction("""COMPUTED_VALUE"""),"TARDE")</f>
        <v>TARDE</v>
      </c>
      <c r="L230" s="10" t="str">
        <f ca="1">IFERROR(__xludf.dummyfunction("""COMPUTED_VALUE"""),"GOIÂNIA - GO")</f>
        <v>GOIÂNIA - GO</v>
      </c>
      <c r="M230" s="10">
        <f ca="1">IFERROR(__xludf.dummyfunction("""COMPUTED_VALUE"""),6)</f>
        <v>6</v>
      </c>
      <c r="N230" s="10" t="str">
        <f ca="1">IFERROR(__xludf.dummyfunction("""COMPUTED_VALUE"""),"DISPONÍVEL")</f>
        <v>DISPONÍVEL</v>
      </c>
      <c r="O230" s="12"/>
      <c r="P230" s="11"/>
      <c r="Q230" s="11"/>
      <c r="R230" s="11"/>
    </row>
    <row r="231" spans="1:18">
      <c r="A231" s="10">
        <f ca="1">IFERROR(__xludf.dummyfunction("""COMPUTED_VALUE"""),40)</f>
        <v>40</v>
      </c>
      <c r="B231" s="11" t="str">
        <f ca="1">IFERROR(__xludf.dummyfunction("""COMPUTED_VALUE"""),"MAIKON DOUGLAS CARVALHO OLIVEIRA")</f>
        <v>MAIKON DOUGLAS CARVALHO OLIVEIRA</v>
      </c>
      <c r="C231" s="11" t="str">
        <f ca="1">IFERROR(__xludf.dummyfunction("""COMPUTED_VALUE"""),"5324997")</f>
        <v>5324997</v>
      </c>
      <c r="D231" s="11" t="str">
        <f ca="1">IFERROR(__xludf.dummyfunction("""COMPUTED_VALUE"""),"03053537133")</f>
        <v>03053537133</v>
      </c>
      <c r="E231" s="11" t="str">
        <f ca="1">IFERROR(__xludf.dummyfunction("""COMPUTED_VALUE"""),"MAIKON12OLIVEIRA@GMAIL.COM")</f>
        <v>MAIKON12OLIVEIRA@GMAIL.COM</v>
      </c>
      <c r="F231" s="11"/>
      <c r="G231" s="11" t="str">
        <f ca="1">IFERROR(__xludf.dummyfunction("""COMPUTED_VALUE"""),"(62) 994873400")</f>
        <v>(62) 994873400</v>
      </c>
      <c r="H231" s="11" t="str">
        <f ca="1">IFERROR(__xludf.dummyfunction("""COMPUTED_VALUE"""),"SUPERIOR")</f>
        <v>SUPERIOR</v>
      </c>
      <c r="I231" s="10" t="str">
        <f ca="1">IFERROR(__xludf.dummyfunction("""COMPUTED_VALUE"""),"DIREITO")</f>
        <v>DIREITO</v>
      </c>
      <c r="J231" s="10" t="str">
        <f ca="1">IFERROR(__xludf.dummyfunction("""COMPUTED_VALUE"""),"MANHÃ")</f>
        <v>MANHÃ</v>
      </c>
      <c r="K231" s="10" t="str">
        <f ca="1">IFERROR(__xludf.dummyfunction("""COMPUTED_VALUE"""),"TARDE")</f>
        <v>TARDE</v>
      </c>
      <c r="L231" s="10" t="str">
        <f ca="1">IFERROR(__xludf.dummyfunction("""COMPUTED_VALUE"""),"GOIÂNIA - GO")</f>
        <v>GOIÂNIA - GO</v>
      </c>
      <c r="M231" s="10">
        <f ca="1">IFERROR(__xludf.dummyfunction("""COMPUTED_VALUE"""),8)</f>
        <v>8</v>
      </c>
      <c r="N231" s="10" t="str">
        <f ca="1">IFERROR(__xludf.dummyfunction("""COMPUTED_VALUE"""),"DISPONÍVEL")</f>
        <v>DISPONÍVEL</v>
      </c>
      <c r="O231" s="12"/>
      <c r="P231" s="11"/>
      <c r="Q231" s="11"/>
      <c r="R231" s="11"/>
    </row>
    <row r="232" spans="1:18">
      <c r="A232" s="10">
        <f ca="1">IFERROR(__xludf.dummyfunction("""COMPUTED_VALUE"""),41)</f>
        <v>41</v>
      </c>
      <c r="B232" s="11" t="str">
        <f ca="1">IFERROR(__xludf.dummyfunction("""COMPUTED_VALUE"""),"ARTHUR SIQUEIRA SOUSA LEÃO")</f>
        <v>ARTHUR SIQUEIRA SOUSA LEÃO</v>
      </c>
      <c r="C232" s="11" t="str">
        <f ca="1">IFERROR(__xludf.dummyfunction("""COMPUTED_VALUE"""),"6899401")</f>
        <v>6899401</v>
      </c>
      <c r="D232" s="11" t="str">
        <f ca="1">IFERROR(__xludf.dummyfunction("""COMPUTED_VALUE"""),"70943932106")</f>
        <v>70943932106</v>
      </c>
      <c r="E232" s="11" t="str">
        <f ca="1">IFERROR(__xludf.dummyfunction("""COMPUTED_VALUE"""),"ARTHURSIQUEIRA1414@HOTMAIL.COM")</f>
        <v>ARTHURSIQUEIRA1414@HOTMAIL.COM</v>
      </c>
      <c r="F232" s="11" t="str">
        <f ca="1">IFERROR(__xludf.dummyfunction("""COMPUTED_VALUE"""),"(62) 82502957")</f>
        <v>(62) 82502957</v>
      </c>
      <c r="G232" s="11" t="str">
        <f ca="1">IFERROR(__xludf.dummyfunction("""COMPUTED_VALUE"""),"(62) 984016502")</f>
        <v>(62) 984016502</v>
      </c>
      <c r="H232" s="11" t="str">
        <f ca="1">IFERROR(__xludf.dummyfunction("""COMPUTED_VALUE"""),"SUPERIOR")</f>
        <v>SUPERIOR</v>
      </c>
      <c r="I232" s="10" t="str">
        <f ca="1">IFERROR(__xludf.dummyfunction("""COMPUTED_VALUE"""),"DIREITO")</f>
        <v>DIREITO</v>
      </c>
      <c r="J232" s="10" t="str">
        <f ca="1">IFERROR(__xludf.dummyfunction("""COMPUTED_VALUE"""),"NOITE")</f>
        <v>NOITE</v>
      </c>
      <c r="K232" s="10" t="str">
        <f ca="1">IFERROR(__xludf.dummyfunction("""COMPUTED_VALUE"""),"TARDE")</f>
        <v>TARDE</v>
      </c>
      <c r="L232" s="10" t="str">
        <f ca="1">IFERROR(__xludf.dummyfunction("""COMPUTED_VALUE"""),"GOIÂNIA - GO")</f>
        <v>GOIÂNIA - GO</v>
      </c>
      <c r="M232" s="10">
        <f ca="1">IFERROR(__xludf.dummyfunction("""COMPUTED_VALUE"""),8)</f>
        <v>8</v>
      </c>
      <c r="N232" s="10" t="str">
        <f ca="1">IFERROR(__xludf.dummyfunction("""COMPUTED_VALUE"""),"DISPONÍVEL")</f>
        <v>DISPONÍVEL</v>
      </c>
      <c r="O232" s="12"/>
      <c r="P232" s="11"/>
      <c r="Q232" s="11"/>
      <c r="R232" s="11"/>
    </row>
    <row r="233" spans="1:18">
      <c r="A233" s="10">
        <f ca="1">IFERROR(__xludf.dummyfunction("""COMPUTED_VALUE"""),42)</f>
        <v>42</v>
      </c>
      <c r="B233" s="11" t="str">
        <f ca="1">IFERROR(__xludf.dummyfunction("""COMPUTED_VALUE"""),"CLECIA AMÉLIA DE REZENDE")</f>
        <v>CLECIA AMÉLIA DE REZENDE</v>
      </c>
      <c r="C233" s="11"/>
      <c r="D233" s="11" t="str">
        <f ca="1">IFERROR(__xludf.dummyfunction("""COMPUTED_VALUE"""),"79815820168")</f>
        <v>79815820168</v>
      </c>
      <c r="E233" s="11" t="str">
        <f ca="1">IFERROR(__xludf.dummyfunction("""COMPUTED_VALUE"""),"CLECIA.REZENDE06@GMAIL.COM")</f>
        <v>CLECIA.REZENDE06@GMAIL.COM</v>
      </c>
      <c r="F233" s="11"/>
      <c r="G233" s="11" t="str">
        <f ca="1">IFERROR(__xludf.dummyfunction("""COMPUTED_VALUE"""),"(62) 999698300")</f>
        <v>(62) 999698300</v>
      </c>
      <c r="H233" s="11" t="str">
        <f ca="1">IFERROR(__xludf.dummyfunction("""COMPUTED_VALUE"""),"SUPERIOR")</f>
        <v>SUPERIOR</v>
      </c>
      <c r="I233" s="10" t="str">
        <f ca="1">IFERROR(__xludf.dummyfunction("""COMPUTED_VALUE"""),"DIREITO")</f>
        <v>DIREITO</v>
      </c>
      <c r="J233" s="10" t="str">
        <f ca="1">IFERROR(__xludf.dummyfunction("""COMPUTED_VALUE"""),"MANHÃ")</f>
        <v>MANHÃ</v>
      </c>
      <c r="K233" s="10" t="str">
        <f ca="1">IFERROR(__xludf.dummyfunction("""COMPUTED_VALUE"""),"TARDE")</f>
        <v>TARDE</v>
      </c>
      <c r="L233" s="10" t="str">
        <f ca="1">IFERROR(__xludf.dummyfunction("""COMPUTED_VALUE"""),"GOIÂNIA - GO")</f>
        <v>GOIÂNIA - GO</v>
      </c>
      <c r="M233" s="10">
        <f ca="1">IFERROR(__xludf.dummyfunction("""COMPUTED_VALUE"""),8)</f>
        <v>8</v>
      </c>
      <c r="N233" s="10" t="str">
        <f ca="1">IFERROR(__xludf.dummyfunction("""COMPUTED_VALUE"""),"DISPONÍVEL")</f>
        <v>DISPONÍVEL</v>
      </c>
      <c r="O233" s="12"/>
      <c r="P233" s="11"/>
      <c r="Q233" s="11"/>
      <c r="R233" s="11"/>
    </row>
    <row r="234" spans="1:18">
      <c r="A234" s="10">
        <f ca="1">IFERROR(__xludf.dummyfunction("""COMPUTED_VALUE"""),43)</f>
        <v>43</v>
      </c>
      <c r="B234" s="11" t="str">
        <f ca="1">IFERROR(__xludf.dummyfunction("""COMPUTED_VALUE"""),"EDUARDO BENTO FERNANDES")</f>
        <v>EDUARDO BENTO FERNANDES</v>
      </c>
      <c r="C234" s="11"/>
      <c r="D234" s="11" t="str">
        <f ca="1">IFERROR(__xludf.dummyfunction("""COMPUTED_VALUE"""),"70797840184")</f>
        <v>70797840184</v>
      </c>
      <c r="E234" s="11" t="str">
        <f ca="1">IFERROR(__xludf.dummyfunction("""COMPUTED_VALUE"""),"BENTOEDUARDO54@GMAIL.COM")</f>
        <v>BENTOEDUARDO54@GMAIL.COM</v>
      </c>
      <c r="F234" s="11" t="str">
        <f ca="1">IFERROR(__xludf.dummyfunction("""COMPUTED_VALUE"""),"(62) 34401503")</f>
        <v>(62) 34401503</v>
      </c>
      <c r="G234" s="11" t="str">
        <f ca="1">IFERROR(__xludf.dummyfunction("""COMPUTED_VALUE"""),"(62) 994401503")</f>
        <v>(62) 994401503</v>
      </c>
      <c r="H234" s="11" t="str">
        <f ca="1">IFERROR(__xludf.dummyfunction("""COMPUTED_VALUE"""),"SUPERIOR")</f>
        <v>SUPERIOR</v>
      </c>
      <c r="I234" s="10" t="str">
        <f ca="1">IFERROR(__xludf.dummyfunction("""COMPUTED_VALUE"""),"DIREITO")</f>
        <v>DIREITO</v>
      </c>
      <c r="J234" s="10" t="str">
        <f ca="1">IFERROR(__xludf.dummyfunction("""COMPUTED_VALUE"""),"NOITE")</f>
        <v>NOITE</v>
      </c>
      <c r="K234" s="10" t="str">
        <f ca="1">IFERROR(__xludf.dummyfunction("""COMPUTED_VALUE"""),"TARDE")</f>
        <v>TARDE</v>
      </c>
      <c r="L234" s="10" t="str">
        <f ca="1">IFERROR(__xludf.dummyfunction("""COMPUTED_VALUE"""),"GOIÂNIA - GO")</f>
        <v>GOIÂNIA - GO</v>
      </c>
      <c r="M234" s="10">
        <f ca="1">IFERROR(__xludf.dummyfunction("""COMPUTED_VALUE"""),5)</f>
        <v>5</v>
      </c>
      <c r="N234" s="10" t="str">
        <f ca="1">IFERROR(__xludf.dummyfunction("""COMPUTED_VALUE"""),"DISPONÍVEL")</f>
        <v>DISPONÍVEL</v>
      </c>
      <c r="O234" s="12"/>
      <c r="P234" s="11"/>
      <c r="Q234" s="11"/>
      <c r="R234" s="11"/>
    </row>
    <row r="235" spans="1:18">
      <c r="A235" s="10">
        <f ca="1">IFERROR(__xludf.dummyfunction("""COMPUTED_VALUE"""),44)</f>
        <v>44</v>
      </c>
      <c r="B235" s="11" t="str">
        <f ca="1">IFERROR(__xludf.dummyfunction("""COMPUTED_VALUE"""),"KAIO GIOVANI RIBEIRO GONÇALVES")</f>
        <v>KAIO GIOVANI RIBEIRO GONÇALVES</v>
      </c>
      <c r="C235" s="11"/>
      <c r="D235" s="11" t="str">
        <f ca="1">IFERROR(__xludf.dummyfunction("""COMPUTED_VALUE"""),"70154484164")</f>
        <v>70154484164</v>
      </c>
      <c r="E235" s="11" t="str">
        <f ca="1">IFERROR(__xludf.dummyfunction("""COMPUTED_VALUE"""),"KAIOGIOVANI19@GMAIL.COM")</f>
        <v>KAIOGIOVANI19@GMAIL.COM</v>
      </c>
      <c r="F235" s="11" t="str">
        <f ca="1">IFERROR(__xludf.dummyfunction("""COMPUTED_VALUE"""),"(62) 92344101")</f>
        <v>(62) 92344101</v>
      </c>
      <c r="G235" s="11" t="str">
        <f ca="1">IFERROR(__xludf.dummyfunction("""COMPUTED_VALUE"""),"(62) 992344101")</f>
        <v>(62) 992344101</v>
      </c>
      <c r="H235" s="11" t="str">
        <f ca="1">IFERROR(__xludf.dummyfunction("""COMPUTED_VALUE"""),"SUPERIOR")</f>
        <v>SUPERIOR</v>
      </c>
      <c r="I235" s="10" t="str">
        <f ca="1">IFERROR(__xludf.dummyfunction("""COMPUTED_VALUE"""),"DIREITO")</f>
        <v>DIREITO</v>
      </c>
      <c r="J235" s="10" t="str">
        <f ca="1">IFERROR(__xludf.dummyfunction("""COMPUTED_VALUE"""),"MANHÃ")</f>
        <v>MANHÃ</v>
      </c>
      <c r="K235" s="10" t="str">
        <f ca="1">IFERROR(__xludf.dummyfunction("""COMPUTED_VALUE"""),"TARDE")</f>
        <v>TARDE</v>
      </c>
      <c r="L235" s="10" t="str">
        <f ca="1">IFERROR(__xludf.dummyfunction("""COMPUTED_VALUE"""),"GOIÂNIA - GO")</f>
        <v>GOIÂNIA - GO</v>
      </c>
      <c r="M235" s="10">
        <f ca="1">IFERROR(__xludf.dummyfunction("""COMPUTED_VALUE"""),6)</f>
        <v>6</v>
      </c>
      <c r="N235" s="10" t="str">
        <f ca="1">IFERROR(__xludf.dummyfunction("""COMPUTED_VALUE"""),"DISPONÍVEL")</f>
        <v>DISPONÍVEL</v>
      </c>
      <c r="O235" s="12"/>
      <c r="P235" s="11"/>
      <c r="Q235" s="11"/>
      <c r="R235" s="11"/>
    </row>
    <row r="236" spans="1:18">
      <c r="A236" s="10">
        <f ca="1">IFERROR(__xludf.dummyfunction("""COMPUTED_VALUE"""),45)</f>
        <v>45</v>
      </c>
      <c r="B236" s="11" t="str">
        <f ca="1">IFERROR(__xludf.dummyfunction("""COMPUTED_VALUE"""),"BRUNA MESQUITA MAIA")</f>
        <v>BRUNA MESQUITA MAIA</v>
      </c>
      <c r="C236" s="11"/>
      <c r="D236" s="11" t="str">
        <f ca="1">IFERROR(__xludf.dummyfunction("""COMPUTED_VALUE"""),"70355880270")</f>
        <v>70355880270</v>
      </c>
      <c r="E236" s="11" t="str">
        <f ca="1">IFERROR(__xludf.dummyfunction("""COMPUTED_VALUE"""),"BRUNAMAIAQT@GMAIL.COM")</f>
        <v>BRUNAMAIAQT@GMAIL.COM</v>
      </c>
      <c r="F236" s="11"/>
      <c r="G236" s="11" t="str">
        <f ca="1">IFERROR(__xludf.dummyfunction("""COMPUTED_VALUE"""),"(62) 981924029")</f>
        <v>(62) 981924029</v>
      </c>
      <c r="H236" s="11" t="str">
        <f ca="1">IFERROR(__xludf.dummyfunction("""COMPUTED_VALUE"""),"SUPERIOR")</f>
        <v>SUPERIOR</v>
      </c>
      <c r="I236" s="10" t="str">
        <f ca="1">IFERROR(__xludf.dummyfunction("""COMPUTED_VALUE"""),"DIREITO")</f>
        <v>DIREITO</v>
      </c>
      <c r="J236" s="10" t="str">
        <f ca="1">IFERROR(__xludf.dummyfunction("""COMPUTED_VALUE"""),"MANHÃ")</f>
        <v>MANHÃ</v>
      </c>
      <c r="K236" s="10" t="str">
        <f ca="1">IFERROR(__xludf.dummyfunction("""COMPUTED_VALUE"""),"TARDE")</f>
        <v>TARDE</v>
      </c>
      <c r="L236" s="10" t="str">
        <f ca="1">IFERROR(__xludf.dummyfunction("""COMPUTED_VALUE"""),"GOIÂNIA - GO")</f>
        <v>GOIÂNIA - GO</v>
      </c>
      <c r="M236" s="10">
        <f ca="1">IFERROR(__xludf.dummyfunction("""COMPUTED_VALUE"""),6)</f>
        <v>6</v>
      </c>
      <c r="N236" s="10" t="str">
        <f ca="1">IFERROR(__xludf.dummyfunction("""COMPUTED_VALUE"""),"DISPONÍVEL")</f>
        <v>DISPONÍVEL</v>
      </c>
      <c r="O236" s="12"/>
      <c r="P236" s="11"/>
      <c r="Q236" s="11"/>
      <c r="R236" s="11"/>
    </row>
    <row r="237" spans="1:18">
      <c r="A237" s="10">
        <f ca="1">IFERROR(__xludf.dummyfunction("""COMPUTED_VALUE"""),46)</f>
        <v>46</v>
      </c>
      <c r="B237" s="11" t="str">
        <f ca="1">IFERROR(__xludf.dummyfunction("""COMPUTED_VALUE"""),"BRUNO TIBO FROTA")</f>
        <v>BRUNO TIBO FROTA</v>
      </c>
      <c r="C237" s="11" t="str">
        <f ca="1">IFERROR(__xludf.dummyfunction("""COMPUTED_VALUE"""),"5710100")</f>
        <v>5710100</v>
      </c>
      <c r="D237" s="11" t="str">
        <f ca="1">IFERROR(__xludf.dummyfunction("""COMPUTED_VALUE"""),"03646995157")</f>
        <v>03646995157</v>
      </c>
      <c r="E237" s="11" t="str">
        <f ca="1">IFERROR(__xludf.dummyfunction("""COMPUTED_VALUE"""),"TIBOFROTA@GMAIL.COM")</f>
        <v>TIBOFROTA@GMAIL.COM</v>
      </c>
      <c r="F237" s="11" t="str">
        <f ca="1">IFERROR(__xludf.dummyfunction("""COMPUTED_VALUE"""),"(62) 99145824")</f>
        <v>(62) 99145824</v>
      </c>
      <c r="G237" s="11" t="str">
        <f ca="1">IFERROR(__xludf.dummyfunction("""COMPUTED_VALUE"""),"(62) 991458241")</f>
        <v>(62) 991458241</v>
      </c>
      <c r="H237" s="11" t="str">
        <f ca="1">IFERROR(__xludf.dummyfunction("""COMPUTED_VALUE"""),"SUPERIOR")</f>
        <v>SUPERIOR</v>
      </c>
      <c r="I237" s="10" t="str">
        <f ca="1">IFERROR(__xludf.dummyfunction("""COMPUTED_VALUE"""),"DIREITO")</f>
        <v>DIREITO</v>
      </c>
      <c r="J237" s="10" t="str">
        <f ca="1">IFERROR(__xludf.dummyfunction("""COMPUTED_VALUE"""),"MANHÃ")</f>
        <v>MANHÃ</v>
      </c>
      <c r="K237" s="10" t="str">
        <f ca="1">IFERROR(__xludf.dummyfunction("""COMPUTED_VALUE"""),"TARDE")</f>
        <v>TARDE</v>
      </c>
      <c r="L237" s="10" t="str">
        <f ca="1">IFERROR(__xludf.dummyfunction("""COMPUTED_VALUE"""),"GOIÂNIA - GO")</f>
        <v>GOIÂNIA - GO</v>
      </c>
      <c r="M237" s="10">
        <f ca="1">IFERROR(__xludf.dummyfunction("""COMPUTED_VALUE"""),6)</f>
        <v>6</v>
      </c>
      <c r="N237" s="10" t="str">
        <f ca="1">IFERROR(__xludf.dummyfunction("""COMPUTED_VALUE"""),"DISPONÍVEL")</f>
        <v>DISPONÍVEL</v>
      </c>
      <c r="O237" s="12"/>
      <c r="P237" s="11"/>
      <c r="Q237" s="11"/>
      <c r="R237" s="11"/>
    </row>
    <row r="238" spans="1:18">
      <c r="A238" s="10">
        <f ca="1">IFERROR(__xludf.dummyfunction("""COMPUTED_VALUE"""),47)</f>
        <v>47</v>
      </c>
      <c r="B238" s="11" t="str">
        <f ca="1">IFERROR(__xludf.dummyfunction("""COMPUTED_VALUE"""),"JEANNE FAGUNDES GOMES DE MAGALHAES")</f>
        <v>JEANNE FAGUNDES GOMES DE MAGALHAES</v>
      </c>
      <c r="C238" s="11" t="str">
        <f ca="1">IFERROR(__xludf.dummyfunction("""COMPUTED_VALUE"""),"6807083")</f>
        <v>6807083</v>
      </c>
      <c r="D238" s="11" t="str">
        <f ca="1">IFERROR(__xludf.dummyfunction("""COMPUTED_VALUE"""),"03547359180")</f>
        <v>03547359180</v>
      </c>
      <c r="E238" s="11" t="str">
        <f ca="1">IFERROR(__xludf.dummyfunction("""COMPUTED_VALUE"""),"JEANNEFAGUNDES50@GMAIL.COM")</f>
        <v>JEANNEFAGUNDES50@GMAIL.COM</v>
      </c>
      <c r="F238" s="11" t="str">
        <f ca="1">IFERROR(__xludf.dummyfunction("""COMPUTED_VALUE"""),"(62) 99991120")</f>
        <v>(62) 99991120</v>
      </c>
      <c r="G238" s="11" t="str">
        <f ca="1">IFERROR(__xludf.dummyfunction("""COMPUTED_VALUE"""),"(62) 999911205")</f>
        <v>(62) 999911205</v>
      </c>
      <c r="H238" s="11" t="str">
        <f ca="1">IFERROR(__xludf.dummyfunction("""COMPUTED_VALUE"""),"SUPERIOR")</f>
        <v>SUPERIOR</v>
      </c>
      <c r="I238" s="10" t="str">
        <f ca="1">IFERROR(__xludf.dummyfunction("""COMPUTED_VALUE"""),"DIREITO")</f>
        <v>DIREITO</v>
      </c>
      <c r="J238" s="10" t="str">
        <f ca="1">IFERROR(__xludf.dummyfunction("""COMPUTED_VALUE"""),"MANHÃ")</f>
        <v>MANHÃ</v>
      </c>
      <c r="K238" s="10" t="str">
        <f ca="1">IFERROR(__xludf.dummyfunction("""COMPUTED_VALUE"""),"TARDE")</f>
        <v>TARDE</v>
      </c>
      <c r="L238" s="10" t="str">
        <f ca="1">IFERROR(__xludf.dummyfunction("""COMPUTED_VALUE"""),"GOIÂNIA - GO")</f>
        <v>GOIÂNIA - GO</v>
      </c>
      <c r="M238" s="10">
        <f ca="1">IFERROR(__xludf.dummyfunction("""COMPUTED_VALUE"""),8)</f>
        <v>8</v>
      </c>
      <c r="N238" s="10" t="str">
        <f ca="1">IFERROR(__xludf.dummyfunction("""COMPUTED_VALUE"""),"DISPONÍVEL")</f>
        <v>DISPONÍVEL</v>
      </c>
      <c r="O238" s="12"/>
      <c r="P238" s="11"/>
      <c r="Q238" s="11"/>
      <c r="R238" s="11"/>
    </row>
    <row r="239" spans="1:18">
      <c r="A239" s="10">
        <f ca="1">IFERROR(__xludf.dummyfunction("""COMPUTED_VALUE"""),48)</f>
        <v>48</v>
      </c>
      <c r="B239" s="11" t="str">
        <f ca="1">IFERROR(__xludf.dummyfunction("""COMPUTED_VALUE"""),"MARIA CLARA TORRES PEREIRA")</f>
        <v>MARIA CLARA TORRES PEREIRA</v>
      </c>
      <c r="C239" s="11" t="str">
        <f ca="1">IFERROR(__xludf.dummyfunction("""COMPUTED_VALUE"""),"6732310")</f>
        <v>6732310</v>
      </c>
      <c r="D239" s="11" t="str">
        <f ca="1">IFERROR(__xludf.dummyfunction("""COMPUTED_VALUE"""),"03992360156")</f>
        <v>03992360156</v>
      </c>
      <c r="E239" s="11" t="str">
        <f ca="1">IFERROR(__xludf.dummyfunction("""COMPUTED_VALUE"""),"MCLARA2806@GMAIL.COM")</f>
        <v>MCLARA2806@GMAIL.COM</v>
      </c>
      <c r="F239" s="11"/>
      <c r="G239" s="11" t="str">
        <f ca="1">IFERROR(__xludf.dummyfunction("""COMPUTED_VALUE"""),"(62) 985601452")</f>
        <v>(62) 985601452</v>
      </c>
      <c r="H239" s="11" t="str">
        <f ca="1">IFERROR(__xludf.dummyfunction("""COMPUTED_VALUE"""),"SUPERIOR")</f>
        <v>SUPERIOR</v>
      </c>
      <c r="I239" s="10" t="str">
        <f ca="1">IFERROR(__xludf.dummyfunction("""COMPUTED_VALUE"""),"DIREITO")</f>
        <v>DIREITO</v>
      </c>
      <c r="J239" s="10" t="str">
        <f ca="1">IFERROR(__xludf.dummyfunction("""COMPUTED_VALUE"""),"MANHÃ")</f>
        <v>MANHÃ</v>
      </c>
      <c r="K239" s="10" t="str">
        <f ca="1">IFERROR(__xludf.dummyfunction("""COMPUTED_VALUE"""),"TARDE")</f>
        <v>TARDE</v>
      </c>
      <c r="L239" s="10" t="str">
        <f ca="1">IFERROR(__xludf.dummyfunction("""COMPUTED_VALUE"""),"GOIÂNIA - GO")</f>
        <v>GOIÂNIA - GO</v>
      </c>
      <c r="M239" s="10">
        <f ca="1">IFERROR(__xludf.dummyfunction("""COMPUTED_VALUE"""),5)</f>
        <v>5</v>
      </c>
      <c r="N239" s="10" t="str">
        <f ca="1">IFERROR(__xludf.dummyfunction("""COMPUTED_VALUE"""),"DISPONÍVEL")</f>
        <v>DISPONÍVEL</v>
      </c>
      <c r="O239" s="12"/>
      <c r="P239" s="11"/>
      <c r="Q239" s="11"/>
      <c r="R239" s="11"/>
    </row>
    <row r="240" spans="1:18">
      <c r="A240" s="10">
        <f ca="1">IFERROR(__xludf.dummyfunction("""COMPUTED_VALUE"""),49)</f>
        <v>49</v>
      </c>
      <c r="B240" s="11" t="str">
        <f ca="1">IFERROR(__xludf.dummyfunction("""COMPUTED_VALUE"""),"RAFAELA BATISTA MOTA")</f>
        <v>RAFAELA BATISTA MOTA</v>
      </c>
      <c r="C240" s="11"/>
      <c r="D240" s="11" t="str">
        <f ca="1">IFERROR(__xludf.dummyfunction("""COMPUTED_VALUE"""),"03189359105")</f>
        <v>03189359105</v>
      </c>
      <c r="E240" s="11" t="str">
        <f ca="1">IFERROR(__xludf.dummyfunction("""COMPUTED_VALUE"""),"RAFABMOTA@HOTMAIL.COM")</f>
        <v>RAFABMOTA@HOTMAIL.COM</v>
      </c>
      <c r="F240" s="11" t="str">
        <f ca="1">IFERROR(__xludf.dummyfunction("""COMPUTED_VALUE"""),"(62) 32717375")</f>
        <v>(62) 32717375</v>
      </c>
      <c r="G240" s="11" t="str">
        <f ca="1">IFERROR(__xludf.dummyfunction("""COMPUTED_VALUE"""),"(62) 998072039")</f>
        <v>(62) 998072039</v>
      </c>
      <c r="H240" s="11" t="str">
        <f ca="1">IFERROR(__xludf.dummyfunction("""COMPUTED_VALUE"""),"SUPERIOR")</f>
        <v>SUPERIOR</v>
      </c>
      <c r="I240" s="10" t="str">
        <f ca="1">IFERROR(__xludf.dummyfunction("""COMPUTED_VALUE"""),"DIREITO")</f>
        <v>DIREITO</v>
      </c>
      <c r="J240" s="10" t="str">
        <f ca="1">IFERROR(__xludf.dummyfunction("""COMPUTED_VALUE"""),"TARDE")</f>
        <v>TARDE</v>
      </c>
      <c r="K240" s="10" t="str">
        <f ca="1">IFERROR(__xludf.dummyfunction("""COMPUTED_VALUE"""),"TARDE")</f>
        <v>TARDE</v>
      </c>
      <c r="L240" s="10" t="str">
        <f ca="1">IFERROR(__xludf.dummyfunction("""COMPUTED_VALUE"""),"GOIÂNIA - GO")</f>
        <v>GOIÂNIA - GO</v>
      </c>
      <c r="M240" s="10">
        <f ca="1">IFERROR(__xludf.dummyfunction("""COMPUTED_VALUE"""),5)</f>
        <v>5</v>
      </c>
      <c r="N240" s="10" t="str">
        <f ca="1">IFERROR(__xludf.dummyfunction("""COMPUTED_VALUE"""),"DISPONÍVEL")</f>
        <v>DISPONÍVEL</v>
      </c>
      <c r="O240" s="12"/>
      <c r="P240" s="11"/>
      <c r="Q240" s="11"/>
      <c r="R240" s="11"/>
    </row>
    <row r="241" spans="1:18">
      <c r="A241" s="10">
        <f ca="1">IFERROR(__xludf.dummyfunction("""COMPUTED_VALUE"""),50)</f>
        <v>50</v>
      </c>
      <c r="B241" s="11" t="str">
        <f ca="1">IFERROR(__xludf.dummyfunction("""COMPUTED_VALUE"""),"ISABELLA MARTINS TEIXEIRA")</f>
        <v>ISABELLA MARTINS TEIXEIRA</v>
      </c>
      <c r="C241" s="11" t="str">
        <f ca="1">IFERROR(__xludf.dummyfunction("""COMPUTED_VALUE"""),"6930784")</f>
        <v>6930784</v>
      </c>
      <c r="D241" s="11" t="str">
        <f ca="1">IFERROR(__xludf.dummyfunction("""COMPUTED_VALUE"""),"70334077184")</f>
        <v>70334077184</v>
      </c>
      <c r="E241" s="11" t="str">
        <f ca="1">IFERROR(__xludf.dummyfunction("""COMPUTED_VALUE"""),"ISABELLAMARTINSTEIXEIRA@GMAIL.COM")</f>
        <v>ISABELLAMARTINSTEIXEIRA@GMAIL.COM</v>
      </c>
      <c r="F241" s="11" t="str">
        <f ca="1">IFERROR(__xludf.dummyfunction("""COMPUTED_VALUE"""),"(62) 32956352")</f>
        <v>(62) 32956352</v>
      </c>
      <c r="G241" s="11" t="str">
        <f ca="1">IFERROR(__xludf.dummyfunction("""COMPUTED_VALUE"""),"(62) 996143806")</f>
        <v>(62) 996143806</v>
      </c>
      <c r="H241" s="11" t="str">
        <f ca="1">IFERROR(__xludf.dummyfunction("""COMPUTED_VALUE"""),"SUPERIOR")</f>
        <v>SUPERIOR</v>
      </c>
      <c r="I241" s="10" t="str">
        <f ca="1">IFERROR(__xludf.dummyfunction("""COMPUTED_VALUE"""),"DIREITO")</f>
        <v>DIREITO</v>
      </c>
      <c r="J241" s="10" t="str">
        <f ca="1">IFERROR(__xludf.dummyfunction("""COMPUTED_VALUE"""),"TARDE")</f>
        <v>TARDE</v>
      </c>
      <c r="K241" s="10" t="str">
        <f ca="1">IFERROR(__xludf.dummyfunction("""COMPUTED_VALUE"""),"TARDE")</f>
        <v>TARDE</v>
      </c>
      <c r="L241" s="10" t="str">
        <f ca="1">IFERROR(__xludf.dummyfunction("""COMPUTED_VALUE"""),"GOIÂNIA - GO")</f>
        <v>GOIÂNIA - GO</v>
      </c>
      <c r="M241" s="10">
        <f ca="1">IFERROR(__xludf.dummyfunction("""COMPUTED_VALUE"""),8)</f>
        <v>8</v>
      </c>
      <c r="N241" s="10" t="str">
        <f ca="1">IFERROR(__xludf.dummyfunction("""COMPUTED_VALUE"""),"DISPONÍVEL")</f>
        <v>DISPONÍVEL</v>
      </c>
      <c r="O241" s="12"/>
      <c r="P241" s="11"/>
      <c r="Q241" s="11"/>
      <c r="R241" s="11"/>
    </row>
    <row r="242" spans="1:18">
      <c r="A242" s="10">
        <f ca="1">IFERROR(__xludf.dummyfunction("""COMPUTED_VALUE"""),51)</f>
        <v>51</v>
      </c>
      <c r="B242" s="11" t="str">
        <f ca="1">IFERROR(__xludf.dummyfunction("""COMPUTED_VALUE"""),"DEBORAH ARAUJO DE ANDRADE")</f>
        <v>DEBORAH ARAUJO DE ANDRADE</v>
      </c>
      <c r="C242" s="11" t="str">
        <f ca="1">IFERROR(__xludf.dummyfunction("""COMPUTED_VALUE"""),"5943821")</f>
        <v>5943821</v>
      </c>
      <c r="D242" s="11" t="str">
        <f ca="1">IFERROR(__xludf.dummyfunction("""COMPUTED_VALUE"""),"70072208198")</f>
        <v>70072208198</v>
      </c>
      <c r="E242" s="11" t="str">
        <f ca="1">IFERROR(__xludf.dummyfunction("""COMPUTED_VALUE"""),"DEBORAHDEHDE@HOTMAIL.COM")</f>
        <v>DEBORAHDEHDE@HOTMAIL.COM</v>
      </c>
      <c r="F242" s="11" t="str">
        <f ca="1">IFERROR(__xludf.dummyfunction("""COMPUTED_VALUE"""),"(62) 94027010")</f>
        <v>(62) 94027010</v>
      </c>
      <c r="G242" s="11" t="str">
        <f ca="1">IFERROR(__xludf.dummyfunction("""COMPUTED_VALUE"""),"(62) 993944248")</f>
        <v>(62) 993944248</v>
      </c>
      <c r="H242" s="11" t="str">
        <f ca="1">IFERROR(__xludf.dummyfunction("""COMPUTED_VALUE"""),"SUPERIOR")</f>
        <v>SUPERIOR</v>
      </c>
      <c r="I242" s="10" t="str">
        <f ca="1">IFERROR(__xludf.dummyfunction("""COMPUTED_VALUE"""),"DIREITO")</f>
        <v>DIREITO</v>
      </c>
      <c r="J242" s="10" t="str">
        <f ca="1">IFERROR(__xludf.dummyfunction("""COMPUTED_VALUE"""),"NOITE")</f>
        <v>NOITE</v>
      </c>
      <c r="K242" s="10" t="str">
        <f ca="1">IFERROR(__xludf.dummyfunction("""COMPUTED_VALUE"""),"TARDE")</f>
        <v>TARDE</v>
      </c>
      <c r="L242" s="10" t="str">
        <f ca="1">IFERROR(__xludf.dummyfunction("""COMPUTED_VALUE"""),"GOIÂNIA - GO")</f>
        <v>GOIÂNIA - GO</v>
      </c>
      <c r="M242" s="10">
        <f ca="1">IFERROR(__xludf.dummyfunction("""COMPUTED_VALUE"""),8)</f>
        <v>8</v>
      </c>
      <c r="N242" s="10" t="str">
        <f ca="1">IFERROR(__xludf.dummyfunction("""COMPUTED_VALUE"""),"DISPONÍVEL")</f>
        <v>DISPONÍVEL</v>
      </c>
      <c r="O242" s="12"/>
      <c r="P242" s="11"/>
      <c r="Q242" s="11"/>
      <c r="R242" s="11"/>
    </row>
    <row r="243" spans="1:18">
      <c r="A243" s="10">
        <f ca="1">IFERROR(__xludf.dummyfunction("""COMPUTED_VALUE"""),52)</f>
        <v>52</v>
      </c>
      <c r="B243" s="11" t="str">
        <f ca="1">IFERROR(__xludf.dummyfunction("""COMPUTED_VALUE"""),"LÍVIA XAVIER CARMO")</f>
        <v>LÍVIA XAVIER CARMO</v>
      </c>
      <c r="C243" s="11" t="str">
        <f ca="1">IFERROR(__xludf.dummyfunction("""COMPUTED_VALUE"""),"6912726")</f>
        <v>6912726</v>
      </c>
      <c r="D243" s="11" t="str">
        <f ca="1">IFERROR(__xludf.dummyfunction("""COMPUTED_VALUE"""),"02783897164")</f>
        <v>02783897164</v>
      </c>
      <c r="E243" s="11" t="str">
        <f ca="1">IFERROR(__xludf.dummyfunction("""COMPUTED_VALUE"""),"LIVIAXAVIERCARMO99@HOTMAIL.COM")</f>
        <v>LIVIAXAVIERCARMO99@HOTMAIL.COM</v>
      </c>
      <c r="F243" s="11"/>
      <c r="G243" s="11" t="str">
        <f ca="1">IFERROR(__xludf.dummyfunction("""COMPUTED_VALUE"""),"(62) 994414573")</f>
        <v>(62) 994414573</v>
      </c>
      <c r="H243" s="11" t="str">
        <f ca="1">IFERROR(__xludf.dummyfunction("""COMPUTED_VALUE"""),"SUPERIOR")</f>
        <v>SUPERIOR</v>
      </c>
      <c r="I243" s="10" t="str">
        <f ca="1">IFERROR(__xludf.dummyfunction("""COMPUTED_VALUE"""),"DIREITO")</f>
        <v>DIREITO</v>
      </c>
      <c r="J243" s="10" t="str">
        <f ca="1">IFERROR(__xludf.dummyfunction("""COMPUTED_VALUE"""),"NOITE")</f>
        <v>NOITE</v>
      </c>
      <c r="K243" s="10" t="str">
        <f ca="1">IFERROR(__xludf.dummyfunction("""COMPUTED_VALUE"""),"TARDE")</f>
        <v>TARDE</v>
      </c>
      <c r="L243" s="10" t="str">
        <f ca="1">IFERROR(__xludf.dummyfunction("""COMPUTED_VALUE"""),"GOIÂNIA - GO")</f>
        <v>GOIÂNIA - GO</v>
      </c>
      <c r="M243" s="10">
        <f ca="1">IFERROR(__xludf.dummyfunction("""COMPUTED_VALUE"""),5)</f>
        <v>5</v>
      </c>
      <c r="N243" s="10" t="str">
        <f ca="1">IFERROR(__xludf.dummyfunction("""COMPUTED_VALUE"""),"DISPONÍVEL")</f>
        <v>DISPONÍVEL</v>
      </c>
      <c r="O243" s="12"/>
      <c r="P243" s="11"/>
      <c r="Q243" s="11"/>
      <c r="R243" s="11"/>
    </row>
    <row r="244" spans="1:18">
      <c r="A244" s="10">
        <f ca="1">IFERROR(__xludf.dummyfunction("""COMPUTED_VALUE"""),53)</f>
        <v>53</v>
      </c>
      <c r="B244" s="11" t="str">
        <f ca="1">IFERROR(__xludf.dummyfunction("""COMPUTED_VALUE"""),"GIOVANNA MARIA DOS REIS RAMOS")</f>
        <v>GIOVANNA MARIA DOS REIS RAMOS</v>
      </c>
      <c r="C244" s="11"/>
      <c r="D244" s="11" t="str">
        <f ca="1">IFERROR(__xludf.dummyfunction("""COMPUTED_VALUE"""),"33148087801")</f>
        <v>33148087801</v>
      </c>
      <c r="E244" s="11" t="str">
        <f ca="1">IFERROR(__xludf.dummyfunction("""COMPUTED_VALUE"""),"GIOVANNAMARIA.RAMOS@YAHOO.COM.BR")</f>
        <v>GIOVANNAMARIA.RAMOS@YAHOO.COM.BR</v>
      </c>
      <c r="F244" s="11"/>
      <c r="G244" s="11" t="str">
        <f ca="1">IFERROR(__xludf.dummyfunction("""COMPUTED_VALUE"""),"(12) 982389156")</f>
        <v>(12) 982389156</v>
      </c>
      <c r="H244" s="11" t="str">
        <f ca="1">IFERROR(__xludf.dummyfunction("""COMPUTED_VALUE"""),"SUPERIOR")</f>
        <v>SUPERIOR</v>
      </c>
      <c r="I244" s="10" t="str">
        <f ca="1">IFERROR(__xludf.dummyfunction("""COMPUTED_VALUE"""),"DIREITO")</f>
        <v>DIREITO</v>
      </c>
      <c r="J244" s="10" t="str">
        <f ca="1">IFERROR(__xludf.dummyfunction("""COMPUTED_VALUE"""),"MANHÃ")</f>
        <v>MANHÃ</v>
      </c>
      <c r="K244" s="10" t="str">
        <f ca="1">IFERROR(__xludf.dummyfunction("""COMPUTED_VALUE"""),"TARDE")</f>
        <v>TARDE</v>
      </c>
      <c r="L244" s="10" t="str">
        <f ca="1">IFERROR(__xludf.dummyfunction("""COMPUTED_VALUE"""),"GOIÂNIA - GO")</f>
        <v>GOIÂNIA - GO</v>
      </c>
      <c r="M244" s="10">
        <f ca="1">IFERROR(__xludf.dummyfunction("""COMPUTED_VALUE"""),5)</f>
        <v>5</v>
      </c>
      <c r="N244" s="10" t="str">
        <f ca="1">IFERROR(__xludf.dummyfunction("""COMPUTED_VALUE"""),"DISPONÍVEL")</f>
        <v>DISPONÍVEL</v>
      </c>
      <c r="O244" s="12"/>
      <c r="P244" s="11"/>
      <c r="Q244" s="11"/>
      <c r="R244" s="11"/>
    </row>
    <row r="245" spans="1:18">
      <c r="A245" s="10">
        <f ca="1">IFERROR(__xludf.dummyfunction("""COMPUTED_VALUE"""),54)</f>
        <v>54</v>
      </c>
      <c r="B245" s="11" t="str">
        <f ca="1">IFERROR(__xludf.dummyfunction("""COMPUTED_VALUE"""),"MATHEWS ESMAEL SILVA")</f>
        <v>MATHEWS ESMAEL SILVA</v>
      </c>
      <c r="C245" s="11"/>
      <c r="D245" s="11" t="str">
        <f ca="1">IFERROR(__xludf.dummyfunction("""COMPUTED_VALUE"""),"70324612125")</f>
        <v>70324612125</v>
      </c>
      <c r="E245" s="11" t="str">
        <f ca="1">IFERROR(__xludf.dummyfunction("""COMPUTED_VALUE"""),"MATHEWSMATHEWSESMAEL@GMAIL.COM")</f>
        <v>MATHEWSMATHEWSESMAEL@GMAIL.COM</v>
      </c>
      <c r="F245" s="11"/>
      <c r="G245" s="11" t="str">
        <f ca="1">IFERROR(__xludf.dummyfunction("""COMPUTED_VALUE"""),"(62) 996016396")</f>
        <v>(62) 996016396</v>
      </c>
      <c r="H245" s="11" t="str">
        <f ca="1">IFERROR(__xludf.dummyfunction("""COMPUTED_VALUE"""),"SUPERIOR")</f>
        <v>SUPERIOR</v>
      </c>
      <c r="I245" s="10" t="str">
        <f ca="1">IFERROR(__xludf.dummyfunction("""COMPUTED_VALUE"""),"DIREITO")</f>
        <v>DIREITO</v>
      </c>
      <c r="J245" s="10" t="str">
        <f ca="1">IFERROR(__xludf.dummyfunction("""COMPUTED_VALUE"""),"MANHÃ")</f>
        <v>MANHÃ</v>
      </c>
      <c r="K245" s="10" t="str">
        <f ca="1">IFERROR(__xludf.dummyfunction("""COMPUTED_VALUE"""),"TARDE")</f>
        <v>TARDE</v>
      </c>
      <c r="L245" s="10" t="str">
        <f ca="1">IFERROR(__xludf.dummyfunction("""COMPUTED_VALUE"""),"GOIÂNIA - GO")</f>
        <v>GOIÂNIA - GO</v>
      </c>
      <c r="M245" s="10">
        <f ca="1">IFERROR(__xludf.dummyfunction("""COMPUTED_VALUE"""),6)</f>
        <v>6</v>
      </c>
      <c r="N245" s="10" t="str">
        <f ca="1">IFERROR(__xludf.dummyfunction("""COMPUTED_VALUE"""),"DISPONÍVEL")</f>
        <v>DISPONÍVEL</v>
      </c>
      <c r="O245" s="12"/>
      <c r="P245" s="11"/>
      <c r="Q245" s="11"/>
      <c r="R245" s="11"/>
    </row>
    <row r="246" spans="1:18">
      <c r="A246" s="10">
        <f ca="1">IFERROR(__xludf.dummyfunction("""COMPUTED_VALUE"""),55)</f>
        <v>55</v>
      </c>
      <c r="B246" s="11" t="str">
        <f ca="1">IFERROR(__xludf.dummyfunction("""COMPUTED_VALUE"""),"ANA CAROLINA CARVALHO SILVA")</f>
        <v>ANA CAROLINA CARVALHO SILVA</v>
      </c>
      <c r="C246" s="11" t="str">
        <f ca="1">IFERROR(__xludf.dummyfunction("""COMPUTED_VALUE"""),"6321630")</f>
        <v>6321630</v>
      </c>
      <c r="D246" s="11" t="str">
        <f ca="1">IFERROR(__xludf.dummyfunction("""COMPUTED_VALUE"""),"70393837130")</f>
        <v>70393837130</v>
      </c>
      <c r="E246" s="11" t="str">
        <f ca="1">IFERROR(__xludf.dummyfunction("""COMPUTED_VALUE"""),"CAROLBIM2@GMAIL.COM")</f>
        <v>CAROLBIM2@GMAIL.COM</v>
      </c>
      <c r="F246" s="11"/>
      <c r="G246" s="11" t="str">
        <f ca="1">IFERROR(__xludf.dummyfunction("""COMPUTED_VALUE"""),"(62) 995599221")</f>
        <v>(62) 995599221</v>
      </c>
      <c r="H246" s="11" t="str">
        <f ca="1">IFERROR(__xludf.dummyfunction("""COMPUTED_VALUE"""),"SUPERIOR")</f>
        <v>SUPERIOR</v>
      </c>
      <c r="I246" s="10" t="str">
        <f ca="1">IFERROR(__xludf.dummyfunction("""COMPUTED_VALUE"""),"DIREITO")</f>
        <v>DIREITO</v>
      </c>
      <c r="J246" s="10" t="str">
        <f ca="1">IFERROR(__xludf.dummyfunction("""COMPUTED_VALUE"""),"NOITE")</f>
        <v>NOITE</v>
      </c>
      <c r="K246" s="10" t="str">
        <f ca="1">IFERROR(__xludf.dummyfunction("""COMPUTED_VALUE"""),"TARDE")</f>
        <v>TARDE</v>
      </c>
      <c r="L246" s="10" t="str">
        <f ca="1">IFERROR(__xludf.dummyfunction("""COMPUTED_VALUE"""),"GOIÂNIA - GO")</f>
        <v>GOIÂNIA - GO</v>
      </c>
      <c r="M246" s="10">
        <f ca="1">IFERROR(__xludf.dummyfunction("""COMPUTED_VALUE"""),6)</f>
        <v>6</v>
      </c>
      <c r="N246" s="10" t="str">
        <f ca="1">IFERROR(__xludf.dummyfunction("""COMPUTED_VALUE"""),"DISPONÍVEL")</f>
        <v>DISPONÍVEL</v>
      </c>
      <c r="O246" s="12"/>
      <c r="P246" s="11"/>
      <c r="Q246" s="11"/>
      <c r="R246" s="11"/>
    </row>
    <row r="247" spans="1:18">
      <c r="A247" s="10">
        <f ca="1">IFERROR(__xludf.dummyfunction("""COMPUTED_VALUE"""),56)</f>
        <v>56</v>
      </c>
      <c r="B247" s="11" t="str">
        <f ca="1">IFERROR(__xludf.dummyfunction("""COMPUTED_VALUE"""),"DOUGLAS MACEDO CAMPOS")</f>
        <v>DOUGLAS MACEDO CAMPOS</v>
      </c>
      <c r="C247" s="11"/>
      <c r="D247" s="11" t="str">
        <f ca="1">IFERROR(__xludf.dummyfunction("""COMPUTED_VALUE"""),"05839883506")</f>
        <v>05839883506</v>
      </c>
      <c r="E247" s="11" t="str">
        <f ca="1">IFERROR(__xludf.dummyfunction("""COMPUTED_VALUE"""),"CAMPOSMACEDO19@GMAIL.COM")</f>
        <v>CAMPOSMACEDO19@GMAIL.COM</v>
      </c>
      <c r="F247" s="11"/>
      <c r="G247" s="11" t="str">
        <f ca="1">IFERROR(__xludf.dummyfunction("""COMPUTED_VALUE"""),"(62) 985312443")</f>
        <v>(62) 985312443</v>
      </c>
      <c r="H247" s="11" t="str">
        <f ca="1">IFERROR(__xludf.dummyfunction("""COMPUTED_VALUE"""),"SUPERIOR")</f>
        <v>SUPERIOR</v>
      </c>
      <c r="I247" s="10" t="str">
        <f ca="1">IFERROR(__xludf.dummyfunction("""COMPUTED_VALUE"""),"DIREITO")</f>
        <v>DIREITO</v>
      </c>
      <c r="J247" s="10" t="str">
        <f ca="1">IFERROR(__xludf.dummyfunction("""COMPUTED_VALUE"""),"MANHÃ")</f>
        <v>MANHÃ</v>
      </c>
      <c r="K247" s="10" t="str">
        <f ca="1">IFERROR(__xludf.dummyfunction("""COMPUTED_VALUE"""),"TARDE")</f>
        <v>TARDE</v>
      </c>
      <c r="L247" s="10" t="str">
        <f ca="1">IFERROR(__xludf.dummyfunction("""COMPUTED_VALUE"""),"GOIÂNIA - GO")</f>
        <v>GOIÂNIA - GO</v>
      </c>
      <c r="M247" s="10">
        <f ca="1">IFERROR(__xludf.dummyfunction("""COMPUTED_VALUE"""),5)</f>
        <v>5</v>
      </c>
      <c r="N247" s="10" t="str">
        <f ca="1">IFERROR(__xludf.dummyfunction("""COMPUTED_VALUE"""),"DISPONÍVEL")</f>
        <v>DISPONÍVEL</v>
      </c>
      <c r="O247" s="12"/>
      <c r="P247" s="11"/>
      <c r="Q247" s="11"/>
      <c r="R247" s="11"/>
    </row>
    <row r="248" spans="1:18">
      <c r="A248" s="10">
        <f ca="1">IFERROR(__xludf.dummyfunction("""COMPUTED_VALUE"""),57)</f>
        <v>57</v>
      </c>
      <c r="B248" s="11" t="str">
        <f ca="1">IFERROR(__xludf.dummyfunction("""COMPUTED_VALUE"""),"THAYNNA PEREIRA CAVECCHIA")</f>
        <v>THAYNNA PEREIRA CAVECCHIA</v>
      </c>
      <c r="C248" s="11"/>
      <c r="D248" s="11" t="str">
        <f ca="1">IFERROR(__xludf.dummyfunction("""COMPUTED_VALUE"""),"01867003694")</f>
        <v>01867003694</v>
      </c>
      <c r="E248" s="11" t="str">
        <f ca="1">IFERROR(__xludf.dummyfunction("""COMPUTED_VALUE"""),"THAYNNAPC@GMAIL.COM")</f>
        <v>THAYNNAPC@GMAIL.COM</v>
      </c>
      <c r="F248" s="11"/>
      <c r="G248" s="11" t="str">
        <f ca="1">IFERROR(__xludf.dummyfunction("""COMPUTED_VALUE"""),"(34) 999057901")</f>
        <v>(34) 999057901</v>
      </c>
      <c r="H248" s="11" t="str">
        <f ca="1">IFERROR(__xludf.dummyfunction("""COMPUTED_VALUE"""),"SUPERIOR")</f>
        <v>SUPERIOR</v>
      </c>
      <c r="I248" s="10" t="str">
        <f ca="1">IFERROR(__xludf.dummyfunction("""COMPUTED_VALUE"""),"DIREITO")</f>
        <v>DIREITO</v>
      </c>
      <c r="J248" s="10" t="str">
        <f ca="1">IFERROR(__xludf.dummyfunction("""COMPUTED_VALUE"""),"MANHÃ")</f>
        <v>MANHÃ</v>
      </c>
      <c r="K248" s="10" t="str">
        <f ca="1">IFERROR(__xludf.dummyfunction("""COMPUTED_VALUE"""),"TARDE")</f>
        <v>TARDE</v>
      </c>
      <c r="L248" s="10" t="str">
        <f ca="1">IFERROR(__xludf.dummyfunction("""COMPUTED_VALUE"""),"GOIÂNIA - GO")</f>
        <v>GOIÂNIA - GO</v>
      </c>
      <c r="M248" s="10">
        <f ca="1">IFERROR(__xludf.dummyfunction("""COMPUTED_VALUE"""),8)</f>
        <v>8</v>
      </c>
      <c r="N248" s="10" t="str">
        <f ca="1">IFERROR(__xludf.dummyfunction("""COMPUTED_VALUE"""),"DISPONÍVEL")</f>
        <v>DISPONÍVEL</v>
      </c>
      <c r="O248" s="12"/>
      <c r="P248" s="11"/>
      <c r="Q248" s="11"/>
      <c r="R248" s="11"/>
    </row>
    <row r="249" spans="1:18">
      <c r="A249" s="10">
        <f ca="1">IFERROR(__xludf.dummyfunction("""COMPUTED_VALUE"""),58)</f>
        <v>58</v>
      </c>
      <c r="B249" s="11" t="str">
        <f ca="1">IFERROR(__xludf.dummyfunction("""COMPUTED_VALUE"""),"NÁCZA CAMPOS TERRA")</f>
        <v>NÁCZA CAMPOS TERRA</v>
      </c>
      <c r="C249" s="11" t="str">
        <f ca="1">IFERROR(__xludf.dummyfunction("""COMPUTED_VALUE"""),"6517403")</f>
        <v>6517403</v>
      </c>
      <c r="D249" s="11" t="str">
        <f ca="1">IFERROR(__xludf.dummyfunction("""COMPUTED_VALUE"""),"06749169139")</f>
        <v>06749169139</v>
      </c>
      <c r="E249" s="11" t="str">
        <f ca="1">IFERROR(__xludf.dummyfunction("""COMPUTED_VALUE"""),"NACZACAMPOST@GMAIL.COM")</f>
        <v>NACZACAMPOST@GMAIL.COM</v>
      </c>
      <c r="F249" s="11"/>
      <c r="G249" s="11" t="str">
        <f ca="1">IFERROR(__xludf.dummyfunction("""COMPUTED_VALUE"""),"(62) 982691516")</f>
        <v>(62) 982691516</v>
      </c>
      <c r="H249" s="11" t="str">
        <f ca="1">IFERROR(__xludf.dummyfunction("""COMPUTED_VALUE"""),"SUPERIOR")</f>
        <v>SUPERIOR</v>
      </c>
      <c r="I249" s="10" t="str">
        <f ca="1">IFERROR(__xludf.dummyfunction("""COMPUTED_VALUE"""),"DIREITO")</f>
        <v>DIREITO</v>
      </c>
      <c r="J249" s="10" t="str">
        <f ca="1">IFERROR(__xludf.dummyfunction("""COMPUTED_VALUE"""),"MANHÃ")</f>
        <v>MANHÃ</v>
      </c>
      <c r="K249" s="10" t="str">
        <f ca="1">IFERROR(__xludf.dummyfunction("""COMPUTED_VALUE"""),"TARDE")</f>
        <v>TARDE</v>
      </c>
      <c r="L249" s="10" t="str">
        <f ca="1">IFERROR(__xludf.dummyfunction("""COMPUTED_VALUE"""),"GOIÂNIA - GO")</f>
        <v>GOIÂNIA - GO</v>
      </c>
      <c r="M249" s="10">
        <f ca="1">IFERROR(__xludf.dummyfunction("""COMPUTED_VALUE"""),6)</f>
        <v>6</v>
      </c>
      <c r="N249" s="10" t="str">
        <f ca="1">IFERROR(__xludf.dummyfunction("""COMPUTED_VALUE"""),"DISPONÍVEL")</f>
        <v>DISPONÍVEL</v>
      </c>
      <c r="O249" s="12"/>
      <c r="P249" s="11"/>
      <c r="Q249" s="11"/>
      <c r="R249" s="11"/>
    </row>
    <row r="250" spans="1:18">
      <c r="A250" s="10">
        <f ca="1">IFERROR(__xludf.dummyfunction("""COMPUTED_VALUE"""),59)</f>
        <v>59</v>
      </c>
      <c r="B250" s="11" t="str">
        <f ca="1">IFERROR(__xludf.dummyfunction("""COMPUTED_VALUE"""),"LUCAS NOGUEIRA DE SOUSA")</f>
        <v>LUCAS NOGUEIRA DE SOUSA</v>
      </c>
      <c r="C250" s="11"/>
      <c r="D250" s="11" t="str">
        <f ca="1">IFERROR(__xludf.dummyfunction("""COMPUTED_VALUE"""),"60903666332")</f>
        <v>60903666332</v>
      </c>
      <c r="E250" s="11" t="str">
        <f ca="1">IFERROR(__xludf.dummyfunction("""COMPUTED_VALUE"""),"LUCAQWE22@GMAIL.COM")</f>
        <v>LUCAQWE22@GMAIL.COM</v>
      </c>
      <c r="F250" s="11"/>
      <c r="G250" s="11" t="str">
        <f ca="1">IFERROR(__xludf.dummyfunction("""COMPUTED_VALUE"""),"(62) 985282366")</f>
        <v>(62) 985282366</v>
      </c>
      <c r="H250" s="11" t="str">
        <f ca="1">IFERROR(__xludf.dummyfunction("""COMPUTED_VALUE"""),"SUPERIOR")</f>
        <v>SUPERIOR</v>
      </c>
      <c r="I250" s="10" t="str">
        <f ca="1">IFERROR(__xludf.dummyfunction("""COMPUTED_VALUE"""),"DIREITO")</f>
        <v>DIREITO</v>
      </c>
      <c r="J250" s="10" t="str">
        <f ca="1">IFERROR(__xludf.dummyfunction("""COMPUTED_VALUE"""),"NOITE")</f>
        <v>NOITE</v>
      </c>
      <c r="K250" s="10" t="str">
        <f ca="1">IFERROR(__xludf.dummyfunction("""COMPUTED_VALUE"""),"TARDE")</f>
        <v>TARDE</v>
      </c>
      <c r="L250" s="10" t="str">
        <f ca="1">IFERROR(__xludf.dummyfunction("""COMPUTED_VALUE"""),"GOIÂNIA - GO")</f>
        <v>GOIÂNIA - GO</v>
      </c>
      <c r="M250" s="10">
        <f ca="1">IFERROR(__xludf.dummyfunction("""COMPUTED_VALUE"""),5)</f>
        <v>5</v>
      </c>
      <c r="N250" s="10" t="str">
        <f ca="1">IFERROR(__xludf.dummyfunction("""COMPUTED_VALUE"""),"DISPONÍVEL")</f>
        <v>DISPONÍVEL</v>
      </c>
      <c r="O250" s="12"/>
      <c r="P250" s="11"/>
      <c r="Q250" s="11"/>
      <c r="R250" s="11"/>
    </row>
    <row r="251" spans="1:18">
      <c r="A251" s="10">
        <f ca="1">IFERROR(__xludf.dummyfunction("""COMPUTED_VALUE"""),60)</f>
        <v>60</v>
      </c>
      <c r="B251" s="11" t="str">
        <f ca="1">IFERROR(__xludf.dummyfunction("""COMPUTED_VALUE"""),"BRENNO TAVARES RODRIGUES COSTA")</f>
        <v>BRENNO TAVARES RODRIGUES COSTA</v>
      </c>
      <c r="C251" s="11"/>
      <c r="D251" s="11" t="str">
        <f ca="1">IFERROR(__xludf.dummyfunction("""COMPUTED_VALUE"""),"70847129179")</f>
        <v>70847129179</v>
      </c>
      <c r="E251" s="11" t="str">
        <f ca="1">IFERROR(__xludf.dummyfunction("""COMPUTED_VALUE"""),"BR3NN0C475@GMAIL.COM")</f>
        <v>BR3NN0C475@GMAIL.COM</v>
      </c>
      <c r="F251" s="11"/>
      <c r="G251" s="11" t="str">
        <f ca="1">IFERROR(__xludf.dummyfunction("""COMPUTED_VALUE"""),"(62) 994079767")</f>
        <v>(62) 994079767</v>
      </c>
      <c r="H251" s="11" t="str">
        <f ca="1">IFERROR(__xludf.dummyfunction("""COMPUTED_VALUE"""),"SUPERIOR")</f>
        <v>SUPERIOR</v>
      </c>
      <c r="I251" s="10" t="str">
        <f ca="1">IFERROR(__xludf.dummyfunction("""COMPUTED_VALUE"""),"DIREITO")</f>
        <v>DIREITO</v>
      </c>
      <c r="J251" s="10" t="str">
        <f ca="1">IFERROR(__xludf.dummyfunction("""COMPUTED_VALUE"""),"MANHÃ")</f>
        <v>MANHÃ</v>
      </c>
      <c r="K251" s="10" t="str">
        <f ca="1">IFERROR(__xludf.dummyfunction("""COMPUTED_VALUE"""),"TARDE")</f>
        <v>TARDE</v>
      </c>
      <c r="L251" s="10" t="str">
        <f ca="1">IFERROR(__xludf.dummyfunction("""COMPUTED_VALUE"""),"GOIÂNIA - GO")</f>
        <v>GOIÂNIA - GO</v>
      </c>
      <c r="M251" s="10">
        <f ca="1">IFERROR(__xludf.dummyfunction("""COMPUTED_VALUE"""),5)</f>
        <v>5</v>
      </c>
      <c r="N251" s="10" t="str">
        <f ca="1">IFERROR(__xludf.dummyfunction("""COMPUTED_VALUE"""),"DISPONÍVEL")</f>
        <v>DISPONÍVEL</v>
      </c>
      <c r="O251" s="12"/>
      <c r="P251" s="11"/>
      <c r="Q251" s="11"/>
      <c r="R251" s="11"/>
    </row>
    <row r="252" spans="1:18">
      <c r="A252" s="10">
        <f ca="1">IFERROR(__xludf.dummyfunction("""COMPUTED_VALUE"""),61)</f>
        <v>61</v>
      </c>
      <c r="B252" s="11" t="str">
        <f ca="1">IFERROR(__xludf.dummyfunction("""COMPUTED_VALUE"""),"PEDRO HENRIQUE DE MOURA PAULA")</f>
        <v>PEDRO HENRIQUE DE MOURA PAULA</v>
      </c>
      <c r="C252" s="11" t="str">
        <f ca="1">IFERROR(__xludf.dummyfunction("""COMPUTED_VALUE"""),"06108120618")</f>
        <v>06108120618</v>
      </c>
      <c r="D252" s="11" t="str">
        <f ca="1">IFERROR(__xludf.dummyfunction("""COMPUTED_VALUE"""),"01493997157")</f>
        <v>01493997157</v>
      </c>
      <c r="E252" s="11" t="str">
        <f ca="1">IFERROR(__xludf.dummyfunction("""COMPUTED_VALUE"""),"PEDRODEPAULA094@GMAIL.COM")</f>
        <v>PEDRODEPAULA094@GMAIL.COM</v>
      </c>
      <c r="F252" s="11"/>
      <c r="G252" s="11" t="str">
        <f ca="1">IFERROR(__xludf.dummyfunction("""COMPUTED_VALUE"""),"(62) 991445122")</f>
        <v>(62) 991445122</v>
      </c>
      <c r="H252" s="11" t="str">
        <f ca="1">IFERROR(__xludf.dummyfunction("""COMPUTED_VALUE"""),"SUPERIOR")</f>
        <v>SUPERIOR</v>
      </c>
      <c r="I252" s="10" t="str">
        <f ca="1">IFERROR(__xludf.dummyfunction("""COMPUTED_VALUE"""),"DIREITO")</f>
        <v>DIREITO</v>
      </c>
      <c r="J252" s="10" t="str">
        <f ca="1">IFERROR(__xludf.dummyfunction("""COMPUTED_VALUE"""),"NOITE")</f>
        <v>NOITE</v>
      </c>
      <c r="K252" s="10" t="str">
        <f ca="1">IFERROR(__xludf.dummyfunction("""COMPUTED_VALUE"""),"TARDE")</f>
        <v>TARDE</v>
      </c>
      <c r="L252" s="10" t="str">
        <f ca="1">IFERROR(__xludf.dummyfunction("""COMPUTED_VALUE"""),"GOIÂNIA - GO")</f>
        <v>GOIÂNIA - GO</v>
      </c>
      <c r="M252" s="10">
        <f ca="1">IFERROR(__xludf.dummyfunction("""COMPUTED_VALUE"""),7)</f>
        <v>7</v>
      </c>
      <c r="N252" s="10" t="str">
        <f ca="1">IFERROR(__xludf.dummyfunction("""COMPUTED_VALUE"""),"DISPONÍVEL")</f>
        <v>DISPONÍVEL</v>
      </c>
      <c r="O252" s="12"/>
      <c r="P252" s="11"/>
      <c r="Q252" s="11"/>
      <c r="R252" s="11"/>
    </row>
    <row r="253" spans="1:18">
      <c r="A253" s="10">
        <f ca="1">IFERROR(__xludf.dummyfunction("""COMPUTED_VALUE"""),62)</f>
        <v>62</v>
      </c>
      <c r="B253" s="11" t="str">
        <f ca="1">IFERROR(__xludf.dummyfunction("""COMPUTED_VALUE"""),"LUIZ FERNANDO RIBEIRO MARTINS")</f>
        <v>LUIZ FERNANDO RIBEIRO MARTINS</v>
      </c>
      <c r="C253" s="11" t="str">
        <f ca="1">IFERROR(__xludf.dummyfunction("""COMPUTED_VALUE"""),"6489216")</f>
        <v>6489216</v>
      </c>
      <c r="D253" s="11" t="str">
        <f ca="1">IFERROR(__xludf.dummyfunction("""COMPUTED_VALUE"""),"70556655150")</f>
        <v>70556655150</v>
      </c>
      <c r="E253" s="11" t="str">
        <f ca="1">IFERROR(__xludf.dummyfunction("""COMPUTED_VALUE"""),"LUIZ200E2@GMAIL.COM")</f>
        <v>LUIZ200E2@GMAIL.COM</v>
      </c>
      <c r="F253" s="11" t="str">
        <f ca="1">IFERROR(__xludf.dummyfunction("""COMPUTED_VALUE"""),"(62) 00000000")</f>
        <v>(62) 00000000</v>
      </c>
      <c r="G253" s="11" t="str">
        <f ca="1">IFERROR(__xludf.dummyfunction("""COMPUTED_VALUE"""),"(62) 984659394")</f>
        <v>(62) 984659394</v>
      </c>
      <c r="H253" s="11" t="str">
        <f ca="1">IFERROR(__xludf.dummyfunction("""COMPUTED_VALUE"""),"SUPERIOR")</f>
        <v>SUPERIOR</v>
      </c>
      <c r="I253" s="10" t="str">
        <f ca="1">IFERROR(__xludf.dummyfunction("""COMPUTED_VALUE"""),"DIREITO")</f>
        <v>DIREITO</v>
      </c>
      <c r="J253" s="10" t="str">
        <f ca="1">IFERROR(__xludf.dummyfunction("""COMPUTED_VALUE"""),"NOITE")</f>
        <v>NOITE</v>
      </c>
      <c r="K253" s="10" t="str">
        <f ca="1">IFERROR(__xludf.dummyfunction("""COMPUTED_VALUE"""),"TARDE")</f>
        <v>TARDE</v>
      </c>
      <c r="L253" s="10" t="str">
        <f ca="1">IFERROR(__xludf.dummyfunction("""COMPUTED_VALUE"""),"GOIÂNIA - GO")</f>
        <v>GOIÂNIA - GO</v>
      </c>
      <c r="M253" s="10">
        <f ca="1">IFERROR(__xludf.dummyfunction("""COMPUTED_VALUE"""),8)</f>
        <v>8</v>
      </c>
      <c r="N253" s="10" t="str">
        <f ca="1">IFERROR(__xludf.dummyfunction("""COMPUTED_VALUE"""),"DISPONÍVEL")</f>
        <v>DISPONÍVEL</v>
      </c>
      <c r="O253" s="12"/>
      <c r="P253" s="11"/>
      <c r="Q253" s="11"/>
      <c r="R253" s="11"/>
    </row>
    <row r="254" spans="1:18">
      <c r="A254" s="10">
        <f ca="1">IFERROR(__xludf.dummyfunction("""COMPUTED_VALUE"""),63)</f>
        <v>63</v>
      </c>
      <c r="B254" s="11" t="str">
        <f ca="1">IFERROR(__xludf.dummyfunction("""COMPUTED_VALUE"""),"GELVANA VIEIRA DE ARAÚJO")</f>
        <v>GELVANA VIEIRA DE ARAÚJO</v>
      </c>
      <c r="C254" s="11"/>
      <c r="D254" s="11" t="str">
        <f ca="1">IFERROR(__xludf.dummyfunction("""COMPUTED_VALUE"""),"07387893136")</f>
        <v>07387893136</v>
      </c>
      <c r="E254" s="11" t="str">
        <f ca="1">IFERROR(__xludf.dummyfunction("""COMPUTED_VALUE"""),"GELVANAVIEIRA96@GMAIL.COM")</f>
        <v>GELVANAVIEIRA96@GMAIL.COM</v>
      </c>
      <c r="F254" s="11"/>
      <c r="G254" s="11" t="str">
        <f ca="1">IFERROR(__xludf.dummyfunction("""COMPUTED_VALUE"""),"(62) 999205277")</f>
        <v>(62) 999205277</v>
      </c>
      <c r="H254" s="11" t="str">
        <f ca="1">IFERROR(__xludf.dummyfunction("""COMPUTED_VALUE"""),"SUPERIOR")</f>
        <v>SUPERIOR</v>
      </c>
      <c r="I254" s="10" t="str">
        <f ca="1">IFERROR(__xludf.dummyfunction("""COMPUTED_VALUE"""),"DIREITO")</f>
        <v>DIREITO</v>
      </c>
      <c r="J254" s="10" t="str">
        <f ca="1">IFERROR(__xludf.dummyfunction("""COMPUTED_VALUE"""),"NOITE")</f>
        <v>NOITE</v>
      </c>
      <c r="K254" s="10" t="str">
        <f ca="1">IFERROR(__xludf.dummyfunction("""COMPUTED_VALUE"""),"TARDE")</f>
        <v>TARDE</v>
      </c>
      <c r="L254" s="10" t="str">
        <f ca="1">IFERROR(__xludf.dummyfunction("""COMPUTED_VALUE"""),"GOIÂNIA - GO")</f>
        <v>GOIÂNIA - GO</v>
      </c>
      <c r="M254" s="10">
        <f ca="1">IFERROR(__xludf.dummyfunction("""COMPUTED_VALUE"""),5)</f>
        <v>5</v>
      </c>
      <c r="N254" s="10" t="str">
        <f ca="1">IFERROR(__xludf.dummyfunction("""COMPUTED_VALUE"""),"DISPONÍVEL")</f>
        <v>DISPONÍVEL</v>
      </c>
      <c r="O254" s="12"/>
      <c r="P254" s="11"/>
      <c r="Q254" s="11"/>
      <c r="R254" s="11"/>
    </row>
    <row r="255" spans="1:18">
      <c r="A255" s="10">
        <f ca="1">IFERROR(__xludf.dummyfunction("""COMPUTED_VALUE"""),64)</f>
        <v>64</v>
      </c>
      <c r="B255" s="11" t="str">
        <f ca="1">IFERROR(__xludf.dummyfunction("""COMPUTED_VALUE"""),"ARTHUR HENRIQUE ALVES E SILVA")</f>
        <v>ARTHUR HENRIQUE ALVES E SILVA</v>
      </c>
      <c r="C255" s="11" t="str">
        <f ca="1">IFERROR(__xludf.dummyfunction("""COMPUTED_VALUE"""),"7651462")</f>
        <v>7651462</v>
      </c>
      <c r="D255" s="11" t="str">
        <f ca="1">IFERROR(__xludf.dummyfunction("""COMPUTED_VALUE"""),"06980551108")</f>
        <v>06980551108</v>
      </c>
      <c r="E255" s="11" t="str">
        <f ca="1">IFERROR(__xludf.dummyfunction("""COMPUTED_VALUE"""),"HENRIQUEE.AS.LIVE@GMAIL.COM")</f>
        <v>HENRIQUEE.AS.LIVE@GMAIL.COM</v>
      </c>
      <c r="F255" s="11"/>
      <c r="G255" s="11" t="str">
        <f ca="1">IFERROR(__xludf.dummyfunction("""COMPUTED_VALUE"""),"(62) 992050386")</f>
        <v>(62) 992050386</v>
      </c>
      <c r="H255" s="11" t="str">
        <f ca="1">IFERROR(__xludf.dummyfunction("""COMPUTED_VALUE"""),"SUPERIOR")</f>
        <v>SUPERIOR</v>
      </c>
      <c r="I255" s="10" t="str">
        <f ca="1">IFERROR(__xludf.dummyfunction("""COMPUTED_VALUE"""),"DIREITO")</f>
        <v>DIREITO</v>
      </c>
      <c r="J255" s="10" t="str">
        <f ca="1">IFERROR(__xludf.dummyfunction("""COMPUTED_VALUE"""),"MANHÃ")</f>
        <v>MANHÃ</v>
      </c>
      <c r="K255" s="10" t="str">
        <f ca="1">IFERROR(__xludf.dummyfunction("""COMPUTED_VALUE"""),"TARDE")</f>
        <v>TARDE</v>
      </c>
      <c r="L255" s="10" t="str">
        <f ca="1">IFERROR(__xludf.dummyfunction("""COMPUTED_VALUE"""),"GOIÂNIA - GO")</f>
        <v>GOIÂNIA - GO</v>
      </c>
      <c r="M255" s="10">
        <f ca="1">IFERROR(__xludf.dummyfunction("""COMPUTED_VALUE"""),8)</f>
        <v>8</v>
      </c>
      <c r="N255" s="10" t="str">
        <f ca="1">IFERROR(__xludf.dummyfunction("""COMPUTED_VALUE"""),"DISPONÍVEL")</f>
        <v>DISPONÍVEL</v>
      </c>
      <c r="O255" s="12"/>
      <c r="P255" s="11"/>
      <c r="Q255" s="11"/>
      <c r="R255" s="11"/>
    </row>
    <row r="256" spans="1:18">
      <c r="A256" s="10">
        <f ca="1">IFERROR(__xludf.dummyfunction("""COMPUTED_VALUE"""),65)</f>
        <v>65</v>
      </c>
      <c r="B256" s="11" t="str">
        <f ca="1">IFERROR(__xludf.dummyfunction("""COMPUTED_VALUE"""),"HELENA PRADO MOREIRA")</f>
        <v>HELENA PRADO MOREIRA</v>
      </c>
      <c r="C256" s="11"/>
      <c r="D256" s="11" t="str">
        <f ca="1">IFERROR(__xludf.dummyfunction("""COMPUTED_VALUE"""),"04630651152")</f>
        <v>04630651152</v>
      </c>
      <c r="E256" s="11" t="str">
        <f ca="1">IFERROR(__xludf.dummyfunction("""COMPUTED_VALUE"""),"PRADOMOREIRA.HELENA@GMAIL.COM")</f>
        <v>PRADOMOREIRA.HELENA@GMAIL.COM</v>
      </c>
      <c r="F256" s="11" t="str">
        <f ca="1">IFERROR(__xludf.dummyfunction("""COMPUTED_VALUE"""),"(62) 30890224")</f>
        <v>(62) 30890224</v>
      </c>
      <c r="G256" s="11" t="str">
        <f ca="1">IFERROR(__xludf.dummyfunction("""COMPUTED_VALUE"""),"(62) 983308367")</f>
        <v>(62) 983308367</v>
      </c>
      <c r="H256" s="11" t="str">
        <f ca="1">IFERROR(__xludf.dummyfunction("""COMPUTED_VALUE"""),"SUPERIOR")</f>
        <v>SUPERIOR</v>
      </c>
      <c r="I256" s="10" t="str">
        <f ca="1">IFERROR(__xludf.dummyfunction("""COMPUTED_VALUE"""),"DIREITO")</f>
        <v>DIREITO</v>
      </c>
      <c r="J256" s="10" t="str">
        <f ca="1">IFERROR(__xludf.dummyfunction("""COMPUTED_VALUE"""),"MANHÃ")</f>
        <v>MANHÃ</v>
      </c>
      <c r="K256" s="10" t="str">
        <f ca="1">IFERROR(__xludf.dummyfunction("""COMPUTED_VALUE"""),"TARDE")</f>
        <v>TARDE</v>
      </c>
      <c r="L256" s="10" t="str">
        <f ca="1">IFERROR(__xludf.dummyfunction("""COMPUTED_VALUE"""),"GOIÂNIA - GO")</f>
        <v>GOIÂNIA - GO</v>
      </c>
      <c r="M256" s="10">
        <f ca="1">IFERROR(__xludf.dummyfunction("""COMPUTED_VALUE"""),6)</f>
        <v>6</v>
      </c>
      <c r="N256" s="10" t="str">
        <f ca="1">IFERROR(__xludf.dummyfunction("""COMPUTED_VALUE"""),"DISPONÍVEL")</f>
        <v>DISPONÍVEL</v>
      </c>
      <c r="O256" s="12"/>
      <c r="P256" s="11"/>
      <c r="Q256" s="11"/>
      <c r="R256" s="11"/>
    </row>
    <row r="257" spans="1:18">
      <c r="A257" s="10">
        <f ca="1">IFERROR(__xludf.dummyfunction("""COMPUTED_VALUE"""),66)</f>
        <v>66</v>
      </c>
      <c r="B257" s="11" t="str">
        <f ca="1">IFERROR(__xludf.dummyfunction("""COMPUTED_VALUE"""),"LUCAS GUSTAVO VARGAS ALMEIDA")</f>
        <v>LUCAS GUSTAVO VARGAS ALMEIDA</v>
      </c>
      <c r="C257" s="11"/>
      <c r="D257" s="11" t="str">
        <f ca="1">IFERROR(__xludf.dummyfunction("""COMPUTED_VALUE"""),"05061752198")</f>
        <v>05061752198</v>
      </c>
      <c r="E257" s="11" t="str">
        <f ca="1">IFERROR(__xludf.dummyfunction("""COMPUTED_VALUE"""),"01LUCASGUSTAVO@GMAIL.COM")</f>
        <v>01LUCASGUSTAVO@GMAIL.COM</v>
      </c>
      <c r="F257" s="11"/>
      <c r="G257" s="11" t="str">
        <f ca="1">IFERROR(__xludf.dummyfunction("""COMPUTED_VALUE"""),"(62) 981708568")</f>
        <v>(62) 981708568</v>
      </c>
      <c r="H257" s="11" t="str">
        <f ca="1">IFERROR(__xludf.dummyfunction("""COMPUTED_VALUE"""),"SUPERIOR")</f>
        <v>SUPERIOR</v>
      </c>
      <c r="I257" s="10" t="str">
        <f ca="1">IFERROR(__xludf.dummyfunction("""COMPUTED_VALUE"""),"DIREITO")</f>
        <v>DIREITO</v>
      </c>
      <c r="J257" s="10" t="str">
        <f ca="1">IFERROR(__xludf.dummyfunction("""COMPUTED_VALUE"""),"MANHÃ")</f>
        <v>MANHÃ</v>
      </c>
      <c r="K257" s="10" t="str">
        <f ca="1">IFERROR(__xludf.dummyfunction("""COMPUTED_VALUE"""),"TARDE")</f>
        <v>TARDE</v>
      </c>
      <c r="L257" s="10" t="str">
        <f ca="1">IFERROR(__xludf.dummyfunction("""COMPUTED_VALUE"""),"GOIÂNIA - GO")</f>
        <v>GOIÂNIA - GO</v>
      </c>
      <c r="M257" s="10">
        <f ca="1">IFERROR(__xludf.dummyfunction("""COMPUTED_VALUE"""),5)</f>
        <v>5</v>
      </c>
      <c r="N257" s="10" t="str">
        <f ca="1">IFERROR(__xludf.dummyfunction("""COMPUTED_VALUE"""),"DISPONÍVEL")</f>
        <v>DISPONÍVEL</v>
      </c>
      <c r="O257" s="12"/>
      <c r="P257" s="11"/>
      <c r="Q257" s="11"/>
      <c r="R257" s="11"/>
    </row>
    <row r="258" spans="1:18">
      <c r="A258" s="10">
        <f ca="1">IFERROR(__xludf.dummyfunction("""COMPUTED_VALUE"""),67)</f>
        <v>67</v>
      </c>
      <c r="B258" s="11" t="str">
        <f ca="1">IFERROR(__xludf.dummyfunction("""COMPUTED_VALUE"""),"JÚLIA BORGES DA SILVA")</f>
        <v>JÚLIA BORGES DA SILVA</v>
      </c>
      <c r="C258" s="11"/>
      <c r="D258" s="11" t="str">
        <f ca="1">IFERROR(__xludf.dummyfunction("""COMPUTED_VALUE"""),"07548011105")</f>
        <v>07548011105</v>
      </c>
      <c r="E258" s="11" t="str">
        <f ca="1">IFERROR(__xludf.dummyfunction("""COMPUTED_VALUE"""),"BORGESJULIA490@GMAIL.COM")</f>
        <v>BORGESJULIA490@GMAIL.COM</v>
      </c>
      <c r="F258" s="11"/>
      <c r="G258" s="11" t="str">
        <f ca="1">IFERROR(__xludf.dummyfunction("""COMPUTED_VALUE"""),"(64) 993455651")</f>
        <v>(64) 993455651</v>
      </c>
      <c r="H258" s="11" t="str">
        <f ca="1">IFERROR(__xludf.dummyfunction("""COMPUTED_VALUE"""),"SUPERIOR")</f>
        <v>SUPERIOR</v>
      </c>
      <c r="I258" s="10" t="str">
        <f ca="1">IFERROR(__xludf.dummyfunction("""COMPUTED_VALUE"""),"DIREITO")</f>
        <v>DIREITO</v>
      </c>
      <c r="J258" s="10" t="str">
        <f ca="1">IFERROR(__xludf.dummyfunction("""COMPUTED_VALUE"""),"NOITE")</f>
        <v>NOITE</v>
      </c>
      <c r="K258" s="10" t="str">
        <f ca="1">IFERROR(__xludf.dummyfunction("""COMPUTED_VALUE"""),"TARDE")</f>
        <v>TARDE</v>
      </c>
      <c r="L258" s="10" t="str">
        <f ca="1">IFERROR(__xludf.dummyfunction("""COMPUTED_VALUE"""),"GOIÂNIA - GO")</f>
        <v>GOIÂNIA - GO</v>
      </c>
      <c r="M258" s="10">
        <f ca="1">IFERROR(__xludf.dummyfunction("""COMPUTED_VALUE"""),7)</f>
        <v>7</v>
      </c>
      <c r="N258" s="10" t="str">
        <f ca="1">IFERROR(__xludf.dummyfunction("""COMPUTED_VALUE"""),"DISPONÍVEL")</f>
        <v>DISPONÍVEL</v>
      </c>
      <c r="O258" s="12"/>
      <c r="P258" s="11"/>
      <c r="Q258" s="11"/>
      <c r="R258" s="11"/>
    </row>
    <row r="259" spans="1:18">
      <c r="A259" s="10">
        <f ca="1">IFERROR(__xludf.dummyfunction("""COMPUTED_VALUE"""),68)</f>
        <v>68</v>
      </c>
      <c r="B259" s="11" t="str">
        <f ca="1">IFERROR(__xludf.dummyfunction("""COMPUTED_VALUE"""),"ALESSANDRO COELHO ABREU LIMA")</f>
        <v>ALESSANDRO COELHO ABREU LIMA</v>
      </c>
      <c r="C259" s="11"/>
      <c r="D259" s="11" t="str">
        <f ca="1">IFERROR(__xludf.dummyfunction("""COMPUTED_VALUE"""),"05437643110")</f>
        <v>05437643110</v>
      </c>
      <c r="E259" s="11" t="str">
        <f ca="1">IFERROR(__xludf.dummyfunction("""COMPUTED_VALUE"""),"ALESSANDROCOELHOAL@GMAIL.COM")</f>
        <v>ALESSANDROCOELHOAL@GMAIL.COM</v>
      </c>
      <c r="F259" s="11"/>
      <c r="G259" s="11" t="str">
        <f ca="1">IFERROR(__xludf.dummyfunction("""COMPUTED_VALUE"""),"(62) 992617458")</f>
        <v>(62) 992617458</v>
      </c>
      <c r="H259" s="11" t="str">
        <f ca="1">IFERROR(__xludf.dummyfunction("""COMPUTED_VALUE"""),"SUPERIOR")</f>
        <v>SUPERIOR</v>
      </c>
      <c r="I259" s="10" t="str">
        <f ca="1">IFERROR(__xludf.dummyfunction("""COMPUTED_VALUE"""),"DIREITO")</f>
        <v>DIREITO</v>
      </c>
      <c r="J259" s="10" t="str">
        <f ca="1">IFERROR(__xludf.dummyfunction("""COMPUTED_VALUE"""),"MANHÃ")</f>
        <v>MANHÃ</v>
      </c>
      <c r="K259" s="10" t="str">
        <f ca="1">IFERROR(__xludf.dummyfunction("""COMPUTED_VALUE"""),"TARDE")</f>
        <v>TARDE</v>
      </c>
      <c r="L259" s="10" t="str">
        <f ca="1">IFERROR(__xludf.dummyfunction("""COMPUTED_VALUE"""),"GOIÂNIA - GO")</f>
        <v>GOIÂNIA - GO</v>
      </c>
      <c r="M259" s="10">
        <f ca="1">IFERROR(__xludf.dummyfunction("""COMPUTED_VALUE"""),9)</f>
        <v>9</v>
      </c>
      <c r="N259" s="10" t="str">
        <f ca="1">IFERROR(__xludf.dummyfunction("""COMPUTED_VALUE"""),"DISPONÍVEL")</f>
        <v>DISPONÍVEL</v>
      </c>
      <c r="O259" s="12"/>
      <c r="P259" s="11"/>
      <c r="Q259" s="11"/>
      <c r="R259" s="11"/>
    </row>
    <row r="260" spans="1:18">
      <c r="A260" s="10">
        <f ca="1">IFERROR(__xludf.dummyfunction("""COMPUTED_VALUE"""),69)</f>
        <v>69</v>
      </c>
      <c r="B260" s="11" t="str">
        <f ca="1">IFERROR(__xludf.dummyfunction("""COMPUTED_VALUE"""),"JULIA MORAES PEREIRA")</f>
        <v>JULIA MORAES PEREIRA</v>
      </c>
      <c r="C260" s="11"/>
      <c r="D260" s="11" t="str">
        <f ca="1">IFERROR(__xludf.dummyfunction("""COMPUTED_VALUE"""),"70087506173")</f>
        <v>70087506173</v>
      </c>
      <c r="E260" s="11" t="str">
        <f ca="1">IFERROR(__xludf.dummyfunction("""COMPUTED_VALUE"""),"JULIAMPP5@GMAIL.COM")</f>
        <v>JULIAMPP5@GMAIL.COM</v>
      </c>
      <c r="F260" s="11"/>
      <c r="G260" s="11" t="str">
        <f ca="1">IFERROR(__xludf.dummyfunction("""COMPUTED_VALUE"""),"(62) 999187353")</f>
        <v>(62) 999187353</v>
      </c>
      <c r="H260" s="11" t="str">
        <f ca="1">IFERROR(__xludf.dummyfunction("""COMPUTED_VALUE"""),"SUPERIOR")</f>
        <v>SUPERIOR</v>
      </c>
      <c r="I260" s="10" t="str">
        <f ca="1">IFERROR(__xludf.dummyfunction("""COMPUTED_VALUE"""),"DIREITO")</f>
        <v>DIREITO</v>
      </c>
      <c r="J260" s="10" t="str">
        <f ca="1">IFERROR(__xludf.dummyfunction("""COMPUTED_VALUE"""),"NOITE")</f>
        <v>NOITE</v>
      </c>
      <c r="K260" s="10" t="str">
        <f ca="1">IFERROR(__xludf.dummyfunction("""COMPUTED_VALUE"""),"TARDE")</f>
        <v>TARDE</v>
      </c>
      <c r="L260" s="10" t="str">
        <f ca="1">IFERROR(__xludf.dummyfunction("""COMPUTED_VALUE"""),"GOIÂNIA - GO")</f>
        <v>GOIÂNIA - GO</v>
      </c>
      <c r="M260" s="10">
        <f ca="1">IFERROR(__xludf.dummyfunction("""COMPUTED_VALUE"""),8)</f>
        <v>8</v>
      </c>
      <c r="N260" s="10" t="str">
        <f ca="1">IFERROR(__xludf.dummyfunction("""COMPUTED_VALUE"""),"DISPONÍVEL")</f>
        <v>DISPONÍVEL</v>
      </c>
      <c r="O260" s="12">
        <f ca="1">IFERROR(__xludf.dummyfunction("""COMPUTED_VALUE"""),45324)</f>
        <v>45324</v>
      </c>
      <c r="P260" s="11"/>
      <c r="Q260" s="11"/>
      <c r="R260" s="11"/>
    </row>
    <row r="261" spans="1:18">
      <c r="A261" s="10">
        <f ca="1">IFERROR(__xludf.dummyfunction("""COMPUTED_VALUE"""),70)</f>
        <v>70</v>
      </c>
      <c r="B261" s="11" t="str">
        <f ca="1">IFERROR(__xludf.dummyfunction("""COMPUTED_VALUE"""),"NATÁLIA BALDUINO DE FARIA")</f>
        <v>NATÁLIA BALDUINO DE FARIA</v>
      </c>
      <c r="C261" s="11" t="str">
        <f ca="1">IFERROR(__xludf.dummyfunction("""COMPUTED_VALUE"""),"6935003")</f>
        <v>6935003</v>
      </c>
      <c r="D261" s="11" t="str">
        <f ca="1">IFERROR(__xludf.dummyfunction("""COMPUTED_VALUE"""),"04530643107")</f>
        <v>04530643107</v>
      </c>
      <c r="E261" s="11" t="str">
        <f ca="1">IFERROR(__xludf.dummyfunction("""COMPUTED_VALUE"""),"NATALIABF05@HOTMAIL.COM")</f>
        <v>NATALIABF05@HOTMAIL.COM</v>
      </c>
      <c r="F261" s="11"/>
      <c r="G261" s="11" t="str">
        <f ca="1">IFERROR(__xludf.dummyfunction("""COMPUTED_VALUE"""),"(64) 984065542")</f>
        <v>(64) 984065542</v>
      </c>
      <c r="H261" s="11" t="str">
        <f ca="1">IFERROR(__xludf.dummyfunction("""COMPUTED_VALUE"""),"SUPERIOR")</f>
        <v>SUPERIOR</v>
      </c>
      <c r="I261" s="10" t="str">
        <f ca="1">IFERROR(__xludf.dummyfunction("""COMPUTED_VALUE"""),"DIREITO")</f>
        <v>DIREITO</v>
      </c>
      <c r="J261" s="10" t="str">
        <f ca="1">IFERROR(__xludf.dummyfunction("""COMPUTED_VALUE"""),"MANHÃ")</f>
        <v>MANHÃ</v>
      </c>
      <c r="K261" s="10" t="str">
        <f ca="1">IFERROR(__xludf.dummyfunction("""COMPUTED_VALUE"""),"TARDE")</f>
        <v>TARDE</v>
      </c>
      <c r="L261" s="10" t="str">
        <f ca="1">IFERROR(__xludf.dummyfunction("""COMPUTED_VALUE"""),"GOIÂNIA - GO")</f>
        <v>GOIÂNIA - GO</v>
      </c>
      <c r="M261" s="10">
        <f ca="1">IFERROR(__xludf.dummyfunction("""COMPUTED_VALUE"""),8)</f>
        <v>8</v>
      </c>
      <c r="N261" s="10" t="str">
        <f ca="1">IFERROR(__xludf.dummyfunction("""COMPUTED_VALUE"""),"DISPONÍVEL")</f>
        <v>DISPONÍVEL</v>
      </c>
      <c r="O261" s="12"/>
      <c r="P261" s="11"/>
      <c r="Q261" s="11"/>
      <c r="R261" s="11"/>
    </row>
    <row r="262" spans="1:18">
      <c r="A262" s="10">
        <f ca="1">IFERROR(__xludf.dummyfunction("""COMPUTED_VALUE"""),71)</f>
        <v>71</v>
      </c>
      <c r="B262" s="11" t="str">
        <f ca="1">IFERROR(__xludf.dummyfunction("""COMPUTED_VALUE"""),"ELISA PARREIRA DE CASTRO ALVES")</f>
        <v>ELISA PARREIRA DE CASTRO ALVES</v>
      </c>
      <c r="C262" s="11" t="str">
        <f ca="1">IFERROR(__xludf.dummyfunction("""COMPUTED_VALUE"""),"6808464")</f>
        <v>6808464</v>
      </c>
      <c r="D262" s="11" t="str">
        <f ca="1">IFERROR(__xludf.dummyfunction("""COMPUTED_VALUE"""),"05401576196")</f>
        <v>05401576196</v>
      </c>
      <c r="E262" s="11" t="str">
        <f ca="1">IFERROR(__xludf.dummyfunction("""COMPUTED_VALUE"""),"ELI2ACA2TRO2016@GMAIL.COM")</f>
        <v>ELI2ACA2TRO2016@GMAIL.COM</v>
      </c>
      <c r="F262" s="11" t="str">
        <f ca="1">IFERROR(__xludf.dummyfunction("""COMPUTED_VALUE"""),"(62) 32075174")</f>
        <v>(62) 32075174</v>
      </c>
      <c r="G262" s="11" t="str">
        <f ca="1">IFERROR(__xludf.dummyfunction("""COMPUTED_VALUE"""),"(62) 993208783")</f>
        <v>(62) 993208783</v>
      </c>
      <c r="H262" s="11" t="str">
        <f ca="1">IFERROR(__xludf.dummyfunction("""COMPUTED_VALUE"""),"SUPERIOR")</f>
        <v>SUPERIOR</v>
      </c>
      <c r="I262" s="10" t="str">
        <f ca="1">IFERROR(__xludf.dummyfunction("""COMPUTED_VALUE"""),"DIREITO")</f>
        <v>DIREITO</v>
      </c>
      <c r="J262" s="10" t="str">
        <f ca="1">IFERROR(__xludf.dummyfunction("""COMPUTED_VALUE"""),"NOITE")</f>
        <v>NOITE</v>
      </c>
      <c r="K262" s="10" t="str">
        <f ca="1">IFERROR(__xludf.dummyfunction("""COMPUTED_VALUE"""),"TARDE")</f>
        <v>TARDE</v>
      </c>
      <c r="L262" s="10" t="str">
        <f ca="1">IFERROR(__xludf.dummyfunction("""COMPUTED_VALUE"""),"GOIÂNIA - GO")</f>
        <v>GOIÂNIA - GO</v>
      </c>
      <c r="M262" s="10">
        <f ca="1">IFERROR(__xludf.dummyfunction("""COMPUTED_VALUE"""),6)</f>
        <v>6</v>
      </c>
      <c r="N262" s="10" t="str">
        <f ca="1">IFERROR(__xludf.dummyfunction("""COMPUTED_VALUE"""),"CONTRATADO")</f>
        <v>CONTRATADO</v>
      </c>
      <c r="O262" s="12"/>
      <c r="P262" s="11"/>
      <c r="Q262" s="11"/>
      <c r="R262" s="11"/>
    </row>
    <row r="263" spans="1:18">
      <c r="A263" s="10">
        <f ca="1">IFERROR(__xludf.dummyfunction("""COMPUTED_VALUE"""),72)</f>
        <v>72</v>
      </c>
      <c r="B263" s="11" t="str">
        <f ca="1">IFERROR(__xludf.dummyfunction("""COMPUTED_VALUE"""),"KHAYO ALEXANDRE RIBEIRO GONÇALVES")</f>
        <v>KHAYO ALEXANDRE RIBEIRO GONÇALVES</v>
      </c>
      <c r="C263" s="11"/>
      <c r="D263" s="11" t="str">
        <f ca="1">IFERROR(__xludf.dummyfunction("""COMPUTED_VALUE"""),"04278302142")</f>
        <v>04278302142</v>
      </c>
      <c r="E263" s="11" t="str">
        <f ca="1">IFERROR(__xludf.dummyfunction("""COMPUTED_VALUE"""),"KHAYOMUSK11@GMAIL.COM")</f>
        <v>KHAYOMUSK11@GMAIL.COM</v>
      </c>
      <c r="F263" s="11"/>
      <c r="G263" s="11" t="str">
        <f ca="1">IFERROR(__xludf.dummyfunction("""COMPUTED_VALUE"""),"(62) 985977799")</f>
        <v>(62) 985977799</v>
      </c>
      <c r="H263" s="11" t="str">
        <f ca="1">IFERROR(__xludf.dummyfunction("""COMPUTED_VALUE"""),"SUPERIOR")</f>
        <v>SUPERIOR</v>
      </c>
      <c r="I263" s="10" t="str">
        <f ca="1">IFERROR(__xludf.dummyfunction("""COMPUTED_VALUE"""),"DIREITO")</f>
        <v>DIREITO</v>
      </c>
      <c r="J263" s="10" t="str">
        <f ca="1">IFERROR(__xludf.dummyfunction("""COMPUTED_VALUE"""),"NOITE")</f>
        <v>NOITE</v>
      </c>
      <c r="K263" s="10" t="str">
        <f ca="1">IFERROR(__xludf.dummyfunction("""COMPUTED_VALUE"""),"TARDE")</f>
        <v>TARDE</v>
      </c>
      <c r="L263" s="10" t="str">
        <f ca="1">IFERROR(__xludf.dummyfunction("""COMPUTED_VALUE"""),"GOIÂNIA - GO")</f>
        <v>GOIÂNIA - GO</v>
      </c>
      <c r="M263" s="10">
        <f ca="1">IFERROR(__xludf.dummyfunction("""COMPUTED_VALUE"""),5)</f>
        <v>5</v>
      </c>
      <c r="N263" s="10" t="str">
        <f ca="1">IFERROR(__xludf.dummyfunction("""COMPUTED_VALUE"""),"DISPONÍVEL")</f>
        <v>DISPONÍVEL</v>
      </c>
      <c r="O263" s="12"/>
      <c r="P263" s="11"/>
      <c r="Q263" s="11"/>
      <c r="R263" s="11"/>
    </row>
    <row r="264" spans="1:18">
      <c r="A264" s="10">
        <f ca="1">IFERROR(__xludf.dummyfunction("""COMPUTED_VALUE"""),73)</f>
        <v>73</v>
      </c>
      <c r="B264" s="11" t="str">
        <f ca="1">IFERROR(__xludf.dummyfunction("""COMPUTED_VALUE"""),"MARCELO AUGUSTO MARINHO SIQUIERO")</f>
        <v>MARCELO AUGUSTO MARINHO SIQUIERO</v>
      </c>
      <c r="C264" s="11" t="str">
        <f ca="1">IFERROR(__xludf.dummyfunction("""COMPUTED_VALUE"""),"6105500")</f>
        <v>6105500</v>
      </c>
      <c r="D264" s="11" t="str">
        <f ca="1">IFERROR(__xludf.dummyfunction("""COMPUTED_VALUE"""),"01425777155")</f>
        <v>01425777155</v>
      </c>
      <c r="E264" s="11" t="str">
        <f ca="1">IFERROR(__xludf.dummyfunction("""COMPUTED_VALUE"""),"MARINHOMARCELO23@GMAIL.COM")</f>
        <v>MARINHOMARCELO23@GMAIL.COM</v>
      </c>
      <c r="F264" s="11"/>
      <c r="G264" s="11" t="str">
        <f ca="1">IFERROR(__xludf.dummyfunction("""COMPUTED_VALUE"""),"(62) 981657747")</f>
        <v>(62) 981657747</v>
      </c>
      <c r="H264" s="11" t="str">
        <f ca="1">IFERROR(__xludf.dummyfunction("""COMPUTED_VALUE"""),"SUPERIOR")</f>
        <v>SUPERIOR</v>
      </c>
      <c r="I264" s="10" t="str">
        <f ca="1">IFERROR(__xludf.dummyfunction("""COMPUTED_VALUE"""),"DIREITO")</f>
        <v>DIREITO</v>
      </c>
      <c r="J264" s="10" t="str">
        <f ca="1">IFERROR(__xludf.dummyfunction("""COMPUTED_VALUE"""),"MANHÃ")</f>
        <v>MANHÃ</v>
      </c>
      <c r="K264" s="10" t="str">
        <f ca="1">IFERROR(__xludf.dummyfunction("""COMPUTED_VALUE"""),"TARDE")</f>
        <v>TARDE</v>
      </c>
      <c r="L264" s="10" t="str">
        <f ca="1">IFERROR(__xludf.dummyfunction("""COMPUTED_VALUE"""),"GOIÂNIA - GO")</f>
        <v>GOIÂNIA - GO</v>
      </c>
      <c r="M264" s="10">
        <f ca="1">IFERROR(__xludf.dummyfunction("""COMPUTED_VALUE"""),8)</f>
        <v>8</v>
      </c>
      <c r="N264" s="10" t="str">
        <f ca="1">IFERROR(__xludf.dummyfunction("""COMPUTED_VALUE"""),"DISPONÍVEL")</f>
        <v>DISPONÍVEL</v>
      </c>
      <c r="O264" s="12"/>
      <c r="P264" s="11"/>
      <c r="Q264" s="11"/>
      <c r="R264" s="11"/>
    </row>
    <row r="265" spans="1:18">
      <c r="A265" s="10">
        <f ca="1">IFERROR(__xludf.dummyfunction("""COMPUTED_VALUE"""),74)</f>
        <v>74</v>
      </c>
      <c r="B265" s="11" t="str">
        <f ca="1">IFERROR(__xludf.dummyfunction("""COMPUTED_VALUE"""),"ALEX RODRIGUES DE JESUS")</f>
        <v>ALEX RODRIGUES DE JESUS</v>
      </c>
      <c r="C265" s="11"/>
      <c r="D265" s="11" t="str">
        <f ca="1">IFERROR(__xludf.dummyfunction("""COMPUTED_VALUE"""),"70223426105")</f>
        <v>70223426105</v>
      </c>
      <c r="E265" s="11" t="str">
        <f ca="1">IFERROR(__xludf.dummyfunction("""COMPUTED_VALUE"""),"LEQRODRIGUES12@GMAIL.COM")</f>
        <v>LEQRODRIGUES12@GMAIL.COM</v>
      </c>
      <c r="F265" s="11"/>
      <c r="G265" s="11" t="str">
        <f ca="1">IFERROR(__xludf.dummyfunction("""COMPUTED_VALUE"""),"(64) 999694729")</f>
        <v>(64) 999694729</v>
      </c>
      <c r="H265" s="11" t="str">
        <f ca="1">IFERROR(__xludf.dummyfunction("""COMPUTED_VALUE"""),"SUPERIOR")</f>
        <v>SUPERIOR</v>
      </c>
      <c r="I265" s="10" t="str">
        <f ca="1">IFERROR(__xludf.dummyfunction("""COMPUTED_VALUE"""),"DIREITO")</f>
        <v>DIREITO</v>
      </c>
      <c r="J265" s="10" t="str">
        <f ca="1">IFERROR(__xludf.dummyfunction("""COMPUTED_VALUE"""),"NOITE")</f>
        <v>NOITE</v>
      </c>
      <c r="K265" s="10" t="str">
        <f ca="1">IFERROR(__xludf.dummyfunction("""COMPUTED_VALUE"""),"TARDE")</f>
        <v>TARDE</v>
      </c>
      <c r="L265" s="10" t="str">
        <f ca="1">IFERROR(__xludf.dummyfunction("""COMPUTED_VALUE"""),"GOIÂNIA - GO")</f>
        <v>GOIÂNIA - GO</v>
      </c>
      <c r="M265" s="10">
        <f ca="1">IFERROR(__xludf.dummyfunction("""COMPUTED_VALUE"""),9)</f>
        <v>9</v>
      </c>
      <c r="N265" s="10" t="str">
        <f ca="1">IFERROR(__xludf.dummyfunction("""COMPUTED_VALUE"""),"DISPONÍVEL")</f>
        <v>DISPONÍVEL</v>
      </c>
      <c r="O265" s="12"/>
      <c r="P265" s="11"/>
      <c r="Q265" s="11"/>
      <c r="R265" s="11"/>
    </row>
    <row r="266" spans="1:18">
      <c r="A266" s="10">
        <f ca="1">IFERROR(__xludf.dummyfunction("""COMPUTED_VALUE"""),75)</f>
        <v>75</v>
      </c>
      <c r="B266" s="11" t="str">
        <f ca="1">IFERROR(__xludf.dummyfunction("""COMPUTED_VALUE"""),"GUILHERME LOURENÇO PIMENTA")</f>
        <v>GUILHERME LOURENÇO PIMENTA</v>
      </c>
      <c r="C266" s="11" t="str">
        <f ca="1">IFERROR(__xludf.dummyfunction("""COMPUTED_VALUE"""),"6655486")</f>
        <v>6655486</v>
      </c>
      <c r="D266" s="11" t="str">
        <f ca="1">IFERROR(__xludf.dummyfunction("""COMPUTED_VALUE"""),"70709581106")</f>
        <v>70709581106</v>
      </c>
      <c r="E266" s="11" t="str">
        <f ca="1">IFERROR(__xludf.dummyfunction("""COMPUTED_VALUE"""),"GUILHERMELP13@OUTLOOK.COM")</f>
        <v>GUILHERMELP13@OUTLOOK.COM</v>
      </c>
      <c r="F266" s="11" t="str">
        <f ca="1">IFERROR(__xludf.dummyfunction("""COMPUTED_VALUE"""),"(62) 98535669")</f>
        <v>(62) 98535669</v>
      </c>
      <c r="G266" s="11" t="str">
        <f ca="1">IFERROR(__xludf.dummyfunction("""COMPUTED_VALUE"""),"(62) 985356691")</f>
        <v>(62) 985356691</v>
      </c>
      <c r="H266" s="11" t="str">
        <f ca="1">IFERROR(__xludf.dummyfunction("""COMPUTED_VALUE"""),"SUPERIOR")</f>
        <v>SUPERIOR</v>
      </c>
      <c r="I266" s="10" t="str">
        <f ca="1">IFERROR(__xludf.dummyfunction("""COMPUTED_VALUE"""),"DIREITO")</f>
        <v>DIREITO</v>
      </c>
      <c r="J266" s="10" t="str">
        <f ca="1">IFERROR(__xludf.dummyfunction("""COMPUTED_VALUE"""),"MANHÃ")</f>
        <v>MANHÃ</v>
      </c>
      <c r="K266" s="10" t="str">
        <f ca="1">IFERROR(__xludf.dummyfunction("""COMPUTED_VALUE"""),"TARDE")</f>
        <v>TARDE</v>
      </c>
      <c r="L266" s="10" t="str">
        <f ca="1">IFERROR(__xludf.dummyfunction("""COMPUTED_VALUE"""),"GOIÂNIA - GO")</f>
        <v>GOIÂNIA - GO</v>
      </c>
      <c r="M266" s="10">
        <f ca="1">IFERROR(__xludf.dummyfunction("""COMPUTED_VALUE"""),5)</f>
        <v>5</v>
      </c>
      <c r="N266" s="10" t="str">
        <f ca="1">IFERROR(__xludf.dummyfunction("""COMPUTED_VALUE"""),"REMANEJADO")</f>
        <v>REMANEJADO</v>
      </c>
      <c r="O266" s="12"/>
      <c r="P266" s="11" t="str">
        <f ca="1">IFERROR(__xludf.dummyfunction("""COMPUTED_VALUE"""),"Sem interesse")</f>
        <v>Sem interesse</v>
      </c>
      <c r="Q266" s="11"/>
      <c r="R266" s="11"/>
    </row>
    <row r="267" spans="1:18">
      <c r="A267" s="10">
        <f ca="1">IFERROR(__xludf.dummyfunction("""COMPUTED_VALUE"""),76)</f>
        <v>76</v>
      </c>
      <c r="B267" s="11" t="str">
        <f ca="1">IFERROR(__xludf.dummyfunction("""COMPUTED_VALUE"""),"TAYANARA DAMACENA OLIVEIRA")</f>
        <v>TAYANARA DAMACENA OLIVEIRA</v>
      </c>
      <c r="C267" s="11" t="str">
        <f ca="1">IFERROR(__xludf.dummyfunction("""COMPUTED_VALUE"""),"6766971")</f>
        <v>6766971</v>
      </c>
      <c r="D267" s="11" t="str">
        <f ca="1">IFERROR(__xludf.dummyfunction("""COMPUTED_VALUE"""),"70819310140")</f>
        <v>70819310140</v>
      </c>
      <c r="E267" s="11" t="str">
        <f ca="1">IFERROR(__xludf.dummyfunction("""COMPUTED_VALUE"""),"TAYNARADAMACENO@HOTMAIL.COM")</f>
        <v>TAYNARADAMACENO@HOTMAIL.COM</v>
      </c>
      <c r="F267" s="11" t="str">
        <f ca="1">IFERROR(__xludf.dummyfunction("""COMPUTED_VALUE"""),"(62) 94401503")</f>
        <v>(62) 94401503</v>
      </c>
      <c r="G267" s="11" t="str">
        <f ca="1">IFERROR(__xludf.dummyfunction("""COMPUTED_VALUE"""),"(62) 998386230")</f>
        <v>(62) 998386230</v>
      </c>
      <c r="H267" s="11" t="str">
        <f ca="1">IFERROR(__xludf.dummyfunction("""COMPUTED_VALUE"""),"SUPERIOR")</f>
        <v>SUPERIOR</v>
      </c>
      <c r="I267" s="10" t="str">
        <f ca="1">IFERROR(__xludf.dummyfunction("""COMPUTED_VALUE"""),"DIREITO")</f>
        <v>DIREITO</v>
      </c>
      <c r="J267" s="10" t="str">
        <f ca="1">IFERROR(__xludf.dummyfunction("""COMPUTED_VALUE"""),"NOITE")</f>
        <v>NOITE</v>
      </c>
      <c r="K267" s="10" t="str">
        <f ca="1">IFERROR(__xludf.dummyfunction("""COMPUTED_VALUE"""),"TARDE")</f>
        <v>TARDE</v>
      </c>
      <c r="L267" s="10" t="str">
        <f ca="1">IFERROR(__xludf.dummyfunction("""COMPUTED_VALUE"""),"GOIÂNIA - GO")</f>
        <v>GOIÂNIA - GO</v>
      </c>
      <c r="M267" s="10">
        <f ca="1">IFERROR(__xludf.dummyfunction("""COMPUTED_VALUE"""),5)</f>
        <v>5</v>
      </c>
      <c r="N267" s="10" t="str">
        <f ca="1">IFERROR(__xludf.dummyfunction("""COMPUTED_VALUE"""),"DISPONÍVEL")</f>
        <v>DISPONÍVEL</v>
      </c>
      <c r="O267" s="12"/>
      <c r="P267" s="11"/>
      <c r="Q267" s="11"/>
      <c r="R267" s="11"/>
    </row>
    <row r="268" spans="1:18">
      <c r="A268" s="10">
        <f ca="1">IFERROR(__xludf.dummyfunction("""COMPUTED_VALUE"""),77)</f>
        <v>77</v>
      </c>
      <c r="B268" s="11" t="str">
        <f ca="1">IFERROR(__xludf.dummyfunction("""COMPUTED_VALUE"""),"JESSICA MOREIRA REGIS")</f>
        <v>JESSICA MOREIRA REGIS</v>
      </c>
      <c r="C268" s="11" t="str">
        <f ca="1">IFERROR(__xludf.dummyfunction("""COMPUTED_VALUE"""),"6440766")</f>
        <v>6440766</v>
      </c>
      <c r="D268" s="11" t="str">
        <f ca="1">IFERROR(__xludf.dummyfunction("""COMPUTED_VALUE"""),"70523904185")</f>
        <v>70523904185</v>
      </c>
      <c r="E268" s="11" t="str">
        <f ca="1">IFERROR(__xludf.dummyfunction("""COMPUTED_VALUE"""),"JESSICAMOREIRAREGIS@GMAIL.COM")</f>
        <v>JESSICAMOREIRAREGIS@GMAIL.COM</v>
      </c>
      <c r="F268" s="11"/>
      <c r="G268" s="11" t="str">
        <f ca="1">IFERROR(__xludf.dummyfunction("""COMPUTED_VALUE"""),"(62) 992152962")</f>
        <v>(62) 992152962</v>
      </c>
      <c r="H268" s="11" t="str">
        <f ca="1">IFERROR(__xludf.dummyfunction("""COMPUTED_VALUE"""),"SUPERIOR")</f>
        <v>SUPERIOR</v>
      </c>
      <c r="I268" s="10" t="str">
        <f ca="1">IFERROR(__xludf.dummyfunction("""COMPUTED_VALUE"""),"DIREITO")</f>
        <v>DIREITO</v>
      </c>
      <c r="J268" s="10" t="str">
        <f ca="1">IFERROR(__xludf.dummyfunction("""COMPUTED_VALUE"""),"NOITE")</f>
        <v>NOITE</v>
      </c>
      <c r="K268" s="10" t="str">
        <f ca="1">IFERROR(__xludf.dummyfunction("""COMPUTED_VALUE"""),"TARDE")</f>
        <v>TARDE</v>
      </c>
      <c r="L268" s="10" t="str">
        <f ca="1">IFERROR(__xludf.dummyfunction("""COMPUTED_VALUE"""),"GOIÂNIA - GO")</f>
        <v>GOIÂNIA - GO</v>
      </c>
      <c r="M268" s="10">
        <f ca="1">IFERROR(__xludf.dummyfunction("""COMPUTED_VALUE"""),8)</f>
        <v>8</v>
      </c>
      <c r="N268" s="10" t="str">
        <f ca="1">IFERROR(__xludf.dummyfunction("""COMPUTED_VALUE"""),"DISPONÍVEL")</f>
        <v>DISPONÍVEL</v>
      </c>
      <c r="O268" s="12"/>
      <c r="P268" s="11"/>
      <c r="Q268" s="11"/>
      <c r="R268" s="11"/>
    </row>
    <row r="269" spans="1:18">
      <c r="A269" s="10">
        <f ca="1">IFERROR(__xludf.dummyfunction("""COMPUTED_VALUE"""),78)</f>
        <v>78</v>
      </c>
      <c r="B269" s="11" t="str">
        <f ca="1">IFERROR(__xludf.dummyfunction("""COMPUTED_VALUE"""),"TIAGO FERNANDES PINHEIRO CARDOSO")</f>
        <v>TIAGO FERNANDES PINHEIRO CARDOSO</v>
      </c>
      <c r="C269" s="11"/>
      <c r="D269" s="11" t="str">
        <f ca="1">IFERROR(__xludf.dummyfunction("""COMPUTED_VALUE"""),"70824994183")</f>
        <v>70824994183</v>
      </c>
      <c r="E269" s="11" t="str">
        <f ca="1">IFERROR(__xludf.dummyfunction("""COMPUTED_VALUE"""),"PINHEIRO_CARDOSO@DISCENTE.UFG.BR")</f>
        <v>PINHEIRO_CARDOSO@DISCENTE.UFG.BR</v>
      </c>
      <c r="F269" s="11" t="str">
        <f ca="1">IFERROR(__xludf.dummyfunction("""COMPUTED_VALUE"""),"(62) 32861236")</f>
        <v>(62) 32861236</v>
      </c>
      <c r="G269" s="11" t="str">
        <f ca="1">IFERROR(__xludf.dummyfunction("""COMPUTED_VALUE"""),"(62) 998247914")</f>
        <v>(62) 998247914</v>
      </c>
      <c r="H269" s="11" t="str">
        <f ca="1">IFERROR(__xludf.dummyfunction("""COMPUTED_VALUE"""),"SUPERIOR")</f>
        <v>SUPERIOR</v>
      </c>
      <c r="I269" s="10" t="str">
        <f ca="1">IFERROR(__xludf.dummyfunction("""COMPUTED_VALUE"""),"DIREITO")</f>
        <v>DIREITO</v>
      </c>
      <c r="J269" s="10" t="str">
        <f ca="1">IFERROR(__xludf.dummyfunction("""COMPUTED_VALUE"""),"NOITE")</f>
        <v>NOITE</v>
      </c>
      <c r="K269" s="10" t="str">
        <f ca="1">IFERROR(__xludf.dummyfunction("""COMPUTED_VALUE"""),"TARDE")</f>
        <v>TARDE</v>
      </c>
      <c r="L269" s="10" t="str">
        <f ca="1">IFERROR(__xludf.dummyfunction("""COMPUTED_VALUE"""),"GOIÂNIA - GO")</f>
        <v>GOIÂNIA - GO</v>
      </c>
      <c r="M269" s="10">
        <f ca="1">IFERROR(__xludf.dummyfunction("""COMPUTED_VALUE"""),8)</f>
        <v>8</v>
      </c>
      <c r="N269" s="10" t="str">
        <f ca="1">IFERROR(__xludf.dummyfunction("""COMPUTED_VALUE"""),"DISPONÍVEL")</f>
        <v>DISPONÍVEL</v>
      </c>
      <c r="O269" s="12"/>
      <c r="P269" s="11"/>
      <c r="Q269" s="11"/>
      <c r="R269" s="11"/>
    </row>
    <row r="270" spans="1:18">
      <c r="A270" s="10">
        <f ca="1">IFERROR(__xludf.dummyfunction("""COMPUTED_VALUE"""),79)</f>
        <v>79</v>
      </c>
      <c r="B270" s="11" t="str">
        <f ca="1">IFERROR(__xludf.dummyfunction("""COMPUTED_VALUE"""),"FERNANDA CRUZ DURAN YULE")</f>
        <v>FERNANDA CRUZ DURAN YULE</v>
      </c>
      <c r="C270" s="11" t="str">
        <f ca="1">IFERROR(__xludf.dummyfunction("""COMPUTED_VALUE"""),"6186123")</f>
        <v>6186123</v>
      </c>
      <c r="D270" s="11" t="str">
        <f ca="1">IFERROR(__xludf.dummyfunction("""COMPUTED_VALUE"""),"05249806163")</f>
        <v>05249806163</v>
      </c>
      <c r="E270" s="11" t="str">
        <f ca="1">IFERROR(__xludf.dummyfunction("""COMPUTED_VALUE"""),"DURANNYULE@GMAIL.COM")</f>
        <v>DURANNYULE@GMAIL.COM</v>
      </c>
      <c r="F270" s="11" t="str">
        <f ca="1">IFERROR(__xludf.dummyfunction("""COMPUTED_VALUE"""),"(62) 92652217")</f>
        <v>(62) 92652217</v>
      </c>
      <c r="G270" s="11" t="str">
        <f ca="1">IFERROR(__xludf.dummyfunction("""COMPUTED_VALUE"""),"(62) 981683494")</f>
        <v>(62) 981683494</v>
      </c>
      <c r="H270" s="11" t="str">
        <f ca="1">IFERROR(__xludf.dummyfunction("""COMPUTED_VALUE"""),"SUPERIOR")</f>
        <v>SUPERIOR</v>
      </c>
      <c r="I270" s="10" t="str">
        <f ca="1">IFERROR(__xludf.dummyfunction("""COMPUTED_VALUE"""),"DIREITO")</f>
        <v>DIREITO</v>
      </c>
      <c r="J270" s="10" t="str">
        <f ca="1">IFERROR(__xludf.dummyfunction("""COMPUTED_VALUE"""),"MANHÃ")</f>
        <v>MANHÃ</v>
      </c>
      <c r="K270" s="10" t="str">
        <f ca="1">IFERROR(__xludf.dummyfunction("""COMPUTED_VALUE"""),"TARDE")</f>
        <v>TARDE</v>
      </c>
      <c r="L270" s="10" t="str">
        <f ca="1">IFERROR(__xludf.dummyfunction("""COMPUTED_VALUE"""),"GOIÂNIA - GO")</f>
        <v>GOIÂNIA - GO</v>
      </c>
      <c r="M270" s="10">
        <f ca="1">IFERROR(__xludf.dummyfunction("""COMPUTED_VALUE"""),5)</f>
        <v>5</v>
      </c>
      <c r="N270" s="10" t="str">
        <f ca="1">IFERROR(__xludf.dummyfunction("""COMPUTED_VALUE"""),"DISPONÍVEL")</f>
        <v>DISPONÍVEL</v>
      </c>
      <c r="O270" s="12"/>
      <c r="P270" s="11"/>
      <c r="Q270" s="11"/>
      <c r="R270" s="11"/>
    </row>
    <row r="271" spans="1:18">
      <c r="A271" s="10">
        <f ca="1">IFERROR(__xludf.dummyfunction("""COMPUTED_VALUE"""),80)</f>
        <v>80</v>
      </c>
      <c r="B271" s="11" t="str">
        <f ca="1">IFERROR(__xludf.dummyfunction("""COMPUTED_VALUE"""),"LEANDRO LAGARES LIMA")</f>
        <v>LEANDRO LAGARES LIMA</v>
      </c>
      <c r="C271" s="11"/>
      <c r="D271" s="11" t="str">
        <f ca="1">IFERROR(__xludf.dummyfunction("""COMPUTED_VALUE"""),"70623959194")</f>
        <v>70623959194</v>
      </c>
      <c r="E271" s="11" t="str">
        <f ca="1">IFERROR(__xludf.dummyfunction("""COMPUTED_VALUE"""),"LEANDROLAGARES12@GMAIL.COM")</f>
        <v>LEANDROLAGARES12@GMAIL.COM</v>
      </c>
      <c r="F271" s="11"/>
      <c r="G271" s="11" t="str">
        <f ca="1">IFERROR(__xludf.dummyfunction("""COMPUTED_VALUE"""),"(62) 995655158")</f>
        <v>(62) 995655158</v>
      </c>
      <c r="H271" s="11" t="str">
        <f ca="1">IFERROR(__xludf.dummyfunction("""COMPUTED_VALUE"""),"SUPERIOR")</f>
        <v>SUPERIOR</v>
      </c>
      <c r="I271" s="10" t="str">
        <f ca="1">IFERROR(__xludf.dummyfunction("""COMPUTED_VALUE"""),"DIREITO")</f>
        <v>DIREITO</v>
      </c>
      <c r="J271" s="10" t="str">
        <f ca="1">IFERROR(__xludf.dummyfunction("""COMPUTED_VALUE"""),"MANHÃ")</f>
        <v>MANHÃ</v>
      </c>
      <c r="K271" s="10" t="str">
        <f ca="1">IFERROR(__xludf.dummyfunction("""COMPUTED_VALUE"""),"TARDE")</f>
        <v>TARDE</v>
      </c>
      <c r="L271" s="10" t="str">
        <f ca="1">IFERROR(__xludf.dummyfunction("""COMPUTED_VALUE"""),"GOIÂNIA - GO")</f>
        <v>GOIÂNIA - GO</v>
      </c>
      <c r="M271" s="10">
        <f ca="1">IFERROR(__xludf.dummyfunction("""COMPUTED_VALUE"""),8)</f>
        <v>8</v>
      </c>
      <c r="N271" s="10" t="str">
        <f ca="1">IFERROR(__xludf.dummyfunction("""COMPUTED_VALUE"""),"DISPONÍVEL")</f>
        <v>DISPONÍVEL</v>
      </c>
      <c r="O271" s="12"/>
      <c r="P271" s="11"/>
      <c r="Q271" s="11"/>
      <c r="R271" s="11"/>
    </row>
    <row r="272" spans="1:18">
      <c r="A272" s="10">
        <f ca="1">IFERROR(__xludf.dummyfunction("""COMPUTED_VALUE"""),81)</f>
        <v>81</v>
      </c>
      <c r="B272" s="11" t="str">
        <f ca="1">IFERROR(__xludf.dummyfunction("""COMPUTED_VALUE"""),"GEOVANNA FONTINELLE GUIMARÃES")</f>
        <v>GEOVANNA FONTINELLE GUIMARÃES</v>
      </c>
      <c r="C272" s="11" t="str">
        <f ca="1">IFERROR(__xludf.dummyfunction("""COMPUTED_VALUE"""),"7303080")</f>
        <v>7303080</v>
      </c>
      <c r="D272" s="11" t="str">
        <f ca="1">IFERROR(__xludf.dummyfunction("""COMPUTED_VALUE"""),"70856072117")</f>
        <v>70856072117</v>
      </c>
      <c r="E272" s="11" t="str">
        <f ca="1">IFERROR(__xludf.dummyfunction("""COMPUTED_VALUE"""),"GEOVANNAFONTINELLEE@GMAIL.COM")</f>
        <v>GEOVANNAFONTINELLEE@GMAIL.COM</v>
      </c>
      <c r="F272" s="11"/>
      <c r="G272" s="11" t="str">
        <f ca="1">IFERROR(__xludf.dummyfunction("""COMPUTED_VALUE"""),"(62) 982556379")</f>
        <v>(62) 982556379</v>
      </c>
      <c r="H272" s="11" t="str">
        <f ca="1">IFERROR(__xludf.dummyfunction("""COMPUTED_VALUE"""),"SUPERIOR")</f>
        <v>SUPERIOR</v>
      </c>
      <c r="I272" s="10" t="str">
        <f ca="1">IFERROR(__xludf.dummyfunction("""COMPUTED_VALUE"""),"DIREITO")</f>
        <v>DIREITO</v>
      </c>
      <c r="J272" s="10" t="str">
        <f ca="1">IFERROR(__xludf.dummyfunction("""COMPUTED_VALUE"""),"MANHÃ")</f>
        <v>MANHÃ</v>
      </c>
      <c r="K272" s="10" t="str">
        <f ca="1">IFERROR(__xludf.dummyfunction("""COMPUTED_VALUE"""),"TARDE")</f>
        <v>TARDE</v>
      </c>
      <c r="L272" s="10" t="str">
        <f ca="1">IFERROR(__xludf.dummyfunction("""COMPUTED_VALUE"""),"GOIÂNIA - GO")</f>
        <v>GOIÂNIA - GO</v>
      </c>
      <c r="M272" s="10">
        <f ca="1">IFERROR(__xludf.dummyfunction("""COMPUTED_VALUE"""),5)</f>
        <v>5</v>
      </c>
      <c r="N272" s="10" t="str">
        <f ca="1">IFERROR(__xludf.dummyfunction("""COMPUTED_VALUE"""),"DISPONÍVEL")</f>
        <v>DISPONÍVEL</v>
      </c>
      <c r="O272" s="12"/>
      <c r="P272" s="11"/>
      <c r="Q272" s="11"/>
      <c r="R272" s="11"/>
    </row>
    <row r="273" spans="1:18">
      <c r="A273" s="10">
        <f ca="1">IFERROR(__xludf.dummyfunction("""COMPUTED_VALUE"""),82)</f>
        <v>82</v>
      </c>
      <c r="B273" s="11" t="str">
        <f ca="1">IFERROR(__xludf.dummyfunction("""COMPUTED_VALUE"""),"MARIA FERNANDA VIANA FERREIRA")</f>
        <v>MARIA FERNANDA VIANA FERREIRA</v>
      </c>
      <c r="C273" s="11"/>
      <c r="D273" s="11" t="str">
        <f ca="1">IFERROR(__xludf.dummyfunction("""COMPUTED_VALUE"""),"70883370107")</f>
        <v>70883370107</v>
      </c>
      <c r="E273" s="11" t="str">
        <f ca="1">IFERROR(__xludf.dummyfunction("""COMPUTED_VALUE"""),"MARIA.VIANA@DISCENTE.UFG.BR")</f>
        <v>MARIA.VIANA@DISCENTE.UFG.BR</v>
      </c>
      <c r="F273" s="11"/>
      <c r="G273" s="11" t="str">
        <f ca="1">IFERROR(__xludf.dummyfunction("""COMPUTED_VALUE"""),"(62) 982190416")</f>
        <v>(62) 982190416</v>
      </c>
      <c r="H273" s="11" t="str">
        <f ca="1">IFERROR(__xludf.dummyfunction("""COMPUTED_VALUE"""),"SUPERIOR")</f>
        <v>SUPERIOR</v>
      </c>
      <c r="I273" s="10" t="str">
        <f ca="1">IFERROR(__xludf.dummyfunction("""COMPUTED_VALUE"""),"DIREITO")</f>
        <v>DIREITO</v>
      </c>
      <c r="J273" s="10" t="str">
        <f ca="1">IFERROR(__xludf.dummyfunction("""COMPUTED_VALUE"""),"MANHÃ")</f>
        <v>MANHÃ</v>
      </c>
      <c r="K273" s="10" t="str">
        <f ca="1">IFERROR(__xludf.dummyfunction("""COMPUTED_VALUE"""),"TARDE")</f>
        <v>TARDE</v>
      </c>
      <c r="L273" s="10" t="str">
        <f ca="1">IFERROR(__xludf.dummyfunction("""COMPUTED_VALUE"""),"GOIÂNIA - GO")</f>
        <v>GOIÂNIA - GO</v>
      </c>
      <c r="M273" s="10">
        <f ca="1">IFERROR(__xludf.dummyfunction("""COMPUTED_VALUE"""),5)</f>
        <v>5</v>
      </c>
      <c r="N273" s="10" t="str">
        <f ca="1">IFERROR(__xludf.dummyfunction("""COMPUTED_VALUE"""),"DISPONÍVEL")</f>
        <v>DISPONÍVEL</v>
      </c>
      <c r="O273" s="12"/>
      <c r="P273" s="11"/>
      <c r="Q273" s="11"/>
      <c r="R273" s="11"/>
    </row>
    <row r="274" spans="1:18">
      <c r="A274" s="10">
        <f ca="1">IFERROR(__xludf.dummyfunction("""COMPUTED_VALUE"""),83)</f>
        <v>83</v>
      </c>
      <c r="B274" s="11" t="str">
        <f ca="1">IFERROR(__xludf.dummyfunction("""COMPUTED_VALUE"""),"PEDRO HENRIQUE BATISTA DE PAULA")</f>
        <v>PEDRO HENRIQUE BATISTA DE PAULA</v>
      </c>
      <c r="C274" s="11" t="str">
        <f ca="1">IFERROR(__xludf.dummyfunction("""COMPUTED_VALUE"""),"6577569")</f>
        <v>6577569</v>
      </c>
      <c r="D274" s="11" t="str">
        <f ca="1">IFERROR(__xludf.dummyfunction("""COMPUTED_VALUE"""),"70636437116")</f>
        <v>70636437116</v>
      </c>
      <c r="E274" s="11" t="str">
        <f ca="1">IFERROR(__xludf.dummyfunction("""COMPUTED_VALUE"""),"PEDRO-HENRIQUE.B@OUTLOOK.COM")</f>
        <v>PEDRO-HENRIQUE.B@OUTLOOK.COM</v>
      </c>
      <c r="F274" s="11" t="str">
        <f ca="1">IFERROR(__xludf.dummyfunction("""COMPUTED_VALUE"""),"(62) 98167305")</f>
        <v>(62) 98167305</v>
      </c>
      <c r="G274" s="11" t="str">
        <f ca="1">IFERROR(__xludf.dummyfunction("""COMPUTED_VALUE"""),"(62) 998167305")</f>
        <v>(62) 998167305</v>
      </c>
      <c r="H274" s="11" t="str">
        <f ca="1">IFERROR(__xludf.dummyfunction("""COMPUTED_VALUE"""),"SUPERIOR")</f>
        <v>SUPERIOR</v>
      </c>
      <c r="I274" s="10" t="str">
        <f ca="1">IFERROR(__xludf.dummyfunction("""COMPUTED_VALUE"""),"DIREITO")</f>
        <v>DIREITO</v>
      </c>
      <c r="J274" s="10" t="str">
        <f ca="1">IFERROR(__xludf.dummyfunction("""COMPUTED_VALUE"""),"NOITE")</f>
        <v>NOITE</v>
      </c>
      <c r="K274" s="10" t="str">
        <f ca="1">IFERROR(__xludf.dummyfunction("""COMPUTED_VALUE"""),"TARDE")</f>
        <v>TARDE</v>
      </c>
      <c r="L274" s="10" t="str">
        <f ca="1">IFERROR(__xludf.dummyfunction("""COMPUTED_VALUE"""),"GOIÂNIA - GO")</f>
        <v>GOIÂNIA - GO</v>
      </c>
      <c r="M274" s="10">
        <f ca="1">IFERROR(__xludf.dummyfunction("""COMPUTED_VALUE"""),8)</f>
        <v>8</v>
      </c>
      <c r="N274" s="10" t="str">
        <f ca="1">IFERROR(__xludf.dummyfunction("""COMPUTED_VALUE"""),"DISPONÍVEL")</f>
        <v>DISPONÍVEL</v>
      </c>
      <c r="O274" s="12"/>
      <c r="P274" s="11"/>
      <c r="Q274" s="11"/>
      <c r="R274" s="11"/>
    </row>
    <row r="275" spans="1:18">
      <c r="A275" s="10">
        <f ca="1">IFERROR(__xludf.dummyfunction("""COMPUTED_VALUE"""),84)</f>
        <v>84</v>
      </c>
      <c r="B275" s="11" t="str">
        <f ca="1">IFERROR(__xludf.dummyfunction("""COMPUTED_VALUE"""),"AMANDA DE CAMPOS SOARES")</f>
        <v>AMANDA DE CAMPOS SOARES</v>
      </c>
      <c r="C275" s="11" t="str">
        <f ca="1">IFERROR(__xludf.dummyfunction("""COMPUTED_VALUE"""),"7018346")</f>
        <v>7018346</v>
      </c>
      <c r="D275" s="11" t="str">
        <f ca="1">IFERROR(__xludf.dummyfunction("""COMPUTED_VALUE"""),"71067237119")</f>
        <v>71067237119</v>
      </c>
      <c r="E275" s="11" t="str">
        <f ca="1">IFERROR(__xludf.dummyfunction("""COMPUTED_VALUE"""),"DECAMPOSAMANDA4@GMAIL.COM")</f>
        <v>DECAMPOSAMANDA4@GMAIL.COM</v>
      </c>
      <c r="F275" s="11" t="str">
        <f ca="1">IFERROR(__xludf.dummyfunction("""COMPUTED_VALUE"""),"(62) 98624789")</f>
        <v>(62) 98624789</v>
      </c>
      <c r="G275" s="11" t="str">
        <f ca="1">IFERROR(__xludf.dummyfunction("""COMPUTED_VALUE"""),"(62) 986247891")</f>
        <v>(62) 986247891</v>
      </c>
      <c r="H275" s="11" t="str">
        <f ca="1">IFERROR(__xludf.dummyfunction("""COMPUTED_VALUE"""),"SUPERIOR")</f>
        <v>SUPERIOR</v>
      </c>
      <c r="I275" s="10" t="str">
        <f ca="1">IFERROR(__xludf.dummyfunction("""COMPUTED_VALUE"""),"DIREITO")</f>
        <v>DIREITO</v>
      </c>
      <c r="J275" s="10" t="str">
        <f ca="1">IFERROR(__xludf.dummyfunction("""COMPUTED_VALUE"""),"NOITE")</f>
        <v>NOITE</v>
      </c>
      <c r="K275" s="10" t="str">
        <f ca="1">IFERROR(__xludf.dummyfunction("""COMPUTED_VALUE"""),"TARDE")</f>
        <v>TARDE</v>
      </c>
      <c r="L275" s="10" t="str">
        <f ca="1">IFERROR(__xludf.dummyfunction("""COMPUTED_VALUE"""),"GOIÂNIA - GO")</f>
        <v>GOIÂNIA - GO</v>
      </c>
      <c r="M275" s="10">
        <f ca="1">IFERROR(__xludf.dummyfunction("""COMPUTED_VALUE"""),9)</f>
        <v>9</v>
      </c>
      <c r="N275" s="10" t="str">
        <f ca="1">IFERROR(__xludf.dummyfunction("""COMPUTED_VALUE"""),"DISPONÍVEL")</f>
        <v>DISPONÍVEL</v>
      </c>
      <c r="O275" s="12"/>
      <c r="P275" s="11"/>
      <c r="Q275" s="11"/>
      <c r="R275" s="11"/>
    </row>
    <row r="276" spans="1:18">
      <c r="A276" s="10">
        <f ca="1">IFERROR(__xludf.dummyfunction("""COMPUTED_VALUE"""),85)</f>
        <v>85</v>
      </c>
      <c r="B276" s="11" t="str">
        <f ca="1">IFERROR(__xludf.dummyfunction("""COMPUTED_VALUE"""),"FABRICIA MARTINS FREIRE")</f>
        <v>FABRICIA MARTINS FREIRE</v>
      </c>
      <c r="C276" s="11"/>
      <c r="D276" s="11" t="str">
        <f ca="1">IFERROR(__xludf.dummyfunction("""COMPUTED_VALUE"""),"70171745698")</f>
        <v>70171745698</v>
      </c>
      <c r="E276" s="11" t="str">
        <f ca="1">IFERROR(__xludf.dummyfunction("""COMPUTED_VALUE"""),"FABMFREIRE@GMAIL.COM")</f>
        <v>FABMFREIRE@GMAIL.COM</v>
      </c>
      <c r="F276" s="11"/>
      <c r="G276" s="11" t="str">
        <f ca="1">IFERROR(__xludf.dummyfunction("""COMPUTED_VALUE"""),"(62) 991157958")</f>
        <v>(62) 991157958</v>
      </c>
      <c r="H276" s="11" t="str">
        <f ca="1">IFERROR(__xludf.dummyfunction("""COMPUTED_VALUE"""),"SUPERIOR")</f>
        <v>SUPERIOR</v>
      </c>
      <c r="I276" s="10" t="str">
        <f ca="1">IFERROR(__xludf.dummyfunction("""COMPUTED_VALUE"""),"DIREITO")</f>
        <v>DIREITO</v>
      </c>
      <c r="J276" s="10" t="str">
        <f ca="1">IFERROR(__xludf.dummyfunction("""COMPUTED_VALUE"""),"MANHÃ")</f>
        <v>MANHÃ</v>
      </c>
      <c r="K276" s="10" t="str">
        <f ca="1">IFERROR(__xludf.dummyfunction("""COMPUTED_VALUE"""),"TARDE")</f>
        <v>TARDE</v>
      </c>
      <c r="L276" s="10" t="str">
        <f ca="1">IFERROR(__xludf.dummyfunction("""COMPUTED_VALUE"""),"GOIÂNIA - GO")</f>
        <v>GOIÂNIA - GO</v>
      </c>
      <c r="M276" s="10">
        <f ca="1">IFERROR(__xludf.dummyfunction("""COMPUTED_VALUE"""),8)</f>
        <v>8</v>
      </c>
      <c r="N276" s="10" t="str">
        <f ca="1">IFERROR(__xludf.dummyfunction("""COMPUTED_VALUE"""),"DISPONÍVEL")</f>
        <v>DISPONÍVEL</v>
      </c>
      <c r="O276" s="12"/>
      <c r="P276" s="11"/>
      <c r="Q276" s="11"/>
      <c r="R276" s="11"/>
    </row>
    <row r="277" spans="1:18">
      <c r="A277" s="10">
        <f ca="1">IFERROR(__xludf.dummyfunction("""COMPUTED_VALUE"""),86)</f>
        <v>86</v>
      </c>
      <c r="B277" s="11" t="str">
        <f ca="1">IFERROR(__xludf.dummyfunction("""COMPUTED_VALUE"""),"DAIANY KELLEN DA SILVA ARAUJO")</f>
        <v>DAIANY KELLEN DA SILVA ARAUJO</v>
      </c>
      <c r="C277" s="11"/>
      <c r="D277" s="11" t="str">
        <f ca="1">IFERROR(__xludf.dummyfunction("""COMPUTED_VALUE"""),"75760649191")</f>
        <v>75760649191</v>
      </c>
      <c r="E277" s="11" t="str">
        <f ca="1">IFERROR(__xludf.dummyfunction("""COMPUTED_VALUE"""),"DAIANYKELLEN30@GMAIL.COM")</f>
        <v>DAIANYKELLEN30@GMAIL.COM</v>
      </c>
      <c r="F277" s="11"/>
      <c r="G277" s="11" t="str">
        <f ca="1">IFERROR(__xludf.dummyfunction("""COMPUTED_VALUE"""),"(62) 985530762")</f>
        <v>(62) 985530762</v>
      </c>
      <c r="H277" s="11" t="str">
        <f ca="1">IFERROR(__xludf.dummyfunction("""COMPUTED_VALUE"""),"SUPERIOR")</f>
        <v>SUPERIOR</v>
      </c>
      <c r="I277" s="10" t="str">
        <f ca="1">IFERROR(__xludf.dummyfunction("""COMPUTED_VALUE"""),"DIREITO")</f>
        <v>DIREITO</v>
      </c>
      <c r="J277" s="10" t="str">
        <f ca="1">IFERROR(__xludf.dummyfunction("""COMPUTED_VALUE"""),"NOITE")</f>
        <v>NOITE</v>
      </c>
      <c r="K277" s="10" t="str">
        <f ca="1">IFERROR(__xludf.dummyfunction("""COMPUTED_VALUE"""),"TARDE")</f>
        <v>TARDE</v>
      </c>
      <c r="L277" s="10" t="str">
        <f ca="1">IFERROR(__xludf.dummyfunction("""COMPUTED_VALUE"""),"GOIÂNIA - GO")</f>
        <v>GOIÂNIA - GO</v>
      </c>
      <c r="M277" s="10">
        <f ca="1">IFERROR(__xludf.dummyfunction("""COMPUTED_VALUE"""),8)</f>
        <v>8</v>
      </c>
      <c r="N277" s="10" t="str">
        <f ca="1">IFERROR(__xludf.dummyfunction("""COMPUTED_VALUE"""),"DISPONÍVEL")</f>
        <v>DISPONÍVEL</v>
      </c>
      <c r="O277" s="12"/>
      <c r="P277" s="11"/>
      <c r="Q277" s="11"/>
      <c r="R277" s="11"/>
    </row>
    <row r="278" spans="1:18">
      <c r="A278" s="10">
        <f ca="1">IFERROR(__xludf.dummyfunction("""COMPUTED_VALUE"""),87)</f>
        <v>87</v>
      </c>
      <c r="B278" s="11" t="str">
        <f ca="1">IFERROR(__xludf.dummyfunction("""COMPUTED_VALUE"""),"TERESA CRISTINA VIEIRA AMORIM")</f>
        <v>TERESA CRISTINA VIEIRA AMORIM</v>
      </c>
      <c r="C278" s="11"/>
      <c r="D278" s="11" t="str">
        <f ca="1">IFERROR(__xludf.dummyfunction("""COMPUTED_VALUE"""),"70652949193")</f>
        <v>70652949193</v>
      </c>
      <c r="E278" s="11" t="str">
        <f ca="1">IFERROR(__xludf.dummyfunction("""COMPUTED_VALUE"""),"TC0999839@GMAIL.COM")</f>
        <v>TC0999839@GMAIL.COM</v>
      </c>
      <c r="F278" s="11" t="str">
        <f ca="1">IFERROR(__xludf.dummyfunction("""COMPUTED_VALUE"""),"(62) 94144119")</f>
        <v>(62) 94144119</v>
      </c>
      <c r="G278" s="11" t="str">
        <f ca="1">IFERROR(__xludf.dummyfunction("""COMPUTED_VALUE"""),"(62) 986004485")</f>
        <v>(62) 986004485</v>
      </c>
      <c r="H278" s="11" t="str">
        <f ca="1">IFERROR(__xludf.dummyfunction("""COMPUTED_VALUE"""),"SUPERIOR")</f>
        <v>SUPERIOR</v>
      </c>
      <c r="I278" s="10" t="str">
        <f ca="1">IFERROR(__xludf.dummyfunction("""COMPUTED_VALUE"""),"DIREITO")</f>
        <v>DIREITO</v>
      </c>
      <c r="J278" s="10" t="str">
        <f ca="1">IFERROR(__xludf.dummyfunction("""COMPUTED_VALUE"""),"MANHÃ")</f>
        <v>MANHÃ</v>
      </c>
      <c r="K278" s="10" t="str">
        <f ca="1">IFERROR(__xludf.dummyfunction("""COMPUTED_VALUE"""),"TARDE")</f>
        <v>TARDE</v>
      </c>
      <c r="L278" s="10" t="str">
        <f ca="1">IFERROR(__xludf.dummyfunction("""COMPUTED_VALUE"""),"GOIÂNIA - GO")</f>
        <v>GOIÂNIA - GO</v>
      </c>
      <c r="M278" s="10">
        <f ca="1">IFERROR(__xludf.dummyfunction("""COMPUTED_VALUE"""),5)</f>
        <v>5</v>
      </c>
      <c r="N278" s="10" t="str">
        <f ca="1">IFERROR(__xludf.dummyfunction("""COMPUTED_VALUE"""),"DISPONÍVEL")</f>
        <v>DISPONÍVEL</v>
      </c>
      <c r="O278" s="12"/>
      <c r="P278" s="11"/>
      <c r="Q278" s="11"/>
      <c r="R278" s="11"/>
    </row>
    <row r="279" spans="1:18">
      <c r="A279" s="10">
        <f ca="1">IFERROR(__xludf.dummyfunction("""COMPUTED_VALUE"""),88)</f>
        <v>88</v>
      </c>
      <c r="B279" s="11" t="str">
        <f ca="1">IFERROR(__xludf.dummyfunction("""COMPUTED_VALUE"""),"FELIPE SILVA GONCALVES DE JESUS")</f>
        <v>FELIPE SILVA GONCALVES DE JESUS</v>
      </c>
      <c r="C279" s="11" t="str">
        <f ca="1">IFERROR(__xludf.dummyfunction("""COMPUTED_VALUE"""),"568907632")</f>
        <v>568907632</v>
      </c>
      <c r="D279" s="11" t="str">
        <f ca="1">IFERROR(__xludf.dummyfunction("""COMPUTED_VALUE"""),"01371567581")</f>
        <v>01371567581</v>
      </c>
      <c r="E279" s="11" t="str">
        <f ca="1">IFERROR(__xludf.dummyfunction("""COMPUTED_VALUE"""),"FELIPEPORTOSEGURO@HOTMAIL.COM")</f>
        <v>FELIPEPORTOSEGURO@HOTMAIL.COM</v>
      </c>
      <c r="F279" s="11"/>
      <c r="G279" s="11" t="str">
        <f ca="1">IFERROR(__xludf.dummyfunction("""COMPUTED_VALUE"""),"(13) 981003480")</f>
        <v>(13) 981003480</v>
      </c>
      <c r="H279" s="11" t="str">
        <f ca="1">IFERROR(__xludf.dummyfunction("""COMPUTED_VALUE"""),"SUPERIOR")</f>
        <v>SUPERIOR</v>
      </c>
      <c r="I279" s="10" t="str">
        <f ca="1">IFERROR(__xludf.dummyfunction("""COMPUTED_VALUE"""),"DIREITO")</f>
        <v>DIREITO</v>
      </c>
      <c r="J279" s="10" t="str">
        <f ca="1">IFERROR(__xludf.dummyfunction("""COMPUTED_VALUE"""),"MANHÃ")</f>
        <v>MANHÃ</v>
      </c>
      <c r="K279" s="10" t="str">
        <f ca="1">IFERROR(__xludf.dummyfunction("""COMPUTED_VALUE"""),"TARDE")</f>
        <v>TARDE</v>
      </c>
      <c r="L279" s="10" t="str">
        <f ca="1">IFERROR(__xludf.dummyfunction("""COMPUTED_VALUE"""),"GOIÂNIA - GO")</f>
        <v>GOIÂNIA - GO</v>
      </c>
      <c r="M279" s="10">
        <f ca="1">IFERROR(__xludf.dummyfunction("""COMPUTED_VALUE"""),5)</f>
        <v>5</v>
      </c>
      <c r="N279" s="10" t="str">
        <f ca="1">IFERROR(__xludf.dummyfunction("""COMPUTED_VALUE"""),"DISPONÍVEL")</f>
        <v>DISPONÍVEL</v>
      </c>
      <c r="O279" s="12"/>
      <c r="P279" s="11"/>
      <c r="Q279" s="11"/>
      <c r="R279" s="11"/>
    </row>
    <row r="280" spans="1:18">
      <c r="A280" s="10">
        <f ca="1">IFERROR(__xludf.dummyfunction("""COMPUTED_VALUE"""),89)</f>
        <v>89</v>
      </c>
      <c r="B280" s="11" t="str">
        <f ca="1">IFERROR(__xludf.dummyfunction("""COMPUTED_VALUE"""),"CARLA DE SOUSA SILVA")</f>
        <v>CARLA DE SOUSA SILVA</v>
      </c>
      <c r="C280" s="11" t="str">
        <f ca="1">IFERROR(__xludf.dummyfunction("""COMPUTED_VALUE"""),"0435616320113")</f>
        <v>0435616320113</v>
      </c>
      <c r="D280" s="11" t="str">
        <f ca="1">IFERROR(__xludf.dummyfunction("""COMPUTED_VALUE"""),"06473494340")</f>
        <v>06473494340</v>
      </c>
      <c r="E280" s="11" t="str">
        <f ca="1">IFERROR(__xludf.dummyfunction("""COMPUTED_VALUE"""),"CARLALIRA777@GMAIL.COM")</f>
        <v>CARLALIRA777@GMAIL.COM</v>
      </c>
      <c r="F280" s="11" t="str">
        <f ca="1">IFERROR(__xludf.dummyfunction("""COMPUTED_VALUE"""),"(62) 99623444")</f>
        <v>(62) 99623444</v>
      </c>
      <c r="G280" s="11" t="str">
        <f ca="1">IFERROR(__xludf.dummyfunction("""COMPUTED_VALUE"""),"(62) 981285113")</f>
        <v>(62) 981285113</v>
      </c>
      <c r="H280" s="11" t="str">
        <f ca="1">IFERROR(__xludf.dummyfunction("""COMPUTED_VALUE"""),"SUPERIOR")</f>
        <v>SUPERIOR</v>
      </c>
      <c r="I280" s="10" t="str">
        <f ca="1">IFERROR(__xludf.dummyfunction("""COMPUTED_VALUE"""),"DIREITO")</f>
        <v>DIREITO</v>
      </c>
      <c r="J280" s="10" t="str">
        <f ca="1">IFERROR(__xludf.dummyfunction("""COMPUTED_VALUE"""),"NOITE")</f>
        <v>NOITE</v>
      </c>
      <c r="K280" s="10" t="str">
        <f ca="1">IFERROR(__xludf.dummyfunction("""COMPUTED_VALUE"""),"TARDE")</f>
        <v>TARDE</v>
      </c>
      <c r="L280" s="10" t="str">
        <f ca="1">IFERROR(__xludf.dummyfunction("""COMPUTED_VALUE"""),"GOIÂNIA - GO")</f>
        <v>GOIÂNIA - GO</v>
      </c>
      <c r="M280" s="10">
        <f ca="1">IFERROR(__xludf.dummyfunction("""COMPUTED_VALUE"""),8)</f>
        <v>8</v>
      </c>
      <c r="N280" s="10" t="str">
        <f ca="1">IFERROR(__xludf.dummyfunction("""COMPUTED_VALUE"""),"DISPONÍVEL")</f>
        <v>DISPONÍVEL</v>
      </c>
      <c r="O280" s="12"/>
      <c r="P280" s="11"/>
      <c r="Q280" s="11"/>
      <c r="R280" s="11"/>
    </row>
    <row r="281" spans="1:18">
      <c r="A281" s="10">
        <f ca="1">IFERROR(__xludf.dummyfunction("""COMPUTED_VALUE"""),90)</f>
        <v>90</v>
      </c>
      <c r="B281" s="11" t="str">
        <f ca="1">IFERROR(__xludf.dummyfunction("""COMPUTED_VALUE"""),"ANA CLARA ESTEVÃO QUEIROZ TEIXEIRA")</f>
        <v>ANA CLARA ESTEVÃO QUEIROZ TEIXEIRA</v>
      </c>
      <c r="C281" s="11"/>
      <c r="D281" s="11" t="str">
        <f ca="1">IFERROR(__xludf.dummyfunction("""COMPUTED_VALUE"""),"03050593199")</f>
        <v>03050593199</v>
      </c>
      <c r="E281" s="11" t="str">
        <f ca="1">IFERROR(__xludf.dummyfunction("""COMPUTED_VALUE"""),"ANACLARAQUEIROZ@ICLOUD.COM")</f>
        <v>ANACLARAQUEIROZ@ICLOUD.COM</v>
      </c>
      <c r="F281" s="11" t="str">
        <f ca="1">IFERROR(__xludf.dummyfunction("""COMPUTED_VALUE"""),"(63) 92257427")</f>
        <v>(63) 92257427</v>
      </c>
      <c r="G281" s="11" t="str">
        <f ca="1">IFERROR(__xludf.dummyfunction("""COMPUTED_VALUE"""),"(62) 993983137")</f>
        <v>(62) 993983137</v>
      </c>
      <c r="H281" s="11" t="str">
        <f ca="1">IFERROR(__xludf.dummyfunction("""COMPUTED_VALUE"""),"SUPERIOR")</f>
        <v>SUPERIOR</v>
      </c>
      <c r="I281" s="10" t="str">
        <f ca="1">IFERROR(__xludf.dummyfunction("""COMPUTED_VALUE"""),"DIREITO")</f>
        <v>DIREITO</v>
      </c>
      <c r="J281" s="10" t="str">
        <f ca="1">IFERROR(__xludf.dummyfunction("""COMPUTED_VALUE"""),"MANHÃ")</f>
        <v>MANHÃ</v>
      </c>
      <c r="K281" s="10" t="str">
        <f ca="1">IFERROR(__xludf.dummyfunction("""COMPUTED_VALUE"""),"TARDE")</f>
        <v>TARDE</v>
      </c>
      <c r="L281" s="10" t="str">
        <f ca="1">IFERROR(__xludf.dummyfunction("""COMPUTED_VALUE"""),"GOIÂNIA - GO")</f>
        <v>GOIÂNIA - GO</v>
      </c>
      <c r="M281" s="10">
        <f ca="1">IFERROR(__xludf.dummyfunction("""COMPUTED_VALUE"""),6)</f>
        <v>6</v>
      </c>
      <c r="N281" s="10" t="str">
        <f ca="1">IFERROR(__xludf.dummyfunction("""COMPUTED_VALUE"""),"DISPONÍVEL")</f>
        <v>DISPONÍVEL</v>
      </c>
      <c r="O281" s="12"/>
      <c r="P281" s="11"/>
      <c r="Q281" s="11"/>
      <c r="R281" s="11"/>
    </row>
    <row r="282" spans="1:18">
      <c r="A282" s="10">
        <f ca="1">IFERROR(__xludf.dummyfunction("""COMPUTED_VALUE"""),91)</f>
        <v>91</v>
      </c>
      <c r="B282" s="11" t="str">
        <f ca="1">IFERROR(__xludf.dummyfunction("""COMPUTED_VALUE"""),"ELÍRIS DE OLIVEIRA CAMARGO")</f>
        <v>ELÍRIS DE OLIVEIRA CAMARGO</v>
      </c>
      <c r="C282" s="11"/>
      <c r="D282" s="11" t="str">
        <f ca="1">IFERROR(__xludf.dummyfunction("""COMPUTED_VALUE"""),"06477084180")</f>
        <v>06477084180</v>
      </c>
      <c r="E282" s="11" t="str">
        <f ca="1">IFERROR(__xludf.dummyfunction("""COMPUTED_VALUE"""),"ELIRIS_OLIVEIRACAMARGO@OUTLOOK.COM")</f>
        <v>ELIRIS_OLIVEIRACAMARGO@OUTLOOK.COM</v>
      </c>
      <c r="F282" s="11"/>
      <c r="G282" s="11" t="str">
        <f ca="1">IFERROR(__xludf.dummyfunction("""COMPUTED_VALUE"""),"(66) 984363403")</f>
        <v>(66) 984363403</v>
      </c>
      <c r="H282" s="11" t="str">
        <f ca="1">IFERROR(__xludf.dummyfunction("""COMPUTED_VALUE"""),"SUPERIOR")</f>
        <v>SUPERIOR</v>
      </c>
      <c r="I282" s="10" t="str">
        <f ca="1">IFERROR(__xludf.dummyfunction("""COMPUTED_VALUE"""),"DIREITO")</f>
        <v>DIREITO</v>
      </c>
      <c r="J282" s="10" t="str">
        <f ca="1">IFERROR(__xludf.dummyfunction("""COMPUTED_VALUE"""),"MANHÃ")</f>
        <v>MANHÃ</v>
      </c>
      <c r="K282" s="10" t="str">
        <f ca="1">IFERROR(__xludf.dummyfunction("""COMPUTED_VALUE"""),"TARDE")</f>
        <v>TARDE</v>
      </c>
      <c r="L282" s="10" t="str">
        <f ca="1">IFERROR(__xludf.dummyfunction("""COMPUTED_VALUE"""),"GOIÂNIA - GO")</f>
        <v>GOIÂNIA - GO</v>
      </c>
      <c r="M282" s="10">
        <f ca="1">IFERROR(__xludf.dummyfunction("""COMPUTED_VALUE"""),5)</f>
        <v>5</v>
      </c>
      <c r="N282" s="10" t="str">
        <f ca="1">IFERROR(__xludf.dummyfunction("""COMPUTED_VALUE"""),"DISPONÍVEL")</f>
        <v>DISPONÍVEL</v>
      </c>
      <c r="O282" s="12"/>
      <c r="P282" s="11"/>
      <c r="Q282" s="11"/>
      <c r="R282" s="11"/>
    </row>
    <row r="283" spans="1:18">
      <c r="A283" s="10">
        <f ca="1">IFERROR(__xludf.dummyfunction("""COMPUTED_VALUE"""),92)</f>
        <v>92</v>
      </c>
      <c r="B283" s="11" t="str">
        <f ca="1">IFERROR(__xludf.dummyfunction("""COMPUTED_VALUE"""),"CAMILA DOS ANJOS DE FARIA")</f>
        <v>CAMILA DOS ANJOS DE FARIA</v>
      </c>
      <c r="C283" s="11"/>
      <c r="D283" s="11" t="str">
        <f ca="1">IFERROR(__xludf.dummyfunction("""COMPUTED_VALUE"""),"01989053190")</f>
        <v>01989053190</v>
      </c>
      <c r="E283" s="11" t="str">
        <f ca="1">IFERROR(__xludf.dummyfunction("""COMPUTED_VALUE"""),"CAMILADOSANJOSDEFARIA@GMAIL.COM")</f>
        <v>CAMILADOSANJOSDEFARIA@GMAIL.COM</v>
      </c>
      <c r="F283" s="11" t="str">
        <f ca="1">IFERROR(__xludf.dummyfunction("""COMPUTED_VALUE"""),"(62) 91522836")</f>
        <v>(62) 91522836</v>
      </c>
      <c r="G283" s="11" t="str">
        <f ca="1">IFERROR(__xludf.dummyfunction("""COMPUTED_VALUE"""),"(62) 991522836")</f>
        <v>(62) 991522836</v>
      </c>
      <c r="H283" s="11" t="str">
        <f ca="1">IFERROR(__xludf.dummyfunction("""COMPUTED_VALUE"""),"SUPERIOR")</f>
        <v>SUPERIOR</v>
      </c>
      <c r="I283" s="10" t="str">
        <f ca="1">IFERROR(__xludf.dummyfunction("""COMPUTED_VALUE"""),"DIREITO")</f>
        <v>DIREITO</v>
      </c>
      <c r="J283" s="10" t="str">
        <f ca="1">IFERROR(__xludf.dummyfunction("""COMPUTED_VALUE"""),"MANHÃ")</f>
        <v>MANHÃ</v>
      </c>
      <c r="K283" s="10" t="str">
        <f ca="1">IFERROR(__xludf.dummyfunction("""COMPUTED_VALUE"""),"TARDE")</f>
        <v>TARDE</v>
      </c>
      <c r="L283" s="10" t="str">
        <f ca="1">IFERROR(__xludf.dummyfunction("""COMPUTED_VALUE"""),"GOIÂNIA - GO")</f>
        <v>GOIÂNIA - GO</v>
      </c>
      <c r="M283" s="10">
        <f ca="1">IFERROR(__xludf.dummyfunction("""COMPUTED_VALUE"""),6)</f>
        <v>6</v>
      </c>
      <c r="N283" s="10" t="str">
        <f ca="1">IFERROR(__xludf.dummyfunction("""COMPUTED_VALUE"""),"DISPONÍVEL")</f>
        <v>DISPONÍVEL</v>
      </c>
      <c r="O283" s="12"/>
      <c r="P283" s="11"/>
      <c r="Q283" s="11"/>
      <c r="R283" s="11"/>
    </row>
    <row r="284" spans="1:18">
      <c r="A284" s="10">
        <f ca="1">IFERROR(__xludf.dummyfunction("""COMPUTED_VALUE"""),93)</f>
        <v>93</v>
      </c>
      <c r="B284" s="11" t="str">
        <f ca="1">IFERROR(__xludf.dummyfunction("""COMPUTED_VALUE"""),"ANA BEATRIZ MARTINS GARCEZ")</f>
        <v>ANA BEATRIZ MARTINS GARCEZ</v>
      </c>
      <c r="C284" s="11"/>
      <c r="D284" s="11" t="str">
        <f ca="1">IFERROR(__xludf.dummyfunction("""COMPUTED_VALUE"""),"01476032181")</f>
        <v>01476032181</v>
      </c>
      <c r="E284" s="11" t="str">
        <f ca="1">IFERROR(__xludf.dummyfunction("""COMPUTED_VALUE"""),"ANABEATRIZGARCEZ5@GMAIL.COM")</f>
        <v>ANABEATRIZGARCEZ5@GMAIL.COM</v>
      </c>
      <c r="F284" s="11"/>
      <c r="G284" s="11" t="str">
        <f ca="1">IFERROR(__xludf.dummyfunction("""COMPUTED_VALUE"""),"(62) 998649090")</f>
        <v>(62) 998649090</v>
      </c>
      <c r="H284" s="11" t="str">
        <f ca="1">IFERROR(__xludf.dummyfunction("""COMPUTED_VALUE"""),"SUPERIOR")</f>
        <v>SUPERIOR</v>
      </c>
      <c r="I284" s="10" t="str">
        <f ca="1">IFERROR(__xludf.dummyfunction("""COMPUTED_VALUE"""),"DIREITO")</f>
        <v>DIREITO</v>
      </c>
      <c r="J284" s="10" t="str">
        <f ca="1">IFERROR(__xludf.dummyfunction("""COMPUTED_VALUE"""),"MANHÃ")</f>
        <v>MANHÃ</v>
      </c>
      <c r="K284" s="10" t="str">
        <f ca="1">IFERROR(__xludf.dummyfunction("""COMPUTED_VALUE"""),"TARDE")</f>
        <v>TARDE</v>
      </c>
      <c r="L284" s="10" t="str">
        <f ca="1">IFERROR(__xludf.dummyfunction("""COMPUTED_VALUE"""),"GOIÂNIA - GO")</f>
        <v>GOIÂNIA - GO</v>
      </c>
      <c r="M284" s="10">
        <f ca="1">IFERROR(__xludf.dummyfunction("""COMPUTED_VALUE"""),5)</f>
        <v>5</v>
      </c>
      <c r="N284" s="10" t="str">
        <f ca="1">IFERROR(__xludf.dummyfunction("""COMPUTED_VALUE"""),"DISPONÍVEL")</f>
        <v>DISPONÍVEL</v>
      </c>
      <c r="O284" s="12"/>
      <c r="P284" s="11"/>
      <c r="Q284" s="11"/>
      <c r="R284" s="11"/>
    </row>
    <row r="285" spans="1:18">
      <c r="A285" s="10">
        <f ca="1">IFERROR(__xludf.dummyfunction("""COMPUTED_VALUE"""),94)</f>
        <v>94</v>
      </c>
      <c r="B285" s="11" t="str">
        <f ca="1">IFERROR(__xludf.dummyfunction("""COMPUTED_VALUE"""),"CHRISTIELY FERNANDES COUTINHO")</f>
        <v>CHRISTIELY FERNANDES COUTINHO</v>
      </c>
      <c r="C285" s="11" t="str">
        <f ca="1">IFERROR(__xludf.dummyfunction("""COMPUTED_VALUE"""),"5936401")</f>
        <v>5936401</v>
      </c>
      <c r="D285" s="11" t="str">
        <f ca="1">IFERROR(__xludf.dummyfunction("""COMPUTED_VALUE"""),"03299369130")</f>
        <v>03299369130</v>
      </c>
      <c r="E285" s="11" t="str">
        <f ca="1">IFERROR(__xludf.dummyfunction("""COMPUTED_VALUE"""),"CHRISTIELYCOUTINHO@GMAIL.COM")</f>
        <v>CHRISTIELYCOUTINHO@GMAIL.COM</v>
      </c>
      <c r="F285" s="11"/>
      <c r="G285" s="11" t="str">
        <f ca="1">IFERROR(__xludf.dummyfunction("""COMPUTED_VALUE"""),"(62) 985295984")</f>
        <v>(62) 985295984</v>
      </c>
      <c r="H285" s="11" t="str">
        <f ca="1">IFERROR(__xludf.dummyfunction("""COMPUTED_VALUE"""),"SUPERIOR")</f>
        <v>SUPERIOR</v>
      </c>
      <c r="I285" s="10" t="str">
        <f ca="1">IFERROR(__xludf.dummyfunction("""COMPUTED_VALUE"""),"DIREITO")</f>
        <v>DIREITO</v>
      </c>
      <c r="J285" s="10" t="str">
        <f ca="1">IFERROR(__xludf.dummyfunction("""COMPUTED_VALUE"""),"NOITE")</f>
        <v>NOITE</v>
      </c>
      <c r="K285" s="10" t="str">
        <f ca="1">IFERROR(__xludf.dummyfunction("""COMPUTED_VALUE"""),"TARDE")</f>
        <v>TARDE</v>
      </c>
      <c r="L285" s="10" t="str">
        <f ca="1">IFERROR(__xludf.dummyfunction("""COMPUTED_VALUE"""),"GOIÂNIA - GO")</f>
        <v>GOIÂNIA - GO</v>
      </c>
      <c r="M285" s="10">
        <f ca="1">IFERROR(__xludf.dummyfunction("""COMPUTED_VALUE"""),6)</f>
        <v>6</v>
      </c>
      <c r="N285" s="10" t="str">
        <f ca="1">IFERROR(__xludf.dummyfunction("""COMPUTED_VALUE"""),"DISPONÍVEL")</f>
        <v>DISPONÍVEL</v>
      </c>
      <c r="O285" s="12"/>
      <c r="P285" s="11"/>
      <c r="Q285" s="11"/>
      <c r="R285" s="11"/>
    </row>
    <row r="286" spans="1:18">
      <c r="A286" s="10">
        <f ca="1">IFERROR(__xludf.dummyfunction("""COMPUTED_VALUE"""),95)</f>
        <v>95</v>
      </c>
      <c r="B286" s="11" t="str">
        <f ca="1">IFERROR(__xludf.dummyfunction("""COMPUTED_VALUE"""),"MÔNICA LUANA LEANDRO DA SILVA")</f>
        <v>MÔNICA LUANA LEANDRO DA SILVA</v>
      </c>
      <c r="C286" s="11" t="str">
        <f ca="1">IFERROR(__xludf.dummyfunction("""COMPUTED_VALUE"""),"5680504")</f>
        <v>5680504</v>
      </c>
      <c r="D286" s="11" t="str">
        <f ca="1">IFERROR(__xludf.dummyfunction("""COMPUTED_VALUE"""),"06008641116")</f>
        <v>06008641116</v>
      </c>
      <c r="E286" s="11" t="str">
        <f ca="1">IFERROR(__xludf.dummyfunction("""COMPUTED_VALUE"""),"MONICALUANA56@GMAIL.COM")</f>
        <v>MONICALUANA56@GMAIL.COM</v>
      </c>
      <c r="F286" s="11"/>
      <c r="G286" s="11" t="str">
        <f ca="1">IFERROR(__xludf.dummyfunction("""COMPUTED_VALUE"""),"(62) 992369998")</f>
        <v>(62) 992369998</v>
      </c>
      <c r="H286" s="11" t="str">
        <f ca="1">IFERROR(__xludf.dummyfunction("""COMPUTED_VALUE"""),"SUPERIOR")</f>
        <v>SUPERIOR</v>
      </c>
      <c r="I286" s="10" t="str">
        <f ca="1">IFERROR(__xludf.dummyfunction("""COMPUTED_VALUE"""),"DIREITO")</f>
        <v>DIREITO</v>
      </c>
      <c r="J286" s="10" t="str">
        <f ca="1">IFERROR(__xludf.dummyfunction("""COMPUTED_VALUE"""),"NOITE")</f>
        <v>NOITE</v>
      </c>
      <c r="K286" s="10" t="str">
        <f ca="1">IFERROR(__xludf.dummyfunction("""COMPUTED_VALUE"""),"TARDE")</f>
        <v>TARDE</v>
      </c>
      <c r="L286" s="10" t="str">
        <f ca="1">IFERROR(__xludf.dummyfunction("""COMPUTED_VALUE"""),"GOIÂNIA - GO")</f>
        <v>GOIÂNIA - GO</v>
      </c>
      <c r="M286" s="10">
        <f ca="1">IFERROR(__xludf.dummyfunction("""COMPUTED_VALUE"""),6)</f>
        <v>6</v>
      </c>
      <c r="N286" s="10" t="str">
        <f ca="1">IFERROR(__xludf.dummyfunction("""COMPUTED_VALUE"""),"DISPONÍVEL")</f>
        <v>DISPONÍVEL</v>
      </c>
      <c r="O286" s="12"/>
      <c r="P286" s="11"/>
      <c r="Q286" s="11"/>
      <c r="R286" s="11"/>
    </row>
    <row r="287" spans="1:18">
      <c r="A287" s="10">
        <f ca="1">IFERROR(__xludf.dummyfunction("""COMPUTED_VALUE"""),96)</f>
        <v>96</v>
      </c>
      <c r="B287" s="11" t="str">
        <f ca="1">IFERROR(__xludf.dummyfunction("""COMPUTED_VALUE"""),"SABRINA DAMACENA PIRES SOARES")</f>
        <v>SABRINA DAMACENA PIRES SOARES</v>
      </c>
      <c r="C287" s="11" t="str">
        <f ca="1">IFERROR(__xludf.dummyfunction("""COMPUTED_VALUE"""),"6063043")</f>
        <v>6063043</v>
      </c>
      <c r="D287" s="11" t="str">
        <f ca="1">IFERROR(__xludf.dummyfunction("""COMPUTED_VALUE"""),"70162860102")</f>
        <v>70162860102</v>
      </c>
      <c r="E287" s="11" t="str">
        <f ca="1">IFERROR(__xludf.dummyfunction("""COMPUTED_VALUE"""),"SABRINADAMACENA_@HOTMAIL.COM")</f>
        <v>SABRINADAMACENA_@HOTMAIL.COM</v>
      </c>
      <c r="F287" s="11" t="str">
        <f ca="1">IFERROR(__xludf.dummyfunction("""COMPUTED_VALUE"""),"(62) 81898085")</f>
        <v>(62) 81898085</v>
      </c>
      <c r="G287" s="11" t="str">
        <f ca="1">IFERROR(__xludf.dummyfunction("""COMPUTED_VALUE"""),"(62) 995503702")</f>
        <v>(62) 995503702</v>
      </c>
      <c r="H287" s="11" t="str">
        <f ca="1">IFERROR(__xludf.dummyfunction("""COMPUTED_VALUE"""),"SUPERIOR")</f>
        <v>SUPERIOR</v>
      </c>
      <c r="I287" s="10" t="str">
        <f ca="1">IFERROR(__xludf.dummyfunction("""COMPUTED_VALUE"""),"DIREITO")</f>
        <v>DIREITO</v>
      </c>
      <c r="J287" s="10" t="str">
        <f ca="1">IFERROR(__xludf.dummyfunction("""COMPUTED_VALUE"""),"TARDE")</f>
        <v>TARDE</v>
      </c>
      <c r="K287" s="10" t="str">
        <f ca="1">IFERROR(__xludf.dummyfunction("""COMPUTED_VALUE"""),"TARDE")</f>
        <v>TARDE</v>
      </c>
      <c r="L287" s="10" t="str">
        <f ca="1">IFERROR(__xludf.dummyfunction("""COMPUTED_VALUE"""),"GOIÂNIA - GO")</f>
        <v>GOIÂNIA - GO</v>
      </c>
      <c r="M287" s="10">
        <f ca="1">IFERROR(__xludf.dummyfunction("""COMPUTED_VALUE"""),5)</f>
        <v>5</v>
      </c>
      <c r="N287" s="10" t="str">
        <f ca="1">IFERROR(__xludf.dummyfunction("""COMPUTED_VALUE"""),"DISPONÍVEL")</f>
        <v>DISPONÍVEL</v>
      </c>
      <c r="O287" s="12"/>
      <c r="P287" s="11"/>
      <c r="Q287" s="11"/>
      <c r="R287" s="11"/>
    </row>
    <row r="288" spans="1:18">
      <c r="A288" s="10">
        <f ca="1">IFERROR(__xludf.dummyfunction("""COMPUTED_VALUE"""),97)</f>
        <v>97</v>
      </c>
      <c r="B288" s="11" t="str">
        <f ca="1">IFERROR(__xludf.dummyfunction("""COMPUTED_VALUE"""),"JULIA SOUSA CAMPOS DA SILVEIRA SANTOS")</f>
        <v>JULIA SOUSA CAMPOS DA SILVEIRA SANTOS</v>
      </c>
      <c r="C288" s="11" t="str">
        <f ca="1">IFERROR(__xludf.dummyfunction("""COMPUTED_VALUE"""),"6956637")</f>
        <v>6956637</v>
      </c>
      <c r="D288" s="11" t="str">
        <f ca="1">IFERROR(__xludf.dummyfunction("""COMPUTED_VALUE"""),"06801449192")</f>
        <v>06801449192</v>
      </c>
      <c r="E288" s="11" t="str">
        <f ca="1">IFERROR(__xludf.dummyfunction("""COMPUTED_VALUE"""),"JULIASOUSACAMPOS39@GMAIL.COM")</f>
        <v>JULIASOUSACAMPOS39@GMAIL.COM</v>
      </c>
      <c r="F288" s="11" t="str">
        <f ca="1">IFERROR(__xludf.dummyfunction("""COMPUTED_VALUE"""),"(62) 35427114")</f>
        <v>(62) 35427114</v>
      </c>
      <c r="G288" s="11" t="str">
        <f ca="1">IFERROR(__xludf.dummyfunction("""COMPUTED_VALUE"""),"(62) 994948032")</f>
        <v>(62) 994948032</v>
      </c>
      <c r="H288" s="11" t="str">
        <f ca="1">IFERROR(__xludf.dummyfunction("""COMPUTED_VALUE"""),"SUPERIOR")</f>
        <v>SUPERIOR</v>
      </c>
      <c r="I288" s="10" t="str">
        <f ca="1">IFERROR(__xludf.dummyfunction("""COMPUTED_VALUE"""),"DIREITO")</f>
        <v>DIREITO</v>
      </c>
      <c r="J288" s="10" t="str">
        <f ca="1">IFERROR(__xludf.dummyfunction("""COMPUTED_VALUE"""),"NOITE")</f>
        <v>NOITE</v>
      </c>
      <c r="K288" s="10" t="str">
        <f ca="1">IFERROR(__xludf.dummyfunction("""COMPUTED_VALUE"""),"TARDE")</f>
        <v>TARDE</v>
      </c>
      <c r="L288" s="10" t="str">
        <f ca="1">IFERROR(__xludf.dummyfunction("""COMPUTED_VALUE"""),"GOIÂNIA - GO")</f>
        <v>GOIÂNIA - GO</v>
      </c>
      <c r="M288" s="10">
        <f ca="1">IFERROR(__xludf.dummyfunction("""COMPUTED_VALUE"""),8)</f>
        <v>8</v>
      </c>
      <c r="N288" s="10" t="str">
        <f ca="1">IFERROR(__xludf.dummyfunction("""COMPUTED_VALUE"""),"DISPONÍVEL")</f>
        <v>DISPONÍVEL</v>
      </c>
      <c r="O288" s="12">
        <f ca="1">IFERROR(__xludf.dummyfunction("""COMPUTED_VALUE"""),45324)</f>
        <v>45324</v>
      </c>
      <c r="P288" s="11"/>
      <c r="Q288" s="11"/>
      <c r="R288" s="11"/>
    </row>
    <row r="289" spans="1:18">
      <c r="A289" s="10">
        <f ca="1">IFERROR(__xludf.dummyfunction("""COMPUTED_VALUE"""),98)</f>
        <v>98</v>
      </c>
      <c r="B289" s="11" t="str">
        <f ca="1">IFERROR(__xludf.dummyfunction("""COMPUTED_VALUE"""),"CHRISTIANE CINTRA BITTENCOURT")</f>
        <v>CHRISTIANE CINTRA BITTENCOURT</v>
      </c>
      <c r="C289" s="11" t="str">
        <f ca="1">IFERROR(__xludf.dummyfunction("""COMPUTED_VALUE"""),"2146062")</f>
        <v>2146062</v>
      </c>
      <c r="D289" s="11" t="str">
        <f ca="1">IFERROR(__xludf.dummyfunction("""COMPUTED_VALUE"""),"78108551153")</f>
        <v>78108551153</v>
      </c>
      <c r="E289" s="11" t="str">
        <f ca="1">IFERROR(__xludf.dummyfunction("""COMPUTED_VALUE"""),"LORENZZABITTENCOURT@GMAIL.COM")</f>
        <v>LORENZZABITTENCOURT@GMAIL.COM</v>
      </c>
      <c r="F289" s="11" t="str">
        <f ca="1">IFERROR(__xludf.dummyfunction("""COMPUTED_VALUE"""),"(62) 32252347")</f>
        <v>(62) 32252347</v>
      </c>
      <c r="G289" s="11" t="str">
        <f ca="1">IFERROR(__xludf.dummyfunction("""COMPUTED_VALUE"""),"(62) 981470080")</f>
        <v>(62) 981470080</v>
      </c>
      <c r="H289" s="11" t="str">
        <f ca="1">IFERROR(__xludf.dummyfunction("""COMPUTED_VALUE"""),"SUPERIOR")</f>
        <v>SUPERIOR</v>
      </c>
      <c r="I289" s="10" t="str">
        <f ca="1">IFERROR(__xludf.dummyfunction("""COMPUTED_VALUE"""),"DIREITO")</f>
        <v>DIREITO</v>
      </c>
      <c r="J289" s="10" t="str">
        <f ca="1">IFERROR(__xludf.dummyfunction("""COMPUTED_VALUE"""),"NOITE")</f>
        <v>NOITE</v>
      </c>
      <c r="K289" s="10" t="str">
        <f ca="1">IFERROR(__xludf.dummyfunction("""COMPUTED_VALUE"""),"TARDE")</f>
        <v>TARDE</v>
      </c>
      <c r="L289" s="10" t="str">
        <f ca="1">IFERROR(__xludf.dummyfunction("""COMPUTED_VALUE"""),"GOIÂNIA - GO")</f>
        <v>GOIÂNIA - GO</v>
      </c>
      <c r="M289" s="10">
        <f ca="1">IFERROR(__xludf.dummyfunction("""COMPUTED_VALUE"""),5)</f>
        <v>5</v>
      </c>
      <c r="N289" s="10" t="str">
        <f ca="1">IFERROR(__xludf.dummyfunction("""COMPUTED_VALUE"""),"DISPONÍVEL")</f>
        <v>DISPONÍVEL</v>
      </c>
      <c r="O289" s="12"/>
      <c r="P289" s="11"/>
      <c r="Q289" s="11"/>
      <c r="R289" s="11"/>
    </row>
    <row r="290" spans="1:18">
      <c r="A290" s="10">
        <f ca="1">IFERROR(__xludf.dummyfunction("""COMPUTED_VALUE"""),99)</f>
        <v>99</v>
      </c>
      <c r="B290" s="11" t="str">
        <f ca="1">IFERROR(__xludf.dummyfunction("""COMPUTED_VALUE"""),"YAN ALCÂNTARA RIBEIRO")</f>
        <v>YAN ALCÂNTARA RIBEIRO</v>
      </c>
      <c r="C290" s="11" t="str">
        <f ca="1">IFERROR(__xludf.dummyfunction("""COMPUTED_VALUE"""),"7165807")</f>
        <v>7165807</v>
      </c>
      <c r="D290" s="11" t="str">
        <f ca="1">IFERROR(__xludf.dummyfunction("""COMPUTED_VALUE"""),"71199237140")</f>
        <v>71199237140</v>
      </c>
      <c r="E290" s="11" t="str">
        <f ca="1">IFERROR(__xludf.dummyfunction("""COMPUTED_VALUE"""),"YANALCANTARARIBEIRO03@GMAIL.COM")</f>
        <v>YANALCANTARARIBEIRO03@GMAIL.COM</v>
      </c>
      <c r="F290" s="11"/>
      <c r="G290" s="11" t="str">
        <f ca="1">IFERROR(__xludf.dummyfunction("""COMPUTED_VALUE"""),"(62) 986438895")</f>
        <v>(62) 986438895</v>
      </c>
      <c r="H290" s="11" t="str">
        <f ca="1">IFERROR(__xludf.dummyfunction("""COMPUTED_VALUE"""),"SUPERIOR")</f>
        <v>SUPERIOR</v>
      </c>
      <c r="I290" s="10" t="str">
        <f ca="1">IFERROR(__xludf.dummyfunction("""COMPUTED_VALUE"""),"DIREITO")</f>
        <v>DIREITO</v>
      </c>
      <c r="J290" s="10" t="str">
        <f ca="1">IFERROR(__xludf.dummyfunction("""COMPUTED_VALUE"""),"NOITE")</f>
        <v>NOITE</v>
      </c>
      <c r="K290" s="10" t="str">
        <f ca="1">IFERROR(__xludf.dummyfunction("""COMPUTED_VALUE"""),"TARDE")</f>
        <v>TARDE</v>
      </c>
      <c r="L290" s="10" t="str">
        <f ca="1">IFERROR(__xludf.dummyfunction("""COMPUTED_VALUE"""),"GOIÂNIA - GO")</f>
        <v>GOIÂNIA - GO</v>
      </c>
      <c r="M290" s="10">
        <f ca="1">IFERROR(__xludf.dummyfunction("""COMPUTED_VALUE"""),5)</f>
        <v>5</v>
      </c>
      <c r="N290" s="10" t="str">
        <f ca="1">IFERROR(__xludf.dummyfunction("""COMPUTED_VALUE"""),"DISPONÍVEL")</f>
        <v>DISPONÍVEL</v>
      </c>
      <c r="O290" s="12"/>
      <c r="P290" s="11"/>
      <c r="Q290" s="11"/>
      <c r="R290" s="11"/>
    </row>
    <row r="291" spans="1:18">
      <c r="A291" s="10">
        <f ca="1">IFERROR(__xludf.dummyfunction("""COMPUTED_VALUE"""),100)</f>
        <v>100</v>
      </c>
      <c r="B291" s="11" t="str">
        <f ca="1">IFERROR(__xludf.dummyfunction("""COMPUTED_VALUE"""),"LUANNA ALVES DE OLIVEIRA")</f>
        <v>LUANNA ALVES DE OLIVEIRA</v>
      </c>
      <c r="C291" s="11" t="str">
        <f ca="1">IFERROR(__xludf.dummyfunction("""COMPUTED_VALUE"""),"1288220")</f>
        <v>1288220</v>
      </c>
      <c r="D291" s="11" t="str">
        <f ca="1">IFERROR(__xludf.dummyfunction("""COMPUTED_VALUE"""),"70486878198")</f>
        <v>70486878198</v>
      </c>
      <c r="E291" s="11" t="str">
        <f ca="1">IFERROR(__xludf.dummyfunction("""COMPUTED_VALUE"""),"LUANNADEOLIVEIRA72@OUTLOOK.COM")</f>
        <v>LUANNADEOLIVEIRA72@OUTLOOK.COM</v>
      </c>
      <c r="F291" s="11"/>
      <c r="G291" s="11" t="str">
        <f ca="1">IFERROR(__xludf.dummyfunction("""COMPUTED_VALUE"""),"(62) 994660836")</f>
        <v>(62) 994660836</v>
      </c>
      <c r="H291" s="11" t="str">
        <f ca="1">IFERROR(__xludf.dummyfunction("""COMPUTED_VALUE"""),"SUPERIOR")</f>
        <v>SUPERIOR</v>
      </c>
      <c r="I291" s="10" t="str">
        <f ca="1">IFERROR(__xludf.dummyfunction("""COMPUTED_VALUE"""),"DIREITO")</f>
        <v>DIREITO</v>
      </c>
      <c r="J291" s="10" t="str">
        <f ca="1">IFERROR(__xludf.dummyfunction("""COMPUTED_VALUE"""),"NOITE")</f>
        <v>NOITE</v>
      </c>
      <c r="K291" s="10" t="str">
        <f ca="1">IFERROR(__xludf.dummyfunction("""COMPUTED_VALUE"""),"TARDE")</f>
        <v>TARDE</v>
      </c>
      <c r="L291" s="10" t="str">
        <f ca="1">IFERROR(__xludf.dummyfunction("""COMPUTED_VALUE"""),"GOIÂNIA - GO")</f>
        <v>GOIÂNIA - GO</v>
      </c>
      <c r="M291" s="10">
        <f ca="1">IFERROR(__xludf.dummyfunction("""COMPUTED_VALUE"""),6)</f>
        <v>6</v>
      </c>
      <c r="N291" s="10" t="str">
        <f ca="1">IFERROR(__xludf.dummyfunction("""COMPUTED_VALUE"""),"DISPONÍVEL")</f>
        <v>DISPONÍVEL</v>
      </c>
      <c r="O291" s="12"/>
      <c r="P291" s="11"/>
      <c r="Q291" s="11"/>
      <c r="R291" s="11"/>
    </row>
    <row r="292" spans="1:18">
      <c r="A292" s="10">
        <f ca="1">IFERROR(__xludf.dummyfunction("""COMPUTED_VALUE"""),101)</f>
        <v>101</v>
      </c>
      <c r="B292" s="11" t="str">
        <f ca="1">IFERROR(__xludf.dummyfunction("""COMPUTED_VALUE"""),"ISABELLA BÁRBARA ALVES GOME")</f>
        <v>ISABELLA BÁRBARA ALVES GOME</v>
      </c>
      <c r="C292" s="11"/>
      <c r="D292" s="11" t="str">
        <f ca="1">IFERROR(__xludf.dummyfunction("""COMPUTED_VALUE"""),"02266298135")</f>
        <v>02266298135</v>
      </c>
      <c r="E292" s="11" t="str">
        <f ca="1">IFERROR(__xludf.dummyfunction("""COMPUTED_VALUE"""),"ISABELLAGOMES162003@GMAIL.COM")</f>
        <v>ISABELLAGOMES162003@GMAIL.COM</v>
      </c>
      <c r="F292" s="11"/>
      <c r="G292" s="11" t="str">
        <f ca="1">IFERROR(__xludf.dummyfunction("""COMPUTED_VALUE"""),"(62) 995760948")</f>
        <v>(62) 995760948</v>
      </c>
      <c r="H292" s="11" t="str">
        <f ca="1">IFERROR(__xludf.dummyfunction("""COMPUTED_VALUE"""),"SUPERIOR")</f>
        <v>SUPERIOR</v>
      </c>
      <c r="I292" s="10" t="str">
        <f ca="1">IFERROR(__xludf.dummyfunction("""COMPUTED_VALUE"""),"DIREITO")</f>
        <v>DIREITO</v>
      </c>
      <c r="J292" s="10" t="str">
        <f ca="1">IFERROR(__xludf.dummyfunction("""COMPUTED_VALUE"""),"MANHÃ")</f>
        <v>MANHÃ</v>
      </c>
      <c r="K292" s="10" t="str">
        <f ca="1">IFERROR(__xludf.dummyfunction("""COMPUTED_VALUE"""),"TARDE")</f>
        <v>TARDE</v>
      </c>
      <c r="L292" s="10" t="str">
        <f ca="1">IFERROR(__xludf.dummyfunction("""COMPUTED_VALUE"""),"GOIÂNIA - GO")</f>
        <v>GOIÂNIA - GO</v>
      </c>
      <c r="M292" s="10">
        <f ca="1">IFERROR(__xludf.dummyfunction("""COMPUTED_VALUE"""),5)</f>
        <v>5</v>
      </c>
      <c r="N292" s="10" t="str">
        <f ca="1">IFERROR(__xludf.dummyfunction("""COMPUTED_VALUE"""),"DISPONÍVEL")</f>
        <v>DISPONÍVEL</v>
      </c>
      <c r="O292" s="12"/>
      <c r="P292" s="11"/>
      <c r="Q292" s="11"/>
      <c r="R292" s="11"/>
    </row>
    <row r="293" spans="1:18">
      <c r="A293" s="10">
        <f ca="1">IFERROR(__xludf.dummyfunction("""COMPUTED_VALUE"""),102)</f>
        <v>102</v>
      </c>
      <c r="B293" s="11" t="str">
        <f ca="1">IFERROR(__xludf.dummyfunction("""COMPUTED_VALUE"""),"LEANDRO EMANOEL MONTEIRO DA SILVA")</f>
        <v>LEANDRO EMANOEL MONTEIRO DA SILVA</v>
      </c>
      <c r="C293" s="11"/>
      <c r="D293" s="11" t="str">
        <f ca="1">IFERROR(__xludf.dummyfunction("""COMPUTED_VALUE"""),"70691156107")</f>
        <v>70691156107</v>
      </c>
      <c r="E293" s="11" t="str">
        <f ca="1">IFERROR(__xludf.dummyfunction("""COMPUTED_VALUE"""),"EMANOELMONTEIROSILVA38901@GMAIL.COM")</f>
        <v>EMANOELMONTEIROSILVA38901@GMAIL.COM</v>
      </c>
      <c r="F293" s="11" t="str">
        <f ca="1">IFERROR(__xludf.dummyfunction("""COMPUTED_VALUE"""),"(62) 99593027")</f>
        <v>(62) 99593027</v>
      </c>
      <c r="G293" s="11" t="str">
        <f ca="1">IFERROR(__xludf.dummyfunction("""COMPUTED_VALUE"""),"(62) 999181086")</f>
        <v>(62) 999181086</v>
      </c>
      <c r="H293" s="11" t="str">
        <f ca="1">IFERROR(__xludf.dummyfunction("""COMPUTED_VALUE"""),"SUPERIOR")</f>
        <v>SUPERIOR</v>
      </c>
      <c r="I293" s="10" t="str">
        <f ca="1">IFERROR(__xludf.dummyfunction("""COMPUTED_VALUE"""),"DIREITO")</f>
        <v>DIREITO</v>
      </c>
      <c r="J293" s="10" t="str">
        <f ca="1">IFERROR(__xludf.dummyfunction("""COMPUTED_VALUE"""),"MANHÃ")</f>
        <v>MANHÃ</v>
      </c>
      <c r="K293" s="10" t="str">
        <f ca="1">IFERROR(__xludf.dummyfunction("""COMPUTED_VALUE"""),"TARDE")</f>
        <v>TARDE</v>
      </c>
      <c r="L293" s="10" t="str">
        <f ca="1">IFERROR(__xludf.dummyfunction("""COMPUTED_VALUE"""),"GOIÂNIA - GO")</f>
        <v>GOIÂNIA - GO</v>
      </c>
      <c r="M293" s="10">
        <f ca="1">IFERROR(__xludf.dummyfunction("""COMPUTED_VALUE"""),8)</f>
        <v>8</v>
      </c>
      <c r="N293" s="10" t="str">
        <f ca="1">IFERROR(__xludf.dummyfunction("""COMPUTED_VALUE"""),"DISPONÍVEL")</f>
        <v>DISPONÍVEL</v>
      </c>
      <c r="O293" s="12"/>
      <c r="P293" s="11"/>
      <c r="Q293" s="11"/>
      <c r="R293" s="11"/>
    </row>
    <row r="294" spans="1:18">
      <c r="A294" s="10">
        <f ca="1">IFERROR(__xludf.dummyfunction("""COMPUTED_VALUE"""),103)</f>
        <v>103</v>
      </c>
      <c r="B294" s="11" t="str">
        <f ca="1">IFERROR(__xludf.dummyfunction("""COMPUTED_VALUE"""),"AMANDA CALIXTO ALVES")</f>
        <v>AMANDA CALIXTO ALVES</v>
      </c>
      <c r="C294" s="11" t="str">
        <f ca="1">IFERROR(__xludf.dummyfunction("""COMPUTED_VALUE"""),"5603586")</f>
        <v>5603586</v>
      </c>
      <c r="D294" s="11" t="str">
        <f ca="1">IFERROR(__xludf.dummyfunction("""COMPUTED_VALUE"""),"04060834106")</f>
        <v>04060834106</v>
      </c>
      <c r="E294" s="11" t="str">
        <f ca="1">IFERROR(__xludf.dummyfunction("""COMPUTED_VALUE"""),"AMANDACALIXTO4695@GMAIL.COM")</f>
        <v>AMANDACALIXTO4695@GMAIL.COM</v>
      </c>
      <c r="F294" s="11" t="str">
        <f ca="1">IFERROR(__xludf.dummyfunction("""COMPUTED_VALUE"""),"(62) 98121443")</f>
        <v>(62) 98121443</v>
      </c>
      <c r="G294" s="11" t="str">
        <f ca="1">IFERROR(__xludf.dummyfunction("""COMPUTED_VALUE"""),"(62) 981214439")</f>
        <v>(62) 981214439</v>
      </c>
      <c r="H294" s="11" t="str">
        <f ca="1">IFERROR(__xludf.dummyfunction("""COMPUTED_VALUE"""),"SUPERIOR")</f>
        <v>SUPERIOR</v>
      </c>
      <c r="I294" s="10" t="str">
        <f ca="1">IFERROR(__xludf.dummyfunction("""COMPUTED_VALUE"""),"DIREITO")</f>
        <v>DIREITO</v>
      </c>
      <c r="J294" s="10" t="str">
        <f ca="1">IFERROR(__xludf.dummyfunction("""COMPUTED_VALUE"""),"NOITE")</f>
        <v>NOITE</v>
      </c>
      <c r="K294" s="10" t="str">
        <f ca="1">IFERROR(__xludf.dummyfunction("""COMPUTED_VALUE"""),"TARDE")</f>
        <v>TARDE</v>
      </c>
      <c r="L294" s="10" t="str">
        <f ca="1">IFERROR(__xludf.dummyfunction("""COMPUTED_VALUE"""),"GOIÂNIA - GO")</f>
        <v>GOIÂNIA - GO</v>
      </c>
      <c r="M294" s="10">
        <f ca="1">IFERROR(__xludf.dummyfunction("""COMPUTED_VALUE"""),5)</f>
        <v>5</v>
      </c>
      <c r="N294" s="10" t="str">
        <f ca="1">IFERROR(__xludf.dummyfunction("""COMPUTED_VALUE"""),"CONTRATADO")</f>
        <v>CONTRATADO</v>
      </c>
      <c r="O294" s="12"/>
      <c r="P294" s="11"/>
      <c r="Q294" s="11"/>
      <c r="R294" s="11"/>
    </row>
    <row r="295" spans="1:18">
      <c r="A295" s="10">
        <f ca="1">IFERROR(__xludf.dummyfunction("""COMPUTED_VALUE"""),104)</f>
        <v>104</v>
      </c>
      <c r="B295" s="11" t="str">
        <f ca="1">IFERROR(__xludf.dummyfunction("""COMPUTED_VALUE"""),"RAFAELA PIRES DE SOUZA")</f>
        <v>RAFAELA PIRES DE SOUZA</v>
      </c>
      <c r="C295" s="11"/>
      <c r="D295" s="11" t="str">
        <f ca="1">IFERROR(__xludf.dummyfunction("""COMPUTED_VALUE"""),"03983612156")</f>
        <v>03983612156</v>
      </c>
      <c r="E295" s="11" t="str">
        <f ca="1">IFERROR(__xludf.dummyfunction("""COMPUTED_VALUE"""),"RAFAELAPIRES812@GMAIL.COM")</f>
        <v>RAFAELAPIRES812@GMAIL.COM</v>
      </c>
      <c r="F295" s="11"/>
      <c r="G295" s="11" t="str">
        <f ca="1">IFERROR(__xludf.dummyfunction("""COMPUTED_VALUE"""),"(62) 996356854")</f>
        <v>(62) 996356854</v>
      </c>
      <c r="H295" s="11" t="str">
        <f ca="1">IFERROR(__xludf.dummyfunction("""COMPUTED_VALUE"""),"SUPERIOR")</f>
        <v>SUPERIOR</v>
      </c>
      <c r="I295" s="10" t="str">
        <f ca="1">IFERROR(__xludf.dummyfunction("""COMPUTED_VALUE"""),"DIREITO")</f>
        <v>DIREITO</v>
      </c>
      <c r="J295" s="10" t="str">
        <f ca="1">IFERROR(__xludf.dummyfunction("""COMPUTED_VALUE"""),"NOITE")</f>
        <v>NOITE</v>
      </c>
      <c r="K295" s="10" t="str">
        <f ca="1">IFERROR(__xludf.dummyfunction("""COMPUTED_VALUE"""),"TARDE")</f>
        <v>TARDE</v>
      </c>
      <c r="L295" s="10" t="str">
        <f ca="1">IFERROR(__xludf.dummyfunction("""COMPUTED_VALUE"""),"GOIÂNIA - GO")</f>
        <v>GOIÂNIA - GO</v>
      </c>
      <c r="M295" s="10">
        <f ca="1">IFERROR(__xludf.dummyfunction("""COMPUTED_VALUE"""),6)</f>
        <v>6</v>
      </c>
      <c r="N295" s="10" t="str">
        <f ca="1">IFERROR(__xludf.dummyfunction("""COMPUTED_VALUE"""),"DISPONÍVEL")</f>
        <v>DISPONÍVEL</v>
      </c>
      <c r="O295" s="12"/>
      <c r="P295" s="11"/>
      <c r="Q295" s="11"/>
      <c r="R295" s="11"/>
    </row>
    <row r="296" spans="1:18">
      <c r="A296" s="10">
        <f ca="1">IFERROR(__xludf.dummyfunction("""COMPUTED_VALUE"""),105)</f>
        <v>105</v>
      </c>
      <c r="B296" s="11" t="str">
        <f ca="1">IFERROR(__xludf.dummyfunction("""COMPUTED_VALUE"""),"DANIELLY ALVES FERREIRA")</f>
        <v>DANIELLY ALVES FERREIRA</v>
      </c>
      <c r="C296" s="11" t="str">
        <f ca="1">IFERROR(__xludf.dummyfunction("""COMPUTED_VALUE"""),"6123055")</f>
        <v>6123055</v>
      </c>
      <c r="D296" s="11" t="str">
        <f ca="1">IFERROR(__xludf.dummyfunction("""COMPUTED_VALUE"""),"10405598599")</f>
        <v>10405598599</v>
      </c>
      <c r="E296" s="11" t="str">
        <f ca="1">IFERROR(__xludf.dummyfunction("""COMPUTED_VALUE"""),"FERREIRAALVES160@GMAIL.COM")</f>
        <v>FERREIRAALVES160@GMAIL.COM</v>
      </c>
      <c r="F296" s="11"/>
      <c r="G296" s="11" t="str">
        <f ca="1">IFERROR(__xludf.dummyfunction("""COMPUTED_VALUE"""),"(74) 988624806")</f>
        <v>(74) 988624806</v>
      </c>
      <c r="H296" s="11" t="str">
        <f ca="1">IFERROR(__xludf.dummyfunction("""COMPUTED_VALUE"""),"SUPERIOR")</f>
        <v>SUPERIOR</v>
      </c>
      <c r="I296" s="10" t="str">
        <f ca="1">IFERROR(__xludf.dummyfunction("""COMPUTED_VALUE"""),"DIREITO")</f>
        <v>DIREITO</v>
      </c>
      <c r="J296" s="10" t="str">
        <f ca="1">IFERROR(__xludf.dummyfunction("""COMPUTED_VALUE"""),"NOITE")</f>
        <v>NOITE</v>
      </c>
      <c r="K296" s="10" t="str">
        <f ca="1">IFERROR(__xludf.dummyfunction("""COMPUTED_VALUE"""),"TARDE")</f>
        <v>TARDE</v>
      </c>
      <c r="L296" s="10" t="str">
        <f ca="1">IFERROR(__xludf.dummyfunction("""COMPUTED_VALUE"""),"GOIÂNIA - GO")</f>
        <v>GOIÂNIA - GO</v>
      </c>
      <c r="M296" s="10">
        <f ca="1">IFERROR(__xludf.dummyfunction("""COMPUTED_VALUE"""),8)</f>
        <v>8</v>
      </c>
      <c r="N296" s="10" t="str">
        <f ca="1">IFERROR(__xludf.dummyfunction("""COMPUTED_VALUE"""),"DISPONÍVEL")</f>
        <v>DISPONÍVEL</v>
      </c>
      <c r="O296" s="12"/>
      <c r="P296" s="11"/>
      <c r="Q296" s="11"/>
      <c r="R296" s="11"/>
    </row>
    <row r="297" spans="1:18">
      <c r="A297" s="10">
        <f ca="1">IFERROR(__xludf.dummyfunction("""COMPUTED_VALUE"""),106)</f>
        <v>106</v>
      </c>
      <c r="B297" s="11" t="str">
        <f ca="1">IFERROR(__xludf.dummyfunction("""COMPUTED_VALUE"""),"YURI MARTINS BRANDÃO")</f>
        <v>YURI MARTINS BRANDÃO</v>
      </c>
      <c r="C297" s="11" t="str">
        <f ca="1">IFERROR(__xludf.dummyfunction("""COMPUTED_VALUE"""),"6182538")</f>
        <v>6182538</v>
      </c>
      <c r="D297" s="11" t="str">
        <f ca="1">IFERROR(__xludf.dummyfunction("""COMPUTED_VALUE"""),"70262647109")</f>
        <v>70262647109</v>
      </c>
      <c r="E297" s="11" t="str">
        <f ca="1">IFERROR(__xludf.dummyfunction("""COMPUTED_VALUE"""),"YURIMARTINSBRANDAO12@ICLOUD.COM")</f>
        <v>YURIMARTINSBRANDAO12@ICLOUD.COM</v>
      </c>
      <c r="F297" s="11" t="str">
        <f ca="1">IFERROR(__xludf.dummyfunction("""COMPUTED_VALUE"""),"(62) 30914065")</f>
        <v>(62) 30914065</v>
      </c>
      <c r="G297" s="11" t="str">
        <f ca="1">IFERROR(__xludf.dummyfunction("""COMPUTED_VALUE"""),"(62) 992743952")</f>
        <v>(62) 992743952</v>
      </c>
      <c r="H297" s="11" t="str">
        <f ca="1">IFERROR(__xludf.dummyfunction("""COMPUTED_VALUE"""),"SUPERIOR")</f>
        <v>SUPERIOR</v>
      </c>
      <c r="I297" s="10" t="str">
        <f ca="1">IFERROR(__xludf.dummyfunction("""COMPUTED_VALUE"""),"DIREITO")</f>
        <v>DIREITO</v>
      </c>
      <c r="J297" s="10" t="str">
        <f ca="1">IFERROR(__xludf.dummyfunction("""COMPUTED_VALUE"""),"MANHÃ")</f>
        <v>MANHÃ</v>
      </c>
      <c r="K297" s="10" t="str">
        <f ca="1">IFERROR(__xludf.dummyfunction("""COMPUTED_VALUE"""),"TARDE")</f>
        <v>TARDE</v>
      </c>
      <c r="L297" s="10" t="str">
        <f ca="1">IFERROR(__xludf.dummyfunction("""COMPUTED_VALUE"""),"GOIÂNIA - GO")</f>
        <v>GOIÂNIA - GO</v>
      </c>
      <c r="M297" s="10">
        <f ca="1">IFERROR(__xludf.dummyfunction("""COMPUTED_VALUE"""),5)</f>
        <v>5</v>
      </c>
      <c r="N297" s="10" t="str">
        <f ca="1">IFERROR(__xludf.dummyfunction("""COMPUTED_VALUE"""),"DISPONÍVEL")</f>
        <v>DISPONÍVEL</v>
      </c>
      <c r="O297" s="12"/>
      <c r="P297" s="11"/>
      <c r="Q297" s="11"/>
      <c r="R297" s="11"/>
    </row>
    <row r="298" spans="1:18">
      <c r="A298" s="10">
        <f ca="1">IFERROR(__xludf.dummyfunction("""COMPUTED_VALUE"""),107)</f>
        <v>107</v>
      </c>
      <c r="B298" s="11" t="str">
        <f ca="1">IFERROR(__xludf.dummyfunction("""COMPUTED_VALUE"""),"JANETE FRANÇA DE OLIVEIRA ROCHA")</f>
        <v>JANETE FRANÇA DE OLIVEIRA ROCHA</v>
      </c>
      <c r="C298" s="11" t="str">
        <f ca="1">IFERROR(__xludf.dummyfunction("""COMPUTED_VALUE"""),"4517116")</f>
        <v>4517116</v>
      </c>
      <c r="D298" s="11" t="str">
        <f ca="1">IFERROR(__xludf.dummyfunction("""COMPUTED_VALUE"""),"01483903150")</f>
        <v>01483903150</v>
      </c>
      <c r="E298" s="11" t="str">
        <f ca="1">IFERROR(__xludf.dummyfunction("""COMPUTED_VALUE"""),"FRANCAJANETEROCHA@GMAIL.COM")</f>
        <v>FRANCAJANETEROCHA@GMAIL.COM</v>
      </c>
      <c r="F298" s="11" t="str">
        <f ca="1">IFERROR(__xludf.dummyfunction("""COMPUTED_VALUE"""),"(62) 84054801")</f>
        <v>(62) 84054801</v>
      </c>
      <c r="G298" s="11" t="str">
        <f ca="1">IFERROR(__xludf.dummyfunction("""COMPUTED_VALUE"""),"(62) 984054801")</f>
        <v>(62) 984054801</v>
      </c>
      <c r="H298" s="11" t="str">
        <f ca="1">IFERROR(__xludf.dummyfunction("""COMPUTED_VALUE"""),"SUPERIOR")</f>
        <v>SUPERIOR</v>
      </c>
      <c r="I298" s="10" t="str">
        <f ca="1">IFERROR(__xludf.dummyfunction("""COMPUTED_VALUE"""),"DIREITO")</f>
        <v>DIREITO</v>
      </c>
      <c r="J298" s="10" t="str">
        <f ca="1">IFERROR(__xludf.dummyfunction("""COMPUTED_VALUE"""),"NOITE")</f>
        <v>NOITE</v>
      </c>
      <c r="K298" s="10" t="str">
        <f ca="1">IFERROR(__xludf.dummyfunction("""COMPUTED_VALUE"""),"TARDE")</f>
        <v>TARDE</v>
      </c>
      <c r="L298" s="10" t="str">
        <f ca="1">IFERROR(__xludf.dummyfunction("""COMPUTED_VALUE"""),"GOIÂNIA - GO")</f>
        <v>GOIÂNIA - GO</v>
      </c>
      <c r="M298" s="10">
        <f ca="1">IFERROR(__xludf.dummyfunction("""COMPUTED_VALUE"""),7)</f>
        <v>7</v>
      </c>
      <c r="N298" s="10" t="str">
        <f ca="1">IFERROR(__xludf.dummyfunction("""COMPUTED_VALUE"""),"DISPONÍVEL")</f>
        <v>DISPONÍVEL</v>
      </c>
      <c r="O298" s="12"/>
      <c r="P298" s="11"/>
      <c r="Q298" s="11"/>
      <c r="R298" s="11"/>
    </row>
    <row r="299" spans="1:18">
      <c r="A299" s="10">
        <f ca="1">IFERROR(__xludf.dummyfunction("""COMPUTED_VALUE"""),108)</f>
        <v>108</v>
      </c>
      <c r="B299" s="11" t="str">
        <f ca="1">IFERROR(__xludf.dummyfunction("""COMPUTED_VALUE"""),"JOSÉ CARLOS PIRES REZENDE FILHO")</f>
        <v>JOSÉ CARLOS PIRES REZENDE FILHO</v>
      </c>
      <c r="C299" s="11"/>
      <c r="D299" s="11" t="str">
        <f ca="1">IFERROR(__xludf.dummyfunction("""COMPUTED_VALUE"""),"07649230139")</f>
        <v>07649230139</v>
      </c>
      <c r="E299" s="11" t="str">
        <f ca="1">IFERROR(__xludf.dummyfunction("""COMPUTED_VALUE"""),"PIRESJ734@GMAIL.COM")</f>
        <v>PIRESJ734@GMAIL.COM</v>
      </c>
      <c r="F299" s="11"/>
      <c r="G299" s="11" t="str">
        <f ca="1">IFERROR(__xludf.dummyfunction("""COMPUTED_VALUE"""),"(64) 981776500")</f>
        <v>(64) 981776500</v>
      </c>
      <c r="H299" s="11" t="str">
        <f ca="1">IFERROR(__xludf.dummyfunction("""COMPUTED_VALUE"""),"SUPERIOR")</f>
        <v>SUPERIOR</v>
      </c>
      <c r="I299" s="10" t="str">
        <f ca="1">IFERROR(__xludf.dummyfunction("""COMPUTED_VALUE"""),"DIREITO")</f>
        <v>DIREITO</v>
      </c>
      <c r="J299" s="10" t="str">
        <f ca="1">IFERROR(__xludf.dummyfunction("""COMPUTED_VALUE"""),"MANHÃ")</f>
        <v>MANHÃ</v>
      </c>
      <c r="K299" s="10" t="str">
        <f ca="1">IFERROR(__xludf.dummyfunction("""COMPUTED_VALUE"""),"TARDE")</f>
        <v>TARDE</v>
      </c>
      <c r="L299" s="10" t="str">
        <f ca="1">IFERROR(__xludf.dummyfunction("""COMPUTED_VALUE"""),"GOIÂNIA - GO")</f>
        <v>GOIÂNIA - GO</v>
      </c>
      <c r="M299" s="10">
        <f ca="1">IFERROR(__xludf.dummyfunction("""COMPUTED_VALUE"""),5)</f>
        <v>5</v>
      </c>
      <c r="N299" s="10" t="str">
        <f ca="1">IFERROR(__xludf.dummyfunction("""COMPUTED_VALUE"""),"DISPONÍVEL")</f>
        <v>DISPONÍVEL</v>
      </c>
      <c r="O299" s="12"/>
      <c r="P299" s="11"/>
      <c r="Q299" s="11"/>
      <c r="R299" s="11"/>
    </row>
    <row r="300" spans="1:18">
      <c r="A300" s="10">
        <f ca="1">IFERROR(__xludf.dummyfunction("""COMPUTED_VALUE"""),109)</f>
        <v>109</v>
      </c>
      <c r="B300" s="11" t="str">
        <f ca="1">IFERROR(__xludf.dummyfunction("""COMPUTED_VALUE"""),"FELIPE DE FREITAS CARNEIRO RODRIGUES")</f>
        <v>FELIPE DE FREITAS CARNEIRO RODRIGUES</v>
      </c>
      <c r="C300" s="11" t="str">
        <f ca="1">IFERROR(__xludf.dummyfunction("""COMPUTED_VALUE"""),"5462026")</f>
        <v>5462026</v>
      </c>
      <c r="D300" s="11" t="str">
        <f ca="1">IFERROR(__xludf.dummyfunction("""COMPUTED_VALUE"""),"04828986154")</f>
        <v>04828986154</v>
      </c>
      <c r="E300" s="11" t="str">
        <f ca="1">IFERROR(__xludf.dummyfunction("""COMPUTED_VALUE"""),"FELIPEFC400@GMAIL.COM")</f>
        <v>FELIPEFC400@GMAIL.COM</v>
      </c>
      <c r="F300" s="11"/>
      <c r="G300" s="11" t="str">
        <f ca="1">IFERROR(__xludf.dummyfunction("""COMPUTED_VALUE"""),"(62) 982083035")</f>
        <v>(62) 982083035</v>
      </c>
      <c r="H300" s="11" t="str">
        <f ca="1">IFERROR(__xludf.dummyfunction("""COMPUTED_VALUE"""),"SUPERIOR")</f>
        <v>SUPERIOR</v>
      </c>
      <c r="I300" s="10" t="str">
        <f ca="1">IFERROR(__xludf.dummyfunction("""COMPUTED_VALUE"""),"DIREITO")</f>
        <v>DIREITO</v>
      </c>
      <c r="J300" s="10" t="str">
        <f ca="1">IFERROR(__xludf.dummyfunction("""COMPUTED_VALUE"""),"MANHÃ")</f>
        <v>MANHÃ</v>
      </c>
      <c r="K300" s="10" t="str">
        <f ca="1">IFERROR(__xludf.dummyfunction("""COMPUTED_VALUE"""),"TARDE")</f>
        <v>TARDE</v>
      </c>
      <c r="L300" s="10" t="str">
        <f ca="1">IFERROR(__xludf.dummyfunction("""COMPUTED_VALUE"""),"GOIÂNIA - GO")</f>
        <v>GOIÂNIA - GO</v>
      </c>
      <c r="M300" s="10">
        <f ca="1">IFERROR(__xludf.dummyfunction("""COMPUTED_VALUE"""),6)</f>
        <v>6</v>
      </c>
      <c r="N300" s="10" t="str">
        <f ca="1">IFERROR(__xludf.dummyfunction("""COMPUTED_VALUE"""),"DISPONÍVEL")</f>
        <v>DISPONÍVEL</v>
      </c>
      <c r="O300" s="12"/>
      <c r="P300" s="11"/>
      <c r="Q300" s="11"/>
      <c r="R300" s="11"/>
    </row>
    <row r="301" spans="1:18">
      <c r="A301" s="10">
        <f ca="1">IFERROR(__xludf.dummyfunction("""COMPUTED_VALUE"""),110)</f>
        <v>110</v>
      </c>
      <c r="B301" s="11" t="str">
        <f ca="1">IFERROR(__xludf.dummyfunction("""COMPUTED_VALUE"""),"LUÍZA VIDIGAL SILVA")</f>
        <v>LUÍZA VIDIGAL SILVA</v>
      </c>
      <c r="C301" s="11"/>
      <c r="D301" s="11" t="str">
        <f ca="1">IFERROR(__xludf.dummyfunction("""COMPUTED_VALUE"""),"05069754106")</f>
        <v>05069754106</v>
      </c>
      <c r="E301" s="11" t="str">
        <f ca="1">IFERROR(__xludf.dummyfunction("""COMPUTED_VALUE"""),"LUIZAVIDIGAL01@HOTMAIL.COM")</f>
        <v>LUIZAVIDIGAL01@HOTMAIL.COM</v>
      </c>
      <c r="F301" s="11"/>
      <c r="G301" s="11" t="str">
        <f ca="1">IFERROR(__xludf.dummyfunction("""COMPUTED_VALUE"""),"(62) 995553928")</f>
        <v>(62) 995553928</v>
      </c>
      <c r="H301" s="11" t="str">
        <f ca="1">IFERROR(__xludf.dummyfunction("""COMPUTED_VALUE"""),"SUPERIOR")</f>
        <v>SUPERIOR</v>
      </c>
      <c r="I301" s="10" t="str">
        <f ca="1">IFERROR(__xludf.dummyfunction("""COMPUTED_VALUE"""),"DIREITO")</f>
        <v>DIREITO</v>
      </c>
      <c r="J301" s="10" t="str">
        <f ca="1">IFERROR(__xludf.dummyfunction("""COMPUTED_VALUE"""),"MANHÃ")</f>
        <v>MANHÃ</v>
      </c>
      <c r="K301" s="10" t="str">
        <f ca="1">IFERROR(__xludf.dummyfunction("""COMPUTED_VALUE"""),"TARDE")</f>
        <v>TARDE</v>
      </c>
      <c r="L301" s="10" t="str">
        <f ca="1">IFERROR(__xludf.dummyfunction("""COMPUTED_VALUE"""),"GOIÂNIA - GO")</f>
        <v>GOIÂNIA - GO</v>
      </c>
      <c r="M301" s="10">
        <f ca="1">IFERROR(__xludf.dummyfunction("""COMPUTED_VALUE"""),6)</f>
        <v>6</v>
      </c>
      <c r="N301" s="10" t="str">
        <f ca="1">IFERROR(__xludf.dummyfunction("""COMPUTED_VALUE"""),"DISPONÍVEL")</f>
        <v>DISPONÍVEL</v>
      </c>
      <c r="O301" s="12"/>
      <c r="P301" s="11"/>
      <c r="Q301" s="11"/>
      <c r="R301" s="11"/>
    </row>
    <row r="302" spans="1:18">
      <c r="A302" s="10">
        <f ca="1">IFERROR(__xludf.dummyfunction("""COMPUTED_VALUE"""),111)</f>
        <v>111</v>
      </c>
      <c r="B302" s="11" t="str">
        <f ca="1">IFERROR(__xludf.dummyfunction("""COMPUTED_VALUE"""),"BRUNO ALVES GALDINO")</f>
        <v>BRUNO ALVES GALDINO</v>
      </c>
      <c r="C302" s="11" t="str">
        <f ca="1">IFERROR(__xludf.dummyfunction("""COMPUTED_VALUE"""),"26541408")</f>
        <v>26541408</v>
      </c>
      <c r="D302" s="11" t="str">
        <f ca="1">IFERROR(__xludf.dummyfunction("""COMPUTED_VALUE"""),"05730054190")</f>
        <v>05730054190</v>
      </c>
      <c r="E302" s="11" t="str">
        <f ca="1">IFERROR(__xludf.dummyfunction("""COMPUTED_VALUE"""),"BRUNO976XCVBCX@GMAIL.COM")</f>
        <v>BRUNO976XCVBCX@GMAIL.COM</v>
      </c>
      <c r="F302" s="11"/>
      <c r="G302" s="11" t="str">
        <f ca="1">IFERROR(__xludf.dummyfunction("""COMPUTED_VALUE"""),"(66) 984617120")</f>
        <v>(66) 984617120</v>
      </c>
      <c r="H302" s="11" t="str">
        <f ca="1">IFERROR(__xludf.dummyfunction("""COMPUTED_VALUE"""),"SUPERIOR")</f>
        <v>SUPERIOR</v>
      </c>
      <c r="I302" s="10" t="str">
        <f ca="1">IFERROR(__xludf.dummyfunction("""COMPUTED_VALUE"""),"DIREITO")</f>
        <v>DIREITO</v>
      </c>
      <c r="J302" s="10" t="str">
        <f ca="1">IFERROR(__xludf.dummyfunction("""COMPUTED_VALUE"""),"VARIÁVEL")</f>
        <v>VARIÁVEL</v>
      </c>
      <c r="K302" s="10" t="str">
        <f ca="1">IFERROR(__xludf.dummyfunction("""COMPUTED_VALUE"""),"TARDE")</f>
        <v>TARDE</v>
      </c>
      <c r="L302" s="10" t="str">
        <f ca="1">IFERROR(__xludf.dummyfunction("""COMPUTED_VALUE"""),"GOIÂNIA - GO")</f>
        <v>GOIÂNIA - GO</v>
      </c>
      <c r="M302" s="10">
        <f ca="1">IFERROR(__xludf.dummyfunction("""COMPUTED_VALUE"""),8)</f>
        <v>8</v>
      </c>
      <c r="N302" s="10" t="str">
        <f ca="1">IFERROR(__xludf.dummyfunction("""COMPUTED_VALUE"""),"DISPONÍVEL")</f>
        <v>DISPONÍVEL</v>
      </c>
      <c r="O302" s="12"/>
      <c r="P302" s="11"/>
      <c r="Q302" s="11"/>
      <c r="R302" s="11"/>
    </row>
    <row r="303" spans="1:18">
      <c r="A303" s="10">
        <f ca="1">IFERROR(__xludf.dummyfunction("""COMPUTED_VALUE"""),112)</f>
        <v>112</v>
      </c>
      <c r="B303" s="11" t="str">
        <f ca="1">IFERROR(__xludf.dummyfunction("""COMPUTED_VALUE"""),"ANNA BEATRIZ ALVES RIBAS")</f>
        <v>ANNA BEATRIZ ALVES RIBAS</v>
      </c>
      <c r="C303" s="11" t="str">
        <f ca="1">IFERROR(__xludf.dummyfunction("""COMPUTED_VALUE"""),"5975778")</f>
        <v>5975778</v>
      </c>
      <c r="D303" s="11" t="str">
        <f ca="1">IFERROR(__xludf.dummyfunction("""COMPUTED_VALUE"""),"70093663145")</f>
        <v>70093663145</v>
      </c>
      <c r="E303" s="11" t="str">
        <f ca="1">IFERROR(__xludf.dummyfunction("""COMPUTED_VALUE"""),"ANNABEATRIZARIBAS@GMAIL.COM")</f>
        <v>ANNABEATRIZARIBAS@GMAIL.COM</v>
      </c>
      <c r="F303" s="11"/>
      <c r="G303" s="11" t="str">
        <f ca="1">IFERROR(__xludf.dummyfunction("""COMPUTED_VALUE"""),"(62) 991204702")</f>
        <v>(62) 991204702</v>
      </c>
      <c r="H303" s="11" t="str">
        <f ca="1">IFERROR(__xludf.dummyfunction("""COMPUTED_VALUE"""),"SUPERIOR")</f>
        <v>SUPERIOR</v>
      </c>
      <c r="I303" s="10" t="str">
        <f ca="1">IFERROR(__xludf.dummyfunction("""COMPUTED_VALUE"""),"DIREITO")</f>
        <v>DIREITO</v>
      </c>
      <c r="J303" s="10" t="str">
        <f ca="1">IFERROR(__xludf.dummyfunction("""COMPUTED_VALUE"""),"NOITE")</f>
        <v>NOITE</v>
      </c>
      <c r="K303" s="10" t="str">
        <f ca="1">IFERROR(__xludf.dummyfunction("""COMPUTED_VALUE"""),"TARDE")</f>
        <v>TARDE</v>
      </c>
      <c r="L303" s="10" t="str">
        <f ca="1">IFERROR(__xludf.dummyfunction("""COMPUTED_VALUE"""),"GOIÂNIA - GO")</f>
        <v>GOIÂNIA - GO</v>
      </c>
      <c r="M303" s="10">
        <f ca="1">IFERROR(__xludf.dummyfunction("""COMPUTED_VALUE"""),7)</f>
        <v>7</v>
      </c>
      <c r="N303" s="10" t="str">
        <f ca="1">IFERROR(__xludf.dummyfunction("""COMPUTED_VALUE"""),"DISPONÍVEL")</f>
        <v>DISPONÍVEL</v>
      </c>
      <c r="O303" s="12"/>
      <c r="P303" s="11"/>
      <c r="Q303" s="11"/>
      <c r="R303" s="11"/>
    </row>
    <row r="304" spans="1:18">
      <c r="A304" s="10">
        <f ca="1">IFERROR(__xludf.dummyfunction("""COMPUTED_VALUE"""),113)</f>
        <v>113</v>
      </c>
      <c r="B304" s="11" t="str">
        <f ca="1">IFERROR(__xludf.dummyfunction("""COMPUTED_VALUE"""),"DANIELLE CRISTINA SILVA SOUSA")</f>
        <v>DANIELLE CRISTINA SILVA SOUSA</v>
      </c>
      <c r="C304" s="11" t="str">
        <f ca="1">IFERROR(__xludf.dummyfunction("""COMPUTED_VALUE"""),"4828186")</f>
        <v>4828186</v>
      </c>
      <c r="D304" s="11" t="str">
        <f ca="1">IFERROR(__xludf.dummyfunction("""COMPUTED_VALUE"""),"04891703237")</f>
        <v>04891703237</v>
      </c>
      <c r="E304" s="11" t="str">
        <f ca="1">IFERROR(__xludf.dummyfunction("""COMPUTED_VALUE"""),"DANIELLE.DARLLI@GMAIL.COM")</f>
        <v>DANIELLE.DARLLI@GMAIL.COM</v>
      </c>
      <c r="F304" s="11"/>
      <c r="G304" s="11" t="str">
        <f ca="1">IFERROR(__xludf.dummyfunction("""COMPUTED_VALUE"""),"(62) 998126296")</f>
        <v>(62) 998126296</v>
      </c>
      <c r="H304" s="11" t="str">
        <f ca="1">IFERROR(__xludf.dummyfunction("""COMPUTED_VALUE"""),"SUPERIOR")</f>
        <v>SUPERIOR</v>
      </c>
      <c r="I304" s="10" t="str">
        <f ca="1">IFERROR(__xludf.dummyfunction("""COMPUTED_VALUE"""),"DIREITO")</f>
        <v>DIREITO</v>
      </c>
      <c r="J304" s="10" t="str">
        <f ca="1">IFERROR(__xludf.dummyfunction("""COMPUTED_VALUE"""),"MANHÃ")</f>
        <v>MANHÃ</v>
      </c>
      <c r="K304" s="10" t="str">
        <f ca="1">IFERROR(__xludf.dummyfunction("""COMPUTED_VALUE"""),"TARDE")</f>
        <v>TARDE</v>
      </c>
      <c r="L304" s="10" t="str">
        <f ca="1">IFERROR(__xludf.dummyfunction("""COMPUTED_VALUE"""),"GOIÂNIA - GO")</f>
        <v>GOIÂNIA - GO</v>
      </c>
      <c r="M304" s="10">
        <f ca="1">IFERROR(__xludf.dummyfunction("""COMPUTED_VALUE"""),6)</f>
        <v>6</v>
      </c>
      <c r="N304" s="10" t="str">
        <f ca="1">IFERROR(__xludf.dummyfunction("""COMPUTED_VALUE"""),"DISPONÍVEL")</f>
        <v>DISPONÍVEL</v>
      </c>
      <c r="O304" s="12"/>
      <c r="P304" s="11"/>
      <c r="Q304" s="11"/>
      <c r="R304" s="11"/>
    </row>
    <row r="305" spans="1:18">
      <c r="A305" s="10">
        <f ca="1">IFERROR(__xludf.dummyfunction("""COMPUTED_VALUE"""),114)</f>
        <v>114</v>
      </c>
      <c r="B305" s="11" t="str">
        <f ca="1">IFERROR(__xludf.dummyfunction("""COMPUTED_VALUE"""),"HERMINIO DA SILVA LUSTOSA NETO")</f>
        <v>HERMINIO DA SILVA LUSTOSA NETO</v>
      </c>
      <c r="C305" s="11" t="str">
        <f ca="1">IFERROR(__xludf.dummyfunction("""COMPUTED_VALUE"""),"4247465")</f>
        <v>4247465</v>
      </c>
      <c r="D305" s="11" t="str">
        <f ca="1">IFERROR(__xludf.dummyfunction("""COMPUTED_VALUE"""),"00284154180")</f>
        <v>00284154180</v>
      </c>
      <c r="E305" s="11" t="str">
        <f ca="1">IFERROR(__xludf.dummyfunction("""COMPUTED_VALUE"""),"HSLNETO@HOTMAIL.COM")</f>
        <v>HSLNETO@HOTMAIL.COM</v>
      </c>
      <c r="F305" s="11"/>
      <c r="G305" s="11" t="str">
        <f ca="1">IFERROR(__xludf.dummyfunction("""COMPUTED_VALUE"""),"(62) 991430117")</f>
        <v>(62) 991430117</v>
      </c>
      <c r="H305" s="11" t="str">
        <f ca="1">IFERROR(__xludf.dummyfunction("""COMPUTED_VALUE"""),"SUPERIOR")</f>
        <v>SUPERIOR</v>
      </c>
      <c r="I305" s="10" t="str">
        <f ca="1">IFERROR(__xludf.dummyfunction("""COMPUTED_VALUE"""),"DIREITO")</f>
        <v>DIREITO</v>
      </c>
      <c r="J305" s="10" t="str">
        <f ca="1">IFERROR(__xludf.dummyfunction("""COMPUTED_VALUE"""),"MANHÃ")</f>
        <v>MANHÃ</v>
      </c>
      <c r="K305" s="10" t="str">
        <f ca="1">IFERROR(__xludf.dummyfunction("""COMPUTED_VALUE"""),"TARDE")</f>
        <v>TARDE</v>
      </c>
      <c r="L305" s="10" t="str">
        <f ca="1">IFERROR(__xludf.dummyfunction("""COMPUTED_VALUE"""),"GOIÂNIA - GO")</f>
        <v>GOIÂNIA - GO</v>
      </c>
      <c r="M305" s="10">
        <f ca="1">IFERROR(__xludf.dummyfunction("""COMPUTED_VALUE"""),7)</f>
        <v>7</v>
      </c>
      <c r="N305" s="10" t="str">
        <f ca="1">IFERROR(__xludf.dummyfunction("""COMPUTED_VALUE"""),"DISPONÍVEL")</f>
        <v>DISPONÍVEL</v>
      </c>
      <c r="O305" s="12"/>
      <c r="P305" s="11" t="str">
        <f ca="1">IFERROR(__xludf.dummyfunction("""COMPUTED_VALUE"""),"Não se enquadra como PCD")</f>
        <v>Não se enquadra como PCD</v>
      </c>
      <c r="Q305" s="11"/>
      <c r="R305" s="11"/>
    </row>
    <row r="306" spans="1:18">
      <c r="A306" s="10">
        <f ca="1">IFERROR(__xludf.dummyfunction("""COMPUTED_VALUE"""),115)</f>
        <v>115</v>
      </c>
      <c r="B306" s="11" t="str">
        <f ca="1">IFERROR(__xludf.dummyfunction("""COMPUTED_VALUE"""),"LÍVIA OLIVEIRA MAIA")</f>
        <v>LÍVIA OLIVEIRA MAIA</v>
      </c>
      <c r="C306" s="11"/>
      <c r="D306" s="11" t="str">
        <f ca="1">IFERROR(__xludf.dummyfunction("""COMPUTED_VALUE"""),"05075138195")</f>
        <v>05075138195</v>
      </c>
      <c r="E306" s="11" t="str">
        <f ca="1">IFERROR(__xludf.dummyfunction("""COMPUTED_VALUE"""),"LIVIA172102@HOTMAIL.COM")</f>
        <v>LIVIA172102@HOTMAIL.COM</v>
      </c>
      <c r="F306" s="11" t="str">
        <f ca="1">IFERROR(__xludf.dummyfunction("""COMPUTED_VALUE"""),"(62) 32113287")</f>
        <v>(62) 32113287</v>
      </c>
      <c r="G306" s="11" t="str">
        <f ca="1">IFERROR(__xludf.dummyfunction("""COMPUTED_VALUE"""),"(62) 982562417")</f>
        <v>(62) 982562417</v>
      </c>
      <c r="H306" s="11" t="str">
        <f ca="1">IFERROR(__xludf.dummyfunction("""COMPUTED_VALUE"""),"SUPERIOR")</f>
        <v>SUPERIOR</v>
      </c>
      <c r="I306" s="10" t="str">
        <f ca="1">IFERROR(__xludf.dummyfunction("""COMPUTED_VALUE"""),"DIREITO")</f>
        <v>DIREITO</v>
      </c>
      <c r="J306" s="10" t="str">
        <f ca="1">IFERROR(__xludf.dummyfunction("""COMPUTED_VALUE"""),"NOITE")</f>
        <v>NOITE</v>
      </c>
      <c r="K306" s="10" t="str">
        <f ca="1">IFERROR(__xludf.dummyfunction("""COMPUTED_VALUE"""),"TARDE")</f>
        <v>TARDE</v>
      </c>
      <c r="L306" s="10" t="str">
        <f ca="1">IFERROR(__xludf.dummyfunction("""COMPUTED_VALUE"""),"GOIÂNIA - GO")</f>
        <v>GOIÂNIA - GO</v>
      </c>
      <c r="M306" s="10">
        <f ca="1">IFERROR(__xludf.dummyfunction("""COMPUTED_VALUE"""),5)</f>
        <v>5</v>
      </c>
      <c r="N306" s="10" t="str">
        <f ca="1">IFERROR(__xludf.dummyfunction("""COMPUTED_VALUE"""),"DISPONÍVEL")</f>
        <v>DISPONÍVEL</v>
      </c>
      <c r="O306" s="12"/>
      <c r="P306" s="11"/>
      <c r="Q306" s="11"/>
      <c r="R306" s="11"/>
    </row>
    <row r="307" spans="1:18">
      <c r="A307" s="10">
        <f ca="1">IFERROR(__xludf.dummyfunction("""COMPUTED_VALUE"""),116)</f>
        <v>116</v>
      </c>
      <c r="B307" s="11" t="str">
        <f ca="1">IFERROR(__xludf.dummyfunction("""COMPUTED_VALUE"""),"DARIO RODRIGUES DA SILVA")</f>
        <v>DARIO RODRIGUES DA SILVA</v>
      </c>
      <c r="C307" s="11"/>
      <c r="D307" s="11" t="str">
        <f ca="1">IFERROR(__xludf.dummyfunction("""COMPUTED_VALUE"""),"05327496260")</f>
        <v>05327496260</v>
      </c>
      <c r="E307" s="11" t="str">
        <f ca="1">IFERROR(__xludf.dummyfunction("""COMPUTED_VALUE"""),"DARIO947.YL@GMAIL.COM")</f>
        <v>DARIO947.YL@GMAIL.COM</v>
      </c>
      <c r="F307" s="11"/>
      <c r="G307" s="11" t="str">
        <f ca="1">IFERROR(__xludf.dummyfunction("""COMPUTED_VALUE"""),"(62) 981147594")</f>
        <v>(62) 981147594</v>
      </c>
      <c r="H307" s="11" t="str">
        <f ca="1">IFERROR(__xludf.dummyfunction("""COMPUTED_VALUE"""),"SUPERIOR")</f>
        <v>SUPERIOR</v>
      </c>
      <c r="I307" s="10" t="str">
        <f ca="1">IFERROR(__xludf.dummyfunction("""COMPUTED_VALUE"""),"DIREITO")</f>
        <v>DIREITO</v>
      </c>
      <c r="J307" s="10" t="str">
        <f ca="1">IFERROR(__xludf.dummyfunction("""COMPUTED_VALUE"""),"NOITE")</f>
        <v>NOITE</v>
      </c>
      <c r="K307" s="10" t="str">
        <f ca="1">IFERROR(__xludf.dummyfunction("""COMPUTED_VALUE"""),"TARDE")</f>
        <v>TARDE</v>
      </c>
      <c r="L307" s="10" t="str">
        <f ca="1">IFERROR(__xludf.dummyfunction("""COMPUTED_VALUE"""),"GOIÂNIA - GO")</f>
        <v>GOIÂNIA - GO</v>
      </c>
      <c r="M307" s="10">
        <f ca="1">IFERROR(__xludf.dummyfunction("""COMPUTED_VALUE"""),5)</f>
        <v>5</v>
      </c>
      <c r="N307" s="10" t="str">
        <f ca="1">IFERROR(__xludf.dummyfunction("""COMPUTED_VALUE"""),"DISPONÍVEL")</f>
        <v>DISPONÍVEL</v>
      </c>
      <c r="O307" s="12"/>
      <c r="P307" s="11"/>
      <c r="Q307" s="11"/>
      <c r="R307" s="11"/>
    </row>
    <row r="308" spans="1:18">
      <c r="A308" s="10">
        <f ca="1">IFERROR(__xludf.dummyfunction("""COMPUTED_VALUE"""),117)</f>
        <v>117</v>
      </c>
      <c r="B308" s="11" t="str">
        <f ca="1">IFERROR(__xludf.dummyfunction("""COMPUTED_VALUE"""),"EVELYN GABRIELLA LINHARES DE SOUZA")</f>
        <v>EVELYN GABRIELLA LINHARES DE SOUZA</v>
      </c>
      <c r="C308" s="11" t="str">
        <f ca="1">IFERROR(__xludf.dummyfunction("""COMPUTED_VALUE"""),"27936708")</f>
        <v>27936708</v>
      </c>
      <c r="D308" s="11" t="str">
        <f ca="1">IFERROR(__xludf.dummyfunction("""COMPUTED_VALUE"""),"70352589140")</f>
        <v>70352589140</v>
      </c>
      <c r="E308" s="11" t="str">
        <f ca="1">IFERROR(__xludf.dummyfunction("""COMPUTED_VALUE"""),"EVELYNGABRIELLA25@HOTMAIL.COM")</f>
        <v>EVELYNGABRIELLA25@HOTMAIL.COM</v>
      </c>
      <c r="F308" s="11"/>
      <c r="G308" s="11" t="str">
        <f ca="1">IFERROR(__xludf.dummyfunction("""COMPUTED_VALUE"""),"(66) 984020717")</f>
        <v>(66) 984020717</v>
      </c>
      <c r="H308" s="11" t="str">
        <f ca="1">IFERROR(__xludf.dummyfunction("""COMPUTED_VALUE"""),"SUPERIOR")</f>
        <v>SUPERIOR</v>
      </c>
      <c r="I308" s="10" t="str">
        <f ca="1">IFERROR(__xludf.dummyfunction("""COMPUTED_VALUE"""),"DIREITO")</f>
        <v>DIREITO</v>
      </c>
      <c r="J308" s="10" t="str">
        <f ca="1">IFERROR(__xludf.dummyfunction("""COMPUTED_VALUE"""),"MANHÃ")</f>
        <v>MANHÃ</v>
      </c>
      <c r="K308" s="10" t="str">
        <f ca="1">IFERROR(__xludf.dummyfunction("""COMPUTED_VALUE"""),"TARDE")</f>
        <v>TARDE</v>
      </c>
      <c r="L308" s="10" t="str">
        <f ca="1">IFERROR(__xludf.dummyfunction("""COMPUTED_VALUE"""),"GOIÂNIA - GO")</f>
        <v>GOIÂNIA - GO</v>
      </c>
      <c r="M308" s="10">
        <f ca="1">IFERROR(__xludf.dummyfunction("""COMPUTED_VALUE"""),8)</f>
        <v>8</v>
      </c>
      <c r="N308" s="10" t="str">
        <f ca="1">IFERROR(__xludf.dummyfunction("""COMPUTED_VALUE"""),"DISPONÍVEL")</f>
        <v>DISPONÍVEL</v>
      </c>
      <c r="O308" s="12"/>
      <c r="P308" s="11"/>
      <c r="Q308" s="11"/>
      <c r="R308" s="11"/>
    </row>
    <row r="309" spans="1:18">
      <c r="A309" s="10">
        <f ca="1">IFERROR(__xludf.dummyfunction("""COMPUTED_VALUE"""),118)</f>
        <v>118</v>
      </c>
      <c r="B309" s="11" t="str">
        <f ca="1">IFERROR(__xludf.dummyfunction("""COMPUTED_VALUE"""),"NICOLLI MORAES DE SOUSA MACHADO")</f>
        <v>NICOLLI MORAES DE SOUSA MACHADO</v>
      </c>
      <c r="C309" s="11" t="str">
        <f ca="1">IFERROR(__xludf.dummyfunction("""COMPUTED_VALUE"""),"7002155")</f>
        <v>7002155</v>
      </c>
      <c r="D309" s="11" t="str">
        <f ca="1">IFERROR(__xludf.dummyfunction("""COMPUTED_VALUE"""),"04318254160")</f>
        <v>04318254160</v>
      </c>
      <c r="E309" s="11" t="str">
        <f ca="1">IFERROR(__xludf.dummyfunction("""COMPUTED_VALUE"""),"NICOLLIMORAESMACHADO@GMAIL.COM")</f>
        <v>NICOLLIMORAESMACHADO@GMAIL.COM</v>
      </c>
      <c r="F309" s="11" t="str">
        <f ca="1">IFERROR(__xludf.dummyfunction("""COMPUTED_VALUE"""),"(62) 83039313")</f>
        <v>(62) 83039313</v>
      </c>
      <c r="G309" s="11" t="str">
        <f ca="1">IFERROR(__xludf.dummyfunction("""COMPUTED_VALUE"""),"(62) 983039313")</f>
        <v>(62) 983039313</v>
      </c>
      <c r="H309" s="11" t="str">
        <f ca="1">IFERROR(__xludf.dummyfunction("""COMPUTED_VALUE"""),"SUPERIOR")</f>
        <v>SUPERIOR</v>
      </c>
      <c r="I309" s="10" t="str">
        <f ca="1">IFERROR(__xludf.dummyfunction("""COMPUTED_VALUE"""),"DIREITO")</f>
        <v>DIREITO</v>
      </c>
      <c r="J309" s="10" t="str">
        <f ca="1">IFERROR(__xludf.dummyfunction("""COMPUTED_VALUE"""),"VARIÁVEL")</f>
        <v>VARIÁVEL</v>
      </c>
      <c r="K309" s="10" t="str">
        <f ca="1">IFERROR(__xludf.dummyfunction("""COMPUTED_VALUE"""),"TARDE")</f>
        <v>TARDE</v>
      </c>
      <c r="L309" s="10" t="str">
        <f ca="1">IFERROR(__xludf.dummyfunction("""COMPUTED_VALUE"""),"GOIÂNIA - GO")</f>
        <v>GOIÂNIA - GO</v>
      </c>
      <c r="M309" s="10">
        <f ca="1">IFERROR(__xludf.dummyfunction("""COMPUTED_VALUE"""),8)</f>
        <v>8</v>
      </c>
      <c r="N309" s="10" t="str">
        <f ca="1">IFERROR(__xludf.dummyfunction("""COMPUTED_VALUE"""),"DISPONÍVEL")</f>
        <v>DISPONÍVEL</v>
      </c>
      <c r="O309" s="12"/>
      <c r="P309" s="11"/>
      <c r="Q309" s="11"/>
      <c r="R309" s="11"/>
    </row>
    <row r="310" spans="1:18">
      <c r="A310" s="10">
        <f ca="1">IFERROR(__xludf.dummyfunction("""COMPUTED_VALUE"""),119)</f>
        <v>119</v>
      </c>
      <c r="B310" s="11" t="str">
        <f ca="1">IFERROR(__xludf.dummyfunction("""COMPUTED_VALUE"""),"ANA LUIZA MEDEIROS GONCALVES")</f>
        <v>ANA LUIZA MEDEIROS GONCALVES</v>
      </c>
      <c r="C310" s="11" t="str">
        <f ca="1">IFERROR(__xludf.dummyfunction("""COMPUTED_VALUE"""),"0512515520147")</f>
        <v>0512515520147</v>
      </c>
      <c r="D310" s="11" t="str">
        <f ca="1">IFERROR(__xludf.dummyfunction("""COMPUTED_VALUE"""),"70545038138")</f>
        <v>70545038138</v>
      </c>
      <c r="E310" s="11" t="str">
        <f ca="1">IFERROR(__xludf.dummyfunction("""COMPUTED_VALUE"""),"ANALUIZAMEDEIROSGONCALVES0@GMAIL.COM")</f>
        <v>ANALUIZAMEDEIROSGONCALVES0@GMAIL.COM</v>
      </c>
      <c r="F310" s="11"/>
      <c r="G310" s="11" t="str">
        <f ca="1">IFERROR(__xludf.dummyfunction("""COMPUTED_VALUE"""),"(63) 992171892")</f>
        <v>(63) 992171892</v>
      </c>
      <c r="H310" s="11" t="str">
        <f ca="1">IFERROR(__xludf.dummyfunction("""COMPUTED_VALUE"""),"SUPERIOR")</f>
        <v>SUPERIOR</v>
      </c>
      <c r="I310" s="10" t="str">
        <f ca="1">IFERROR(__xludf.dummyfunction("""COMPUTED_VALUE"""),"DIREITO")</f>
        <v>DIREITO</v>
      </c>
      <c r="J310" s="10" t="str">
        <f ca="1">IFERROR(__xludf.dummyfunction("""COMPUTED_VALUE"""),"MANHÃ")</f>
        <v>MANHÃ</v>
      </c>
      <c r="K310" s="10" t="str">
        <f ca="1">IFERROR(__xludf.dummyfunction("""COMPUTED_VALUE"""),"TARDE")</f>
        <v>TARDE</v>
      </c>
      <c r="L310" s="10" t="str">
        <f ca="1">IFERROR(__xludf.dummyfunction("""COMPUTED_VALUE"""),"GOIÂNIA - GO")</f>
        <v>GOIÂNIA - GO</v>
      </c>
      <c r="M310" s="10">
        <f ca="1">IFERROR(__xludf.dummyfunction("""COMPUTED_VALUE"""),8)</f>
        <v>8</v>
      </c>
      <c r="N310" s="10" t="str">
        <f ca="1">IFERROR(__xludf.dummyfunction("""COMPUTED_VALUE"""),"DISPONÍVEL")</f>
        <v>DISPONÍVEL</v>
      </c>
      <c r="O310" s="12"/>
      <c r="P310" s="11"/>
      <c r="Q310" s="11"/>
      <c r="R310" s="11"/>
    </row>
    <row r="311" spans="1:18">
      <c r="A311" s="10">
        <f ca="1">IFERROR(__xludf.dummyfunction("""COMPUTED_VALUE"""),120)</f>
        <v>120</v>
      </c>
      <c r="B311" s="11" t="str">
        <f ca="1">IFERROR(__xludf.dummyfunction("""COMPUTED_VALUE"""),"LAURA TELES DE OLIVEIRA MONTALVAO")</f>
        <v>LAURA TELES DE OLIVEIRA MONTALVAO</v>
      </c>
      <c r="C311" s="11" t="str">
        <f ca="1">IFERROR(__xludf.dummyfunction("""COMPUTED_VALUE"""),"7061167")</f>
        <v>7061167</v>
      </c>
      <c r="D311" s="11" t="str">
        <f ca="1">IFERROR(__xludf.dummyfunction("""COMPUTED_VALUE"""),"71142432190")</f>
        <v>71142432190</v>
      </c>
      <c r="E311" s="11" t="str">
        <f ca="1">IFERROR(__xludf.dummyfunction("""COMPUTED_VALUE"""),"LAURATLES1305@GMAIL.COM")</f>
        <v>LAURATLES1305@GMAIL.COM</v>
      </c>
      <c r="F311" s="11" t="str">
        <f ca="1">IFERROR(__xludf.dummyfunction("""COMPUTED_VALUE"""),"(62) 32237039")</f>
        <v>(62) 32237039</v>
      </c>
      <c r="G311" s="11" t="str">
        <f ca="1">IFERROR(__xludf.dummyfunction("""COMPUTED_VALUE"""),"(62) 981049551")</f>
        <v>(62) 981049551</v>
      </c>
      <c r="H311" s="11" t="str">
        <f ca="1">IFERROR(__xludf.dummyfunction("""COMPUTED_VALUE"""),"SUPERIOR")</f>
        <v>SUPERIOR</v>
      </c>
      <c r="I311" s="10" t="str">
        <f ca="1">IFERROR(__xludf.dummyfunction("""COMPUTED_VALUE"""),"DIREITO")</f>
        <v>DIREITO</v>
      </c>
      <c r="J311" s="10" t="str">
        <f ca="1">IFERROR(__xludf.dummyfunction("""COMPUTED_VALUE"""),"MANHÃ")</f>
        <v>MANHÃ</v>
      </c>
      <c r="K311" s="10" t="str">
        <f ca="1">IFERROR(__xludf.dummyfunction("""COMPUTED_VALUE"""),"TARDE")</f>
        <v>TARDE</v>
      </c>
      <c r="L311" s="10" t="str">
        <f ca="1">IFERROR(__xludf.dummyfunction("""COMPUTED_VALUE"""),"GOIÂNIA - GO")</f>
        <v>GOIÂNIA - GO</v>
      </c>
      <c r="M311" s="10">
        <f ca="1">IFERROR(__xludf.dummyfunction("""COMPUTED_VALUE"""),5)</f>
        <v>5</v>
      </c>
      <c r="N311" s="10" t="str">
        <f ca="1">IFERROR(__xludf.dummyfunction("""COMPUTED_VALUE"""),"DISPONÍVEL")</f>
        <v>DISPONÍVEL</v>
      </c>
      <c r="O311" s="12"/>
      <c r="P311" s="11"/>
      <c r="Q311" s="11"/>
      <c r="R311" s="11"/>
    </row>
    <row r="312" spans="1:18">
      <c r="A312" s="10">
        <f ca="1">IFERROR(__xludf.dummyfunction("""COMPUTED_VALUE"""),121)</f>
        <v>121</v>
      </c>
      <c r="B312" s="11" t="str">
        <f ca="1">IFERROR(__xludf.dummyfunction("""COMPUTED_VALUE"""),"CARMELITA RODRIGUES ROCHA DE SOUZA")</f>
        <v>CARMELITA RODRIGUES ROCHA DE SOUZA</v>
      </c>
      <c r="C312" s="11" t="str">
        <f ca="1">IFERROR(__xludf.dummyfunction("""COMPUTED_VALUE"""),"3176801")</f>
        <v>3176801</v>
      </c>
      <c r="D312" s="11" t="str">
        <f ca="1">IFERROR(__xludf.dummyfunction("""COMPUTED_VALUE"""),"78108047153")</f>
        <v>78108047153</v>
      </c>
      <c r="E312" s="11" t="str">
        <f ca="1">IFERROR(__xludf.dummyfunction("""COMPUTED_VALUE"""),"GAPPARTICIPA1@GMAIL.COM")</f>
        <v>GAPPARTICIPA1@GMAIL.COM</v>
      </c>
      <c r="F312" s="11"/>
      <c r="G312" s="11" t="str">
        <f ca="1">IFERROR(__xludf.dummyfunction("""COMPUTED_VALUE"""),"(62) 999583092")</f>
        <v>(62) 999583092</v>
      </c>
      <c r="H312" s="11" t="str">
        <f ca="1">IFERROR(__xludf.dummyfunction("""COMPUTED_VALUE"""),"SUPERIOR")</f>
        <v>SUPERIOR</v>
      </c>
      <c r="I312" s="10" t="str">
        <f ca="1">IFERROR(__xludf.dummyfunction("""COMPUTED_VALUE"""),"DIREITO")</f>
        <v>DIREITO</v>
      </c>
      <c r="J312" s="10" t="str">
        <f ca="1">IFERROR(__xludf.dummyfunction("""COMPUTED_VALUE"""),"NOITE")</f>
        <v>NOITE</v>
      </c>
      <c r="K312" s="10" t="str">
        <f ca="1">IFERROR(__xludf.dummyfunction("""COMPUTED_VALUE"""),"TARDE")</f>
        <v>TARDE</v>
      </c>
      <c r="L312" s="10" t="str">
        <f ca="1">IFERROR(__xludf.dummyfunction("""COMPUTED_VALUE"""),"GOIÂNIA - GO")</f>
        <v>GOIÂNIA - GO</v>
      </c>
      <c r="M312" s="10">
        <f ca="1">IFERROR(__xludf.dummyfunction("""COMPUTED_VALUE"""),8)</f>
        <v>8</v>
      </c>
      <c r="N312" s="10" t="str">
        <f ca="1">IFERROR(__xludf.dummyfunction("""COMPUTED_VALUE"""),"DISPONÍVEL")</f>
        <v>DISPONÍVEL</v>
      </c>
      <c r="O312" s="12"/>
      <c r="P312" s="11"/>
      <c r="Q312" s="11"/>
      <c r="R312" s="11"/>
    </row>
    <row r="313" spans="1:18">
      <c r="A313" s="10">
        <f ca="1">IFERROR(__xludf.dummyfunction("""COMPUTED_VALUE"""),122)</f>
        <v>122</v>
      </c>
      <c r="B313" s="11" t="str">
        <f ca="1">IFERROR(__xludf.dummyfunction("""COMPUTED_VALUE"""),"STELLA DE PADUA CAMPOS COELHO")</f>
        <v>STELLA DE PADUA CAMPOS COELHO</v>
      </c>
      <c r="C313" s="11" t="str">
        <f ca="1">IFERROR(__xludf.dummyfunction("""COMPUTED_VALUE"""),"6022998")</f>
        <v>6022998</v>
      </c>
      <c r="D313" s="11" t="str">
        <f ca="1">IFERROR(__xludf.dummyfunction("""COMPUTED_VALUE"""),"05561626175")</f>
        <v>05561626175</v>
      </c>
      <c r="E313" s="11" t="str">
        <f ca="1">IFERROR(__xludf.dummyfunction("""COMPUTED_VALUE"""),"STELLADEPADUA@GMAIL.COM")</f>
        <v>STELLADEPADUA@GMAIL.COM</v>
      </c>
      <c r="F313" s="11"/>
      <c r="G313" s="11" t="str">
        <f ca="1">IFERROR(__xludf.dummyfunction("""COMPUTED_VALUE"""),"(62) 999293664")</f>
        <v>(62) 999293664</v>
      </c>
      <c r="H313" s="11" t="str">
        <f ca="1">IFERROR(__xludf.dummyfunction("""COMPUTED_VALUE"""),"SUPERIOR")</f>
        <v>SUPERIOR</v>
      </c>
      <c r="I313" s="10" t="str">
        <f ca="1">IFERROR(__xludf.dummyfunction("""COMPUTED_VALUE"""),"DIREITO")</f>
        <v>DIREITO</v>
      </c>
      <c r="J313" s="10" t="str">
        <f ca="1">IFERROR(__xludf.dummyfunction("""COMPUTED_VALUE"""),"MANHÃ")</f>
        <v>MANHÃ</v>
      </c>
      <c r="K313" s="10" t="str">
        <f ca="1">IFERROR(__xludf.dummyfunction("""COMPUTED_VALUE"""),"TARDE")</f>
        <v>TARDE</v>
      </c>
      <c r="L313" s="10" t="str">
        <f ca="1">IFERROR(__xludf.dummyfunction("""COMPUTED_VALUE"""),"GOIÂNIA - GO")</f>
        <v>GOIÂNIA - GO</v>
      </c>
      <c r="M313" s="10">
        <f ca="1">IFERROR(__xludf.dummyfunction("""COMPUTED_VALUE"""),5)</f>
        <v>5</v>
      </c>
      <c r="N313" s="10" t="str">
        <f ca="1">IFERROR(__xludf.dummyfunction("""COMPUTED_VALUE"""),"DISPONÍVEL")</f>
        <v>DISPONÍVEL</v>
      </c>
      <c r="O313" s="12"/>
      <c r="P313" s="11"/>
      <c r="Q313" s="11"/>
      <c r="R313" s="11"/>
    </row>
    <row r="314" spans="1:18">
      <c r="A314" s="10">
        <f ca="1">IFERROR(__xludf.dummyfunction("""COMPUTED_VALUE"""),123)</f>
        <v>123</v>
      </c>
      <c r="B314" s="11" t="str">
        <f ca="1">IFERROR(__xludf.dummyfunction("""COMPUTED_VALUE"""),"ANDRESSA MARIA DE SOUSA SILVA")</f>
        <v>ANDRESSA MARIA DE SOUSA SILVA</v>
      </c>
      <c r="C314" s="11" t="str">
        <f ca="1">IFERROR(__xludf.dummyfunction("""COMPUTED_VALUE"""),"3486862")</f>
        <v>3486862</v>
      </c>
      <c r="D314" s="11" t="str">
        <f ca="1">IFERROR(__xludf.dummyfunction("""COMPUTED_VALUE"""),"05977400381")</f>
        <v>05977400381</v>
      </c>
      <c r="E314" s="11" t="str">
        <f ca="1">IFERROR(__xludf.dummyfunction("""COMPUTED_VALUE"""),"ANDRESSASOUSA31@GMAIL.COM")</f>
        <v>ANDRESSASOUSA31@GMAIL.COM</v>
      </c>
      <c r="F314" s="11" t="str">
        <f ca="1">IFERROR(__xludf.dummyfunction("""COMPUTED_VALUE"""),"(62) 93983306")</f>
        <v>(62) 93983306</v>
      </c>
      <c r="G314" s="11" t="str">
        <f ca="1">IFERROR(__xludf.dummyfunction("""COMPUTED_VALUE"""),"(62) 993983306")</f>
        <v>(62) 993983306</v>
      </c>
      <c r="H314" s="11" t="str">
        <f ca="1">IFERROR(__xludf.dummyfunction("""COMPUTED_VALUE"""),"SUPERIOR")</f>
        <v>SUPERIOR</v>
      </c>
      <c r="I314" s="10" t="str">
        <f ca="1">IFERROR(__xludf.dummyfunction("""COMPUTED_VALUE"""),"DIREITO")</f>
        <v>DIREITO</v>
      </c>
      <c r="J314" s="10" t="str">
        <f ca="1">IFERROR(__xludf.dummyfunction("""COMPUTED_VALUE"""),"MANHÃ")</f>
        <v>MANHÃ</v>
      </c>
      <c r="K314" s="10" t="str">
        <f ca="1">IFERROR(__xludf.dummyfunction("""COMPUTED_VALUE"""),"TARDE")</f>
        <v>TARDE</v>
      </c>
      <c r="L314" s="10" t="str">
        <f ca="1">IFERROR(__xludf.dummyfunction("""COMPUTED_VALUE"""),"GOIÂNIA - GO")</f>
        <v>GOIÂNIA - GO</v>
      </c>
      <c r="M314" s="10">
        <f ca="1">IFERROR(__xludf.dummyfunction("""COMPUTED_VALUE"""),5)</f>
        <v>5</v>
      </c>
      <c r="N314" s="10" t="str">
        <f ca="1">IFERROR(__xludf.dummyfunction("""COMPUTED_VALUE"""),"DISPONÍVEL")</f>
        <v>DISPONÍVEL</v>
      </c>
      <c r="O314" s="12"/>
      <c r="P314" s="11"/>
      <c r="Q314" s="11"/>
      <c r="R314" s="11"/>
    </row>
    <row r="315" spans="1:18">
      <c r="A315" s="10">
        <f ca="1">IFERROR(__xludf.dummyfunction("""COMPUTED_VALUE"""),124)</f>
        <v>124</v>
      </c>
      <c r="B315" s="11" t="str">
        <f ca="1">IFERROR(__xludf.dummyfunction("""COMPUTED_VALUE"""),"CARITIS CRISTINA CARDOSO")</f>
        <v>CARITIS CRISTINA CARDOSO</v>
      </c>
      <c r="C315" s="11" t="str">
        <f ca="1">IFERROR(__xludf.dummyfunction("""COMPUTED_VALUE"""),"4296859")</f>
        <v>4296859</v>
      </c>
      <c r="D315" s="11" t="str">
        <f ca="1">IFERROR(__xludf.dummyfunction("""COMPUTED_VALUE"""),"00242197116")</f>
        <v>00242197116</v>
      </c>
      <c r="E315" s="11" t="str">
        <f ca="1">IFERROR(__xludf.dummyfunction("""COMPUTED_VALUE"""),"CRISTINA_CARITIS@HOTMAIL.COM")</f>
        <v>CRISTINA_CARITIS@HOTMAIL.COM</v>
      </c>
      <c r="F315" s="11" t="str">
        <f ca="1">IFERROR(__xludf.dummyfunction("""COMPUTED_VALUE"""),"(62) 92875044")</f>
        <v>(62) 92875044</v>
      </c>
      <c r="G315" s="11" t="str">
        <f ca="1">IFERROR(__xludf.dummyfunction("""COMPUTED_VALUE"""),"(62) 992875044")</f>
        <v>(62) 992875044</v>
      </c>
      <c r="H315" s="11" t="str">
        <f ca="1">IFERROR(__xludf.dummyfunction("""COMPUTED_VALUE"""),"SUPERIOR")</f>
        <v>SUPERIOR</v>
      </c>
      <c r="I315" s="10" t="str">
        <f ca="1">IFERROR(__xludf.dummyfunction("""COMPUTED_VALUE"""),"DIREITO")</f>
        <v>DIREITO</v>
      </c>
      <c r="J315" s="10" t="str">
        <f ca="1">IFERROR(__xludf.dummyfunction("""COMPUTED_VALUE"""),"MANHÃ")</f>
        <v>MANHÃ</v>
      </c>
      <c r="K315" s="10" t="str">
        <f ca="1">IFERROR(__xludf.dummyfunction("""COMPUTED_VALUE"""),"TARDE")</f>
        <v>TARDE</v>
      </c>
      <c r="L315" s="10" t="str">
        <f ca="1">IFERROR(__xludf.dummyfunction("""COMPUTED_VALUE"""),"GOIÂNIA - GO")</f>
        <v>GOIÂNIA - GO</v>
      </c>
      <c r="M315" s="10">
        <f ca="1">IFERROR(__xludf.dummyfunction("""COMPUTED_VALUE"""),8)</f>
        <v>8</v>
      </c>
      <c r="N315" s="10" t="str">
        <f ca="1">IFERROR(__xludf.dummyfunction("""COMPUTED_VALUE"""),"DISPONÍVEL")</f>
        <v>DISPONÍVEL</v>
      </c>
      <c r="O315" s="12"/>
      <c r="P315" s="11"/>
      <c r="Q315" s="11"/>
      <c r="R315" s="11"/>
    </row>
    <row r="316" spans="1:18">
      <c r="A316" s="10">
        <f ca="1">IFERROR(__xludf.dummyfunction("""COMPUTED_VALUE"""),125)</f>
        <v>125</v>
      </c>
      <c r="B316" s="11" t="str">
        <f ca="1">IFERROR(__xludf.dummyfunction("""COMPUTED_VALUE"""),"MYRIAN EDUARDA DA SILVA MENDES")</f>
        <v>MYRIAN EDUARDA DA SILVA MENDES</v>
      </c>
      <c r="C316" s="11" t="str">
        <f ca="1">IFERROR(__xludf.dummyfunction("""COMPUTED_VALUE"""),"6562776")</f>
        <v>6562776</v>
      </c>
      <c r="D316" s="11" t="str">
        <f ca="1">IFERROR(__xludf.dummyfunction("""COMPUTED_VALUE"""),"70624629180")</f>
        <v>70624629180</v>
      </c>
      <c r="E316" s="11" t="str">
        <f ca="1">IFERROR(__xludf.dummyfunction("""COMPUTED_VALUE"""),"MYRIANMNDS@HOTMAIL.COM")</f>
        <v>MYRIANMNDS@HOTMAIL.COM</v>
      </c>
      <c r="F316" s="11" t="str">
        <f ca="1">IFERROR(__xludf.dummyfunction("""COMPUTED_VALUE"""),"(62) 98560097")</f>
        <v>(62) 98560097</v>
      </c>
      <c r="G316" s="11" t="str">
        <f ca="1">IFERROR(__xludf.dummyfunction("""COMPUTED_VALUE"""),"(62) 985600975")</f>
        <v>(62) 985600975</v>
      </c>
      <c r="H316" s="11" t="str">
        <f ca="1">IFERROR(__xludf.dummyfunction("""COMPUTED_VALUE"""),"SUPERIOR")</f>
        <v>SUPERIOR</v>
      </c>
      <c r="I316" s="10" t="str">
        <f ca="1">IFERROR(__xludf.dummyfunction("""COMPUTED_VALUE"""),"DIREITO")</f>
        <v>DIREITO</v>
      </c>
      <c r="J316" s="10" t="str">
        <f ca="1">IFERROR(__xludf.dummyfunction("""COMPUTED_VALUE"""),"NOITE")</f>
        <v>NOITE</v>
      </c>
      <c r="K316" s="10" t="str">
        <f ca="1">IFERROR(__xludf.dummyfunction("""COMPUTED_VALUE"""),"TARDE")</f>
        <v>TARDE</v>
      </c>
      <c r="L316" s="10" t="str">
        <f ca="1">IFERROR(__xludf.dummyfunction("""COMPUTED_VALUE"""),"GOIÂNIA - GO")</f>
        <v>GOIÂNIA - GO</v>
      </c>
      <c r="M316" s="10">
        <f ca="1">IFERROR(__xludf.dummyfunction("""COMPUTED_VALUE"""),5)</f>
        <v>5</v>
      </c>
      <c r="N316" s="10" t="str">
        <f ca="1">IFERROR(__xludf.dummyfunction("""COMPUTED_VALUE"""),"DISPONÍVEL")</f>
        <v>DISPONÍVEL</v>
      </c>
      <c r="O316" s="12"/>
      <c r="P316" s="11"/>
      <c r="Q316" s="11"/>
      <c r="R316" s="11"/>
    </row>
    <row r="317" spans="1:18">
      <c r="A317" s="10">
        <f ca="1">IFERROR(__xludf.dummyfunction("""COMPUTED_VALUE"""),126)</f>
        <v>126</v>
      </c>
      <c r="B317" s="11" t="str">
        <f ca="1">IFERROR(__xludf.dummyfunction("""COMPUTED_VALUE"""),"ROSILDA CARDOZO DURÃES")</f>
        <v>ROSILDA CARDOZO DURÃES</v>
      </c>
      <c r="C317" s="11"/>
      <c r="D317" s="11" t="str">
        <f ca="1">IFERROR(__xludf.dummyfunction("""COMPUTED_VALUE"""),"10075013592")</f>
        <v>10075013592</v>
      </c>
      <c r="E317" s="11" t="str">
        <f ca="1">IFERROR(__xludf.dummyfunction("""COMPUTED_VALUE"""),"ROSILDA2703@GMAIL.COM")</f>
        <v>ROSILDA2703@GMAIL.COM</v>
      </c>
      <c r="F317" s="11" t="str">
        <f ca="1">IFERROR(__xludf.dummyfunction("""COMPUTED_VALUE"""),"(77) 98126024")</f>
        <v>(77) 98126024</v>
      </c>
      <c r="G317" s="11" t="str">
        <f ca="1">IFERROR(__xludf.dummyfunction("""COMPUTED_VALUE"""),"(77) 999506456")</f>
        <v>(77) 999506456</v>
      </c>
      <c r="H317" s="11" t="str">
        <f ca="1">IFERROR(__xludf.dummyfunction("""COMPUTED_VALUE"""),"SUPERIOR")</f>
        <v>SUPERIOR</v>
      </c>
      <c r="I317" s="10" t="str">
        <f ca="1">IFERROR(__xludf.dummyfunction("""COMPUTED_VALUE"""),"DIREITO")</f>
        <v>DIREITO</v>
      </c>
      <c r="J317" s="10" t="str">
        <f ca="1">IFERROR(__xludf.dummyfunction("""COMPUTED_VALUE"""),"TARDE")</f>
        <v>TARDE</v>
      </c>
      <c r="K317" s="10" t="str">
        <f ca="1">IFERROR(__xludf.dummyfunction("""COMPUTED_VALUE"""),"TARDE")</f>
        <v>TARDE</v>
      </c>
      <c r="L317" s="10" t="str">
        <f ca="1">IFERROR(__xludf.dummyfunction("""COMPUTED_VALUE"""),"GOIÂNIA - GO")</f>
        <v>GOIÂNIA - GO</v>
      </c>
      <c r="M317" s="10">
        <f ca="1">IFERROR(__xludf.dummyfunction("""COMPUTED_VALUE"""),6)</f>
        <v>6</v>
      </c>
      <c r="N317" s="10" t="str">
        <f ca="1">IFERROR(__xludf.dummyfunction("""COMPUTED_VALUE"""),"DISPONÍVEL")</f>
        <v>DISPONÍVEL</v>
      </c>
      <c r="O317" s="12"/>
      <c r="P317" s="11"/>
      <c r="Q317" s="11"/>
      <c r="R317" s="11"/>
    </row>
    <row r="318" spans="1:18">
      <c r="A318" s="10">
        <f ca="1">IFERROR(__xludf.dummyfunction("""COMPUTED_VALUE"""),127)</f>
        <v>127</v>
      </c>
      <c r="B318" s="11" t="str">
        <f ca="1">IFERROR(__xludf.dummyfunction("""COMPUTED_VALUE"""),"JULIA BERNARDI BERNO")</f>
        <v>JULIA BERNARDI BERNO</v>
      </c>
      <c r="C318" s="11" t="str">
        <f ca="1">IFERROR(__xludf.dummyfunction("""COMPUTED_VALUE"""),"20446012")</f>
        <v>20446012</v>
      </c>
      <c r="D318" s="11" t="str">
        <f ca="1">IFERROR(__xludf.dummyfunction("""COMPUTED_VALUE"""),"05248440971")</f>
        <v>05248440971</v>
      </c>
      <c r="E318" s="11" t="str">
        <f ca="1">IFERROR(__xludf.dummyfunction("""COMPUTED_VALUE"""),"JULIABBERNOOO@GMAIL.COM")</f>
        <v>JULIABBERNOOO@GMAIL.COM</v>
      </c>
      <c r="F318" s="11" t="str">
        <f ca="1">IFERROR(__xludf.dummyfunction("""COMPUTED_VALUE"""),"(64) 92428391")</f>
        <v>(64) 92428391</v>
      </c>
      <c r="G318" s="11" t="str">
        <f ca="1">IFERROR(__xludf.dummyfunction("""COMPUTED_VALUE"""),"(64) 992428391")</f>
        <v>(64) 992428391</v>
      </c>
      <c r="H318" s="11" t="str">
        <f ca="1">IFERROR(__xludf.dummyfunction("""COMPUTED_VALUE"""),"SUPERIOR")</f>
        <v>SUPERIOR</v>
      </c>
      <c r="I318" s="10" t="str">
        <f ca="1">IFERROR(__xludf.dummyfunction("""COMPUTED_VALUE"""),"DIREITO")</f>
        <v>DIREITO</v>
      </c>
      <c r="J318" s="10" t="str">
        <f ca="1">IFERROR(__xludf.dummyfunction("""COMPUTED_VALUE"""),"MANHÃ")</f>
        <v>MANHÃ</v>
      </c>
      <c r="K318" s="10" t="str">
        <f ca="1">IFERROR(__xludf.dummyfunction("""COMPUTED_VALUE"""),"TARDE")</f>
        <v>TARDE</v>
      </c>
      <c r="L318" s="10" t="str">
        <f ca="1">IFERROR(__xludf.dummyfunction("""COMPUTED_VALUE"""),"GOIÂNIA - GO")</f>
        <v>GOIÂNIA - GO</v>
      </c>
      <c r="M318" s="10">
        <f ca="1">IFERROR(__xludf.dummyfunction("""COMPUTED_VALUE"""),5)</f>
        <v>5</v>
      </c>
      <c r="N318" s="10" t="str">
        <f ca="1">IFERROR(__xludf.dummyfunction("""COMPUTED_VALUE"""),"DISPONÍVEL")</f>
        <v>DISPONÍVEL</v>
      </c>
      <c r="O318" s="12"/>
      <c r="P318" s="11"/>
      <c r="Q318" s="11"/>
      <c r="R318" s="11"/>
    </row>
    <row r="319" spans="1:18">
      <c r="A319" s="10">
        <f ca="1">IFERROR(__xludf.dummyfunction("""COMPUTED_VALUE"""),128)</f>
        <v>128</v>
      </c>
      <c r="B319" s="11" t="str">
        <f ca="1">IFERROR(__xludf.dummyfunction("""COMPUTED_VALUE"""),"ROSIMAYRE ALVARENGA PEREIRA")</f>
        <v>ROSIMAYRE ALVARENGA PEREIRA</v>
      </c>
      <c r="C319" s="11" t="str">
        <f ca="1">IFERROR(__xludf.dummyfunction("""COMPUTED_VALUE"""),"9523129")</f>
        <v>9523129</v>
      </c>
      <c r="D319" s="11" t="str">
        <f ca="1">IFERROR(__xludf.dummyfunction("""COMPUTED_VALUE"""),"70722657161")</f>
        <v>70722657161</v>
      </c>
      <c r="E319" s="11" t="str">
        <f ca="1">IFERROR(__xludf.dummyfunction("""COMPUTED_VALUE"""),"ALVARENGAMARY0@GMAIL.COM")</f>
        <v>ALVARENGAMARY0@GMAIL.COM</v>
      </c>
      <c r="F319" s="11"/>
      <c r="G319" s="11" t="str">
        <f ca="1">IFERROR(__xludf.dummyfunction("""COMPUTED_VALUE"""),"(62) 999401082")</f>
        <v>(62) 999401082</v>
      </c>
      <c r="H319" s="11" t="str">
        <f ca="1">IFERROR(__xludf.dummyfunction("""COMPUTED_VALUE"""),"SUPERIOR")</f>
        <v>SUPERIOR</v>
      </c>
      <c r="I319" s="10" t="str">
        <f ca="1">IFERROR(__xludf.dummyfunction("""COMPUTED_VALUE"""),"DIREITO")</f>
        <v>DIREITO</v>
      </c>
      <c r="J319" s="10" t="str">
        <f ca="1">IFERROR(__xludf.dummyfunction("""COMPUTED_VALUE"""),"MANHÃ")</f>
        <v>MANHÃ</v>
      </c>
      <c r="K319" s="10" t="str">
        <f ca="1">IFERROR(__xludf.dummyfunction("""COMPUTED_VALUE"""),"TARDE")</f>
        <v>TARDE</v>
      </c>
      <c r="L319" s="10" t="str">
        <f ca="1">IFERROR(__xludf.dummyfunction("""COMPUTED_VALUE"""),"GOIÂNIA - GO")</f>
        <v>GOIÂNIA - GO</v>
      </c>
      <c r="M319" s="10">
        <f ca="1">IFERROR(__xludf.dummyfunction("""COMPUTED_VALUE"""),5)</f>
        <v>5</v>
      </c>
      <c r="N319" s="10" t="str">
        <f ca="1">IFERROR(__xludf.dummyfunction("""COMPUTED_VALUE"""),"DISPONÍVEL")</f>
        <v>DISPONÍVEL</v>
      </c>
      <c r="O319" s="12"/>
      <c r="P319" s="11"/>
      <c r="Q319" s="11"/>
      <c r="R319" s="11"/>
    </row>
    <row r="320" spans="1:18">
      <c r="A320" s="10">
        <f ca="1">IFERROR(__xludf.dummyfunction("""COMPUTED_VALUE"""),129)</f>
        <v>129</v>
      </c>
      <c r="B320" s="11" t="str">
        <f ca="1">IFERROR(__xludf.dummyfunction("""COMPUTED_VALUE"""),"AMANDA PAIVA MEDEIROS")</f>
        <v>AMANDA PAIVA MEDEIROS</v>
      </c>
      <c r="C320" s="11"/>
      <c r="D320" s="11" t="str">
        <f ca="1">IFERROR(__xludf.dummyfunction("""COMPUTED_VALUE"""),"07339028129")</f>
        <v>07339028129</v>
      </c>
      <c r="E320" s="11" t="str">
        <f ca="1">IFERROR(__xludf.dummyfunction("""COMPUTED_VALUE"""),"MEDEIROSAMADAPAIVA@GMAIL.COM")</f>
        <v>MEDEIROSAMADAPAIVA@GMAIL.COM</v>
      </c>
      <c r="F320" s="11"/>
      <c r="G320" s="11" t="str">
        <f ca="1">IFERROR(__xludf.dummyfunction("""COMPUTED_VALUE"""),"(64) 981474087")</f>
        <v>(64) 981474087</v>
      </c>
      <c r="H320" s="11" t="str">
        <f ca="1">IFERROR(__xludf.dummyfunction("""COMPUTED_VALUE"""),"SUPERIOR")</f>
        <v>SUPERIOR</v>
      </c>
      <c r="I320" s="10" t="str">
        <f ca="1">IFERROR(__xludf.dummyfunction("""COMPUTED_VALUE"""),"DIREITO")</f>
        <v>DIREITO</v>
      </c>
      <c r="J320" s="10" t="str">
        <f ca="1">IFERROR(__xludf.dummyfunction("""COMPUTED_VALUE"""),"MANHÃ")</f>
        <v>MANHÃ</v>
      </c>
      <c r="K320" s="10" t="str">
        <f ca="1">IFERROR(__xludf.dummyfunction("""COMPUTED_VALUE"""),"TARDE")</f>
        <v>TARDE</v>
      </c>
      <c r="L320" s="10" t="str">
        <f ca="1">IFERROR(__xludf.dummyfunction("""COMPUTED_VALUE"""),"GOIÂNIA - GO")</f>
        <v>GOIÂNIA - GO</v>
      </c>
      <c r="M320" s="10">
        <f ca="1">IFERROR(__xludf.dummyfunction("""COMPUTED_VALUE"""),6)</f>
        <v>6</v>
      </c>
      <c r="N320" s="10" t="str">
        <f ca="1">IFERROR(__xludf.dummyfunction("""COMPUTED_VALUE"""),"DISPONÍVEL")</f>
        <v>DISPONÍVEL</v>
      </c>
      <c r="O320" s="12"/>
      <c r="P320" s="11"/>
      <c r="Q320" s="11"/>
      <c r="R320" s="11"/>
    </row>
    <row r="321" spans="1:18">
      <c r="A321" s="10">
        <f ca="1">IFERROR(__xludf.dummyfunction("""COMPUTED_VALUE"""),130)</f>
        <v>130</v>
      </c>
      <c r="B321" s="11" t="str">
        <f ca="1">IFERROR(__xludf.dummyfunction("""COMPUTED_VALUE"""),"GISELE DA SILVA FREITAS")</f>
        <v>GISELE DA SILVA FREITAS</v>
      </c>
      <c r="C321" s="11" t="str">
        <f ca="1">IFERROR(__xludf.dummyfunction("""COMPUTED_VALUE"""),"8096504")</f>
        <v>8096504</v>
      </c>
      <c r="D321" s="11" t="str">
        <f ca="1">IFERROR(__xludf.dummyfunction("""COMPUTED_VALUE"""),"60304522317")</f>
        <v>60304522317</v>
      </c>
      <c r="E321" s="11" t="str">
        <f ca="1">IFERROR(__xludf.dummyfunction("""COMPUTED_VALUE"""),"GISELESILFRAN@GMAIL.COM")</f>
        <v>GISELESILFRAN@GMAIL.COM</v>
      </c>
      <c r="F321" s="11" t="str">
        <f ca="1">IFERROR(__xludf.dummyfunction("""COMPUTED_VALUE"""),"(62) 32336878")</f>
        <v>(62) 32336878</v>
      </c>
      <c r="G321" s="11" t="str">
        <f ca="1">IFERROR(__xludf.dummyfunction("""COMPUTED_VALUE"""),"(62) 996720159")</f>
        <v>(62) 996720159</v>
      </c>
      <c r="H321" s="11" t="str">
        <f ca="1">IFERROR(__xludf.dummyfunction("""COMPUTED_VALUE"""),"SUPERIOR")</f>
        <v>SUPERIOR</v>
      </c>
      <c r="I321" s="10" t="str">
        <f ca="1">IFERROR(__xludf.dummyfunction("""COMPUTED_VALUE"""),"DIREITO")</f>
        <v>DIREITO</v>
      </c>
      <c r="J321" s="10" t="str">
        <f ca="1">IFERROR(__xludf.dummyfunction("""COMPUTED_VALUE"""),"NOITE")</f>
        <v>NOITE</v>
      </c>
      <c r="K321" s="10" t="str">
        <f ca="1">IFERROR(__xludf.dummyfunction("""COMPUTED_VALUE"""),"TARDE")</f>
        <v>TARDE</v>
      </c>
      <c r="L321" s="10" t="str">
        <f ca="1">IFERROR(__xludf.dummyfunction("""COMPUTED_VALUE"""),"GOIÂNIA - GO")</f>
        <v>GOIÂNIA - GO</v>
      </c>
      <c r="M321" s="10">
        <f ca="1">IFERROR(__xludf.dummyfunction("""COMPUTED_VALUE"""),5)</f>
        <v>5</v>
      </c>
      <c r="N321" s="10" t="str">
        <f ca="1">IFERROR(__xludf.dummyfunction("""COMPUTED_VALUE"""),"DISPONÍVEL")</f>
        <v>DISPONÍVEL</v>
      </c>
      <c r="O321" s="12"/>
      <c r="P321" s="11"/>
      <c r="Q321" s="11"/>
      <c r="R321" s="11"/>
    </row>
    <row r="322" spans="1:18">
      <c r="A322" s="10">
        <f ca="1">IFERROR(__xludf.dummyfunction("""COMPUTED_VALUE"""),131)</f>
        <v>131</v>
      </c>
      <c r="B322" s="11" t="str">
        <f ca="1">IFERROR(__xludf.dummyfunction("""COMPUTED_VALUE"""),"SARAH BEATRIZ MARTINS DE BARCELOS CRUZ")</f>
        <v>SARAH BEATRIZ MARTINS DE BARCELOS CRUZ</v>
      </c>
      <c r="C322" s="11"/>
      <c r="D322" s="11" t="str">
        <f ca="1">IFERROR(__xludf.dummyfunction("""COMPUTED_VALUE"""),"71071204173")</f>
        <v>71071204173</v>
      </c>
      <c r="E322" s="11" t="str">
        <f ca="1">IFERROR(__xludf.dummyfunction("""COMPUTED_VALUE"""),"SARAHMBCRUZ02@GMAIL.COM")</f>
        <v>SARAHMBCRUZ02@GMAIL.COM</v>
      </c>
      <c r="F322" s="11"/>
      <c r="G322" s="11" t="str">
        <f ca="1">IFERROR(__xludf.dummyfunction("""COMPUTED_VALUE"""),"(62) 984236354")</f>
        <v>(62) 984236354</v>
      </c>
      <c r="H322" s="11" t="str">
        <f ca="1">IFERROR(__xludf.dummyfunction("""COMPUTED_VALUE"""),"SUPERIOR")</f>
        <v>SUPERIOR</v>
      </c>
      <c r="I322" s="10" t="str">
        <f ca="1">IFERROR(__xludf.dummyfunction("""COMPUTED_VALUE"""),"DIREITO")</f>
        <v>DIREITO</v>
      </c>
      <c r="J322" s="10" t="str">
        <f ca="1">IFERROR(__xludf.dummyfunction("""COMPUTED_VALUE"""),"MANHÃ")</f>
        <v>MANHÃ</v>
      </c>
      <c r="K322" s="10" t="str">
        <f ca="1">IFERROR(__xludf.dummyfunction("""COMPUTED_VALUE"""),"TARDE")</f>
        <v>TARDE</v>
      </c>
      <c r="L322" s="10" t="str">
        <f ca="1">IFERROR(__xludf.dummyfunction("""COMPUTED_VALUE"""),"GOIÂNIA - GO")</f>
        <v>GOIÂNIA - GO</v>
      </c>
      <c r="M322" s="10">
        <f ca="1">IFERROR(__xludf.dummyfunction("""COMPUTED_VALUE"""),5)</f>
        <v>5</v>
      </c>
      <c r="N322" s="10" t="str">
        <f ca="1">IFERROR(__xludf.dummyfunction("""COMPUTED_VALUE"""),"DISPONÍVEL")</f>
        <v>DISPONÍVEL</v>
      </c>
      <c r="O322" s="12"/>
      <c r="P322" s="11"/>
      <c r="Q322" s="11"/>
      <c r="R322" s="11"/>
    </row>
    <row r="323" spans="1:18">
      <c r="A323" s="10">
        <f ca="1">IFERROR(__xludf.dummyfunction("""COMPUTED_VALUE"""),132)</f>
        <v>132</v>
      </c>
      <c r="B323" s="11" t="str">
        <f ca="1">IFERROR(__xludf.dummyfunction("""COMPUTED_VALUE"""),"ARTHUR MORAES OLIVEIRA")</f>
        <v>ARTHUR MORAES OLIVEIRA</v>
      </c>
      <c r="C323" s="11"/>
      <c r="D323" s="11" t="str">
        <f ca="1">IFERROR(__xludf.dummyfunction("""COMPUTED_VALUE"""),"70213681196")</f>
        <v>70213681196</v>
      </c>
      <c r="E323" s="11" t="str">
        <f ca="1">IFERROR(__xludf.dummyfunction("""COMPUTED_VALUE"""),"ARTHURMORAES.1605@GMAIL.COM")</f>
        <v>ARTHURMORAES.1605@GMAIL.COM</v>
      </c>
      <c r="F323" s="11"/>
      <c r="G323" s="11" t="str">
        <f ca="1">IFERROR(__xludf.dummyfunction("""COMPUTED_VALUE"""),"(62) 996510080")</f>
        <v>(62) 996510080</v>
      </c>
      <c r="H323" s="11" t="str">
        <f ca="1">IFERROR(__xludf.dummyfunction("""COMPUTED_VALUE"""),"SUPERIOR")</f>
        <v>SUPERIOR</v>
      </c>
      <c r="I323" s="10" t="str">
        <f ca="1">IFERROR(__xludf.dummyfunction("""COMPUTED_VALUE"""),"DIREITO")</f>
        <v>DIREITO</v>
      </c>
      <c r="J323" s="10" t="str">
        <f ca="1">IFERROR(__xludf.dummyfunction("""COMPUTED_VALUE"""),"NOITE")</f>
        <v>NOITE</v>
      </c>
      <c r="K323" s="10" t="str">
        <f ca="1">IFERROR(__xludf.dummyfunction("""COMPUTED_VALUE"""),"TARDE")</f>
        <v>TARDE</v>
      </c>
      <c r="L323" s="10" t="str">
        <f ca="1">IFERROR(__xludf.dummyfunction("""COMPUTED_VALUE"""),"GOIÂNIA - GO")</f>
        <v>GOIÂNIA - GO</v>
      </c>
      <c r="M323" s="10">
        <f ca="1">IFERROR(__xludf.dummyfunction("""COMPUTED_VALUE"""),5)</f>
        <v>5</v>
      </c>
      <c r="N323" s="10" t="str">
        <f ca="1">IFERROR(__xludf.dummyfunction("""COMPUTED_VALUE"""),"DISPONÍVEL")</f>
        <v>DISPONÍVEL</v>
      </c>
      <c r="O323" s="12"/>
      <c r="P323" s="11"/>
      <c r="Q323" s="11"/>
      <c r="R323" s="11"/>
    </row>
    <row r="324" spans="1:18">
      <c r="A324" s="10">
        <f ca="1">IFERROR(__xludf.dummyfunction("""COMPUTED_VALUE"""),133)</f>
        <v>133</v>
      </c>
      <c r="B324" s="11" t="str">
        <f ca="1">IFERROR(__xludf.dummyfunction("""COMPUTED_VALUE"""),"PABLINE LACERDA HONORATO")</f>
        <v>PABLINE LACERDA HONORATO</v>
      </c>
      <c r="C324" s="11" t="str">
        <f ca="1">IFERROR(__xludf.dummyfunction("""COMPUTED_VALUE"""),"5569473")</f>
        <v>5569473</v>
      </c>
      <c r="D324" s="11" t="str">
        <f ca="1">IFERROR(__xludf.dummyfunction("""COMPUTED_VALUE"""),"03554770175")</f>
        <v>03554770175</v>
      </c>
      <c r="E324" s="11" t="str">
        <f ca="1">IFERROR(__xludf.dummyfunction("""COMPUTED_VALUE"""),"PABLINELACERDAHONORATO@GMAIL.COM")</f>
        <v>PABLINELACERDAHONORATO@GMAIL.COM</v>
      </c>
      <c r="F324" s="11"/>
      <c r="G324" s="11" t="str">
        <f ca="1">IFERROR(__xludf.dummyfunction("""COMPUTED_VALUE"""),"(62) 982780740")</f>
        <v>(62) 982780740</v>
      </c>
      <c r="H324" s="11" t="str">
        <f ca="1">IFERROR(__xludf.dummyfunction("""COMPUTED_VALUE"""),"SUPERIOR")</f>
        <v>SUPERIOR</v>
      </c>
      <c r="I324" s="10" t="str">
        <f ca="1">IFERROR(__xludf.dummyfunction("""COMPUTED_VALUE"""),"DIREITO")</f>
        <v>DIREITO</v>
      </c>
      <c r="J324" s="10" t="str">
        <f ca="1">IFERROR(__xludf.dummyfunction("""COMPUTED_VALUE"""),"VARIÁVEL")</f>
        <v>VARIÁVEL</v>
      </c>
      <c r="K324" s="10" t="str">
        <f ca="1">IFERROR(__xludf.dummyfunction("""COMPUTED_VALUE"""),"TARDE")</f>
        <v>TARDE</v>
      </c>
      <c r="L324" s="10" t="str">
        <f ca="1">IFERROR(__xludf.dummyfunction("""COMPUTED_VALUE"""),"GOIÂNIA - GO")</f>
        <v>GOIÂNIA - GO</v>
      </c>
      <c r="M324" s="10">
        <f ca="1">IFERROR(__xludf.dummyfunction("""COMPUTED_VALUE"""),5)</f>
        <v>5</v>
      </c>
      <c r="N324" s="10" t="str">
        <f ca="1">IFERROR(__xludf.dummyfunction("""COMPUTED_VALUE"""),"DISPONÍVEL")</f>
        <v>DISPONÍVEL</v>
      </c>
      <c r="O324" s="12"/>
      <c r="P324" s="11"/>
      <c r="Q324" s="11"/>
      <c r="R324" s="11"/>
    </row>
    <row r="325" spans="1:18">
      <c r="A325" s="10">
        <f ca="1">IFERROR(__xludf.dummyfunction("""COMPUTED_VALUE"""),134)</f>
        <v>134</v>
      </c>
      <c r="B325" s="11" t="str">
        <f ca="1">IFERROR(__xludf.dummyfunction("""COMPUTED_VALUE"""),"JOSÉ EDUARDO FERREIRA RUIVO NETO")</f>
        <v>JOSÉ EDUARDO FERREIRA RUIVO NETO</v>
      </c>
      <c r="C325" s="11"/>
      <c r="D325" s="11" t="str">
        <f ca="1">IFERROR(__xludf.dummyfunction("""COMPUTED_VALUE"""),"07495643188")</f>
        <v>07495643188</v>
      </c>
      <c r="E325" s="11" t="str">
        <f ca="1">IFERROR(__xludf.dummyfunction("""COMPUTED_VALUE"""),"JE13452244@GMAIL.COM")</f>
        <v>JE13452244@GMAIL.COM</v>
      </c>
      <c r="F325" s="11" t="str">
        <f ca="1">IFERROR(__xludf.dummyfunction("""COMPUTED_VALUE"""),"(64) 99890670")</f>
        <v>(64) 99890670</v>
      </c>
      <c r="G325" s="11" t="str">
        <f ca="1">IFERROR(__xludf.dummyfunction("""COMPUTED_VALUE"""),"(64) 99941693")</f>
        <v>(64) 99941693</v>
      </c>
      <c r="H325" s="11" t="str">
        <f ca="1">IFERROR(__xludf.dummyfunction("""COMPUTED_VALUE"""),"SUPERIOR")</f>
        <v>SUPERIOR</v>
      </c>
      <c r="I325" s="10" t="str">
        <f ca="1">IFERROR(__xludf.dummyfunction("""COMPUTED_VALUE"""),"DIREITO")</f>
        <v>DIREITO</v>
      </c>
      <c r="J325" s="10" t="str">
        <f ca="1">IFERROR(__xludf.dummyfunction("""COMPUTED_VALUE"""),"NOITE")</f>
        <v>NOITE</v>
      </c>
      <c r="K325" s="10" t="str">
        <f ca="1">IFERROR(__xludf.dummyfunction("""COMPUTED_VALUE"""),"TARDE")</f>
        <v>TARDE</v>
      </c>
      <c r="L325" s="10" t="str">
        <f ca="1">IFERROR(__xludf.dummyfunction("""COMPUTED_VALUE"""),"GOIÂNIA - GO")</f>
        <v>GOIÂNIA - GO</v>
      </c>
      <c r="M325" s="10">
        <f ca="1">IFERROR(__xludf.dummyfunction("""COMPUTED_VALUE"""),5)</f>
        <v>5</v>
      </c>
      <c r="N325" s="10" t="str">
        <f ca="1">IFERROR(__xludf.dummyfunction("""COMPUTED_VALUE"""),"DISPONÍVEL")</f>
        <v>DISPONÍVEL</v>
      </c>
      <c r="O325" s="12"/>
      <c r="P325" s="11"/>
      <c r="Q325" s="11"/>
      <c r="R325" s="11"/>
    </row>
    <row r="326" spans="1:18">
      <c r="A326" s="10">
        <f ca="1">IFERROR(__xludf.dummyfunction("""COMPUTED_VALUE"""),135)</f>
        <v>135</v>
      </c>
      <c r="B326" s="11" t="str">
        <f ca="1">IFERROR(__xludf.dummyfunction("""COMPUTED_VALUE"""),"DARLA VILHENA MOTA OLIVEIRA")</f>
        <v>DARLA VILHENA MOTA OLIVEIRA</v>
      </c>
      <c r="C326" s="11" t="str">
        <f ca="1">IFERROR(__xludf.dummyfunction("""COMPUTED_VALUE"""),"6318711")</f>
        <v>6318711</v>
      </c>
      <c r="D326" s="11" t="str">
        <f ca="1">IFERROR(__xludf.dummyfunction("""COMPUTED_VALUE"""),"01086258185")</f>
        <v>01086258185</v>
      </c>
      <c r="E326" s="11" t="str">
        <f ca="1">IFERROR(__xludf.dummyfunction("""COMPUTED_VALUE"""),"DARLA.CARRIJO@GMAIL.COM")</f>
        <v>DARLA.CARRIJO@GMAIL.COM</v>
      </c>
      <c r="F326" s="11"/>
      <c r="G326" s="11" t="str">
        <f ca="1">IFERROR(__xludf.dummyfunction("""COMPUTED_VALUE"""),"(62) 992288690")</f>
        <v>(62) 992288690</v>
      </c>
      <c r="H326" s="11" t="str">
        <f ca="1">IFERROR(__xludf.dummyfunction("""COMPUTED_VALUE"""),"SUPERIOR")</f>
        <v>SUPERIOR</v>
      </c>
      <c r="I326" s="10" t="str">
        <f ca="1">IFERROR(__xludf.dummyfunction("""COMPUTED_VALUE"""),"DIREITO")</f>
        <v>DIREITO</v>
      </c>
      <c r="J326" s="10" t="str">
        <f ca="1">IFERROR(__xludf.dummyfunction("""COMPUTED_VALUE"""),"NOITE")</f>
        <v>NOITE</v>
      </c>
      <c r="K326" s="10" t="str">
        <f ca="1">IFERROR(__xludf.dummyfunction("""COMPUTED_VALUE"""),"TARDE")</f>
        <v>TARDE</v>
      </c>
      <c r="L326" s="10" t="str">
        <f ca="1">IFERROR(__xludf.dummyfunction("""COMPUTED_VALUE"""),"GOIÂNIA - GO")</f>
        <v>GOIÂNIA - GO</v>
      </c>
      <c r="M326" s="10">
        <f ca="1">IFERROR(__xludf.dummyfunction("""COMPUTED_VALUE"""),6)</f>
        <v>6</v>
      </c>
      <c r="N326" s="10" t="str">
        <f ca="1">IFERROR(__xludf.dummyfunction("""COMPUTED_VALUE"""),"DISPONÍVEL")</f>
        <v>DISPONÍVEL</v>
      </c>
      <c r="O326" s="12"/>
      <c r="P326" s="11"/>
      <c r="Q326" s="11"/>
      <c r="R326" s="11"/>
    </row>
    <row r="327" spans="1:18">
      <c r="A327" s="10">
        <f ca="1">IFERROR(__xludf.dummyfunction("""COMPUTED_VALUE"""),136)</f>
        <v>136</v>
      </c>
      <c r="B327" s="11" t="str">
        <f ca="1">IFERROR(__xludf.dummyfunction("""COMPUTED_VALUE"""),"ARTUR MARQUES DE CARVALHO")</f>
        <v>ARTUR MARQUES DE CARVALHO</v>
      </c>
      <c r="C327" s="11"/>
      <c r="D327" s="11" t="str">
        <f ca="1">IFERROR(__xludf.dummyfunction("""COMPUTED_VALUE"""),"01904934102")</f>
        <v>01904934102</v>
      </c>
      <c r="E327" s="11" t="str">
        <f ca="1">IFERROR(__xludf.dummyfunction("""COMPUTED_VALUE"""),"ARTURCARVALHO976@GMAIL.COM")</f>
        <v>ARTURCARVALHO976@GMAIL.COM</v>
      </c>
      <c r="F327" s="11" t="str">
        <f ca="1">IFERROR(__xludf.dummyfunction("""COMPUTED_VALUE"""),"(62) 86055439")</f>
        <v>(62) 86055439</v>
      </c>
      <c r="G327" s="11" t="str">
        <f ca="1">IFERROR(__xludf.dummyfunction("""COMPUTED_VALUE"""),"(62) 986055439")</f>
        <v>(62) 986055439</v>
      </c>
      <c r="H327" s="11" t="str">
        <f ca="1">IFERROR(__xludf.dummyfunction("""COMPUTED_VALUE"""),"SUPERIOR")</f>
        <v>SUPERIOR</v>
      </c>
      <c r="I327" s="10" t="str">
        <f ca="1">IFERROR(__xludf.dummyfunction("""COMPUTED_VALUE"""),"DIREITO")</f>
        <v>DIREITO</v>
      </c>
      <c r="J327" s="10" t="str">
        <f ca="1">IFERROR(__xludf.dummyfunction("""COMPUTED_VALUE"""),"MANHÃ")</f>
        <v>MANHÃ</v>
      </c>
      <c r="K327" s="10" t="str">
        <f ca="1">IFERROR(__xludf.dummyfunction("""COMPUTED_VALUE"""),"TARDE")</f>
        <v>TARDE</v>
      </c>
      <c r="L327" s="10" t="str">
        <f ca="1">IFERROR(__xludf.dummyfunction("""COMPUTED_VALUE"""),"GOIÂNIA - GO")</f>
        <v>GOIÂNIA - GO</v>
      </c>
      <c r="M327" s="10">
        <f ca="1">IFERROR(__xludf.dummyfunction("""COMPUTED_VALUE"""),8)</f>
        <v>8</v>
      </c>
      <c r="N327" s="10" t="str">
        <f ca="1">IFERROR(__xludf.dummyfunction("""COMPUTED_VALUE"""),"DISPONÍVEL")</f>
        <v>DISPONÍVEL</v>
      </c>
      <c r="O327" s="12"/>
      <c r="P327" s="11"/>
      <c r="Q327" s="11"/>
      <c r="R327" s="11"/>
    </row>
    <row r="328" spans="1:18">
      <c r="A328" s="10">
        <f ca="1">IFERROR(__xludf.dummyfunction("""COMPUTED_VALUE"""),137)</f>
        <v>137</v>
      </c>
      <c r="B328" s="11" t="str">
        <f ca="1">IFERROR(__xludf.dummyfunction("""COMPUTED_VALUE"""),"PHYLIPE NERES DE MORAIS")</f>
        <v>PHYLIPE NERES DE MORAIS</v>
      </c>
      <c r="C328" s="11" t="str">
        <f ca="1">IFERROR(__xludf.dummyfunction("""COMPUTED_VALUE"""),"6310952")</f>
        <v>6310952</v>
      </c>
      <c r="D328" s="11" t="str">
        <f ca="1">IFERROR(__xludf.dummyfunction("""COMPUTED_VALUE"""),"75453460172")</f>
        <v>75453460172</v>
      </c>
      <c r="E328" s="11" t="str">
        <f ca="1">IFERROR(__xludf.dummyfunction("""COMPUTED_VALUE"""),"PHYLIPENERES@HOTMAIL.COM")</f>
        <v>PHYLIPENERES@HOTMAIL.COM</v>
      </c>
      <c r="F328" s="11" t="str">
        <f ca="1">IFERROR(__xludf.dummyfunction("""COMPUTED_VALUE"""),"(62) 36243797")</f>
        <v>(62) 36243797</v>
      </c>
      <c r="G328" s="11" t="str">
        <f ca="1">IFERROR(__xludf.dummyfunction("""COMPUTED_VALUE"""),"(62) 994210953")</f>
        <v>(62) 994210953</v>
      </c>
      <c r="H328" s="11" t="str">
        <f ca="1">IFERROR(__xludf.dummyfunction("""COMPUTED_VALUE"""),"SUPERIOR")</f>
        <v>SUPERIOR</v>
      </c>
      <c r="I328" s="10" t="str">
        <f ca="1">IFERROR(__xludf.dummyfunction("""COMPUTED_VALUE"""),"DIREITO")</f>
        <v>DIREITO</v>
      </c>
      <c r="J328" s="10" t="str">
        <f ca="1">IFERROR(__xludf.dummyfunction("""COMPUTED_VALUE"""),"MANHÃ")</f>
        <v>MANHÃ</v>
      </c>
      <c r="K328" s="10" t="str">
        <f ca="1">IFERROR(__xludf.dummyfunction("""COMPUTED_VALUE"""),"TARDE")</f>
        <v>TARDE</v>
      </c>
      <c r="L328" s="10" t="str">
        <f ca="1">IFERROR(__xludf.dummyfunction("""COMPUTED_VALUE"""),"GOIÂNIA - GO")</f>
        <v>GOIÂNIA - GO</v>
      </c>
      <c r="M328" s="10">
        <f ca="1">IFERROR(__xludf.dummyfunction("""COMPUTED_VALUE"""),8)</f>
        <v>8</v>
      </c>
      <c r="N328" s="10" t="str">
        <f ca="1">IFERROR(__xludf.dummyfunction("""COMPUTED_VALUE"""),"DISPONÍVEL")</f>
        <v>DISPONÍVEL</v>
      </c>
      <c r="O328" s="12"/>
      <c r="P328" s="11"/>
      <c r="Q328" s="11"/>
      <c r="R328" s="11"/>
    </row>
    <row r="329" spans="1:18">
      <c r="A329" s="10">
        <f ca="1">IFERROR(__xludf.dummyfunction("""COMPUTED_VALUE"""),138)</f>
        <v>138</v>
      </c>
      <c r="B329" s="11" t="str">
        <f ca="1">IFERROR(__xludf.dummyfunction("""COMPUTED_VALUE"""),"PEDRO DINIZ PAIVA DE OLIVEIRA")</f>
        <v>PEDRO DINIZ PAIVA DE OLIVEIRA</v>
      </c>
      <c r="C329" s="11"/>
      <c r="D329" s="11" t="str">
        <f ca="1">IFERROR(__xludf.dummyfunction("""COMPUTED_VALUE"""),"08410150158")</f>
        <v>08410150158</v>
      </c>
      <c r="E329" s="11" t="str">
        <f ca="1">IFERROR(__xludf.dummyfunction("""COMPUTED_VALUE"""),"PEDRO493DINIZ@GMAIL.COM")</f>
        <v>PEDRO493DINIZ@GMAIL.COM</v>
      </c>
      <c r="F329" s="11"/>
      <c r="G329" s="11" t="str">
        <f ca="1">IFERROR(__xludf.dummyfunction("""COMPUTED_VALUE"""),"(62) 991433345")</f>
        <v>(62) 991433345</v>
      </c>
      <c r="H329" s="11" t="str">
        <f ca="1">IFERROR(__xludf.dummyfunction("""COMPUTED_VALUE"""),"SUPERIOR")</f>
        <v>SUPERIOR</v>
      </c>
      <c r="I329" s="10" t="str">
        <f ca="1">IFERROR(__xludf.dummyfunction("""COMPUTED_VALUE"""),"DIREITO")</f>
        <v>DIREITO</v>
      </c>
      <c r="J329" s="10" t="str">
        <f ca="1">IFERROR(__xludf.dummyfunction("""COMPUTED_VALUE"""),"MANHÃ")</f>
        <v>MANHÃ</v>
      </c>
      <c r="K329" s="10" t="str">
        <f ca="1">IFERROR(__xludf.dummyfunction("""COMPUTED_VALUE"""),"TARDE")</f>
        <v>TARDE</v>
      </c>
      <c r="L329" s="10" t="str">
        <f ca="1">IFERROR(__xludf.dummyfunction("""COMPUTED_VALUE"""),"GOIÂNIA - GO")</f>
        <v>GOIÂNIA - GO</v>
      </c>
      <c r="M329" s="10">
        <f ca="1">IFERROR(__xludf.dummyfunction("""COMPUTED_VALUE"""),6)</f>
        <v>6</v>
      </c>
      <c r="N329" s="10" t="str">
        <f ca="1">IFERROR(__xludf.dummyfunction("""COMPUTED_VALUE"""),"DISPONÍVEL")</f>
        <v>DISPONÍVEL</v>
      </c>
      <c r="O329" s="12"/>
      <c r="P329" s="11"/>
      <c r="Q329" s="11"/>
      <c r="R329" s="11"/>
    </row>
    <row r="330" spans="1:18">
      <c r="A330" s="10">
        <f ca="1">IFERROR(__xludf.dummyfunction("""COMPUTED_VALUE"""),139)</f>
        <v>139</v>
      </c>
      <c r="B330" s="11" t="str">
        <f ca="1">IFERROR(__xludf.dummyfunction("""COMPUTED_VALUE"""),"MARIA TALYNY DOS SANTOS COSTA")</f>
        <v>MARIA TALYNY DOS SANTOS COSTA</v>
      </c>
      <c r="C330" s="11"/>
      <c r="D330" s="11" t="str">
        <f ca="1">IFERROR(__xludf.dummyfunction("""COMPUTED_VALUE"""),"07870571342")</f>
        <v>07870571342</v>
      </c>
      <c r="E330" s="11" t="str">
        <f ca="1">IFERROR(__xludf.dummyfunction("""COMPUTED_VALUE"""),"TMARIATALYNYDOSSANTOS@GMAIL.COM")</f>
        <v>TMARIATALYNYDOSSANTOS@GMAIL.COM</v>
      </c>
      <c r="F330" s="11" t="str">
        <f ca="1">IFERROR(__xludf.dummyfunction("""COMPUTED_VALUE"""),"(62) 99262862")</f>
        <v>(62) 99262862</v>
      </c>
      <c r="G330" s="11" t="str">
        <f ca="1">IFERROR(__xludf.dummyfunction("""COMPUTED_VALUE"""),"(62) 994416634")</f>
        <v>(62) 994416634</v>
      </c>
      <c r="H330" s="11" t="str">
        <f ca="1">IFERROR(__xludf.dummyfunction("""COMPUTED_VALUE"""),"SUPERIOR")</f>
        <v>SUPERIOR</v>
      </c>
      <c r="I330" s="10" t="str">
        <f ca="1">IFERROR(__xludf.dummyfunction("""COMPUTED_VALUE"""),"DIREITO")</f>
        <v>DIREITO</v>
      </c>
      <c r="J330" s="10" t="str">
        <f ca="1">IFERROR(__xludf.dummyfunction("""COMPUTED_VALUE"""),"MANHÃ")</f>
        <v>MANHÃ</v>
      </c>
      <c r="K330" s="10" t="str">
        <f ca="1">IFERROR(__xludf.dummyfunction("""COMPUTED_VALUE"""),"TARDE")</f>
        <v>TARDE</v>
      </c>
      <c r="L330" s="10" t="str">
        <f ca="1">IFERROR(__xludf.dummyfunction("""COMPUTED_VALUE"""),"GOIÂNIA - GO")</f>
        <v>GOIÂNIA - GO</v>
      </c>
      <c r="M330" s="10">
        <f ca="1">IFERROR(__xludf.dummyfunction("""COMPUTED_VALUE"""),6)</f>
        <v>6</v>
      </c>
      <c r="N330" s="10" t="str">
        <f ca="1">IFERROR(__xludf.dummyfunction("""COMPUTED_VALUE"""),"DISPONÍVEL")</f>
        <v>DISPONÍVEL</v>
      </c>
      <c r="O330" s="12"/>
      <c r="P330" s="11"/>
      <c r="Q330" s="11"/>
      <c r="R330" s="11"/>
    </row>
    <row r="331" spans="1:18">
      <c r="A331" s="10">
        <f ca="1">IFERROR(__xludf.dummyfunction("""COMPUTED_VALUE"""),140)</f>
        <v>140</v>
      </c>
      <c r="B331" s="11" t="str">
        <f ca="1">IFERROR(__xludf.dummyfunction("""COMPUTED_VALUE"""),"ARIANE DIAS DA LUZ")</f>
        <v>ARIANE DIAS DA LUZ</v>
      </c>
      <c r="C331" s="11" t="str">
        <f ca="1">IFERROR(__xludf.dummyfunction("""COMPUTED_VALUE"""),"7263405")</f>
        <v>7263405</v>
      </c>
      <c r="D331" s="11" t="str">
        <f ca="1">IFERROR(__xludf.dummyfunction("""COMPUTED_VALUE"""),"06535988317")</f>
        <v>06535988317</v>
      </c>
      <c r="E331" s="11" t="str">
        <f ca="1">IFERROR(__xludf.dummyfunction("""COMPUTED_VALUE"""),"ANEZYNHA01@HOTMAIL.COM")</f>
        <v>ANEZYNHA01@HOTMAIL.COM</v>
      </c>
      <c r="F331" s="11"/>
      <c r="G331" s="11" t="str">
        <f ca="1">IFERROR(__xludf.dummyfunction("""COMPUTED_VALUE"""),"(62) 982375037")</f>
        <v>(62) 982375037</v>
      </c>
      <c r="H331" s="11" t="str">
        <f ca="1">IFERROR(__xludf.dummyfunction("""COMPUTED_VALUE"""),"SUPERIOR")</f>
        <v>SUPERIOR</v>
      </c>
      <c r="I331" s="10" t="str">
        <f ca="1">IFERROR(__xludf.dummyfunction("""COMPUTED_VALUE"""),"DIREITO")</f>
        <v>DIREITO</v>
      </c>
      <c r="J331" s="10" t="str">
        <f ca="1">IFERROR(__xludf.dummyfunction("""COMPUTED_VALUE"""),"MANHÃ")</f>
        <v>MANHÃ</v>
      </c>
      <c r="K331" s="10" t="str">
        <f ca="1">IFERROR(__xludf.dummyfunction("""COMPUTED_VALUE"""),"TARDE")</f>
        <v>TARDE</v>
      </c>
      <c r="L331" s="10" t="str">
        <f ca="1">IFERROR(__xludf.dummyfunction("""COMPUTED_VALUE"""),"GOIÂNIA - GO")</f>
        <v>GOIÂNIA - GO</v>
      </c>
      <c r="M331" s="10">
        <f ca="1">IFERROR(__xludf.dummyfunction("""COMPUTED_VALUE"""),8)</f>
        <v>8</v>
      </c>
      <c r="N331" s="10" t="str">
        <f ca="1">IFERROR(__xludf.dummyfunction("""COMPUTED_VALUE"""),"DISPONÍVEL")</f>
        <v>DISPONÍVEL</v>
      </c>
      <c r="O331" s="12"/>
      <c r="P331" s="11"/>
      <c r="Q331" s="11"/>
      <c r="R331" s="11"/>
    </row>
    <row r="332" spans="1:18">
      <c r="A332" s="10">
        <f ca="1">IFERROR(__xludf.dummyfunction("""COMPUTED_VALUE"""),141)</f>
        <v>141</v>
      </c>
      <c r="B332" s="11" t="str">
        <f ca="1">IFERROR(__xludf.dummyfunction("""COMPUTED_VALUE"""),"LUCAS FRANCO CIRINO")</f>
        <v>LUCAS FRANCO CIRINO</v>
      </c>
      <c r="C332" s="11" t="str">
        <f ca="1">IFERROR(__xludf.dummyfunction("""COMPUTED_VALUE"""),"7497372")</f>
        <v>7497372</v>
      </c>
      <c r="D332" s="11" t="str">
        <f ca="1">IFERROR(__xludf.dummyfunction("""COMPUTED_VALUE"""),"70409432121")</f>
        <v>70409432121</v>
      </c>
      <c r="E332" s="11" t="str">
        <f ca="1">IFERROR(__xludf.dummyfunction("""COMPUTED_VALUE"""),"LUCASFC193@GMAIL.COM")</f>
        <v>LUCASFC193@GMAIL.COM</v>
      </c>
      <c r="F332" s="11"/>
      <c r="G332" s="11" t="str">
        <f ca="1">IFERROR(__xludf.dummyfunction("""COMPUTED_VALUE"""),"(62) 981152692")</f>
        <v>(62) 981152692</v>
      </c>
      <c r="H332" s="11" t="str">
        <f ca="1">IFERROR(__xludf.dummyfunction("""COMPUTED_VALUE"""),"SUPERIOR")</f>
        <v>SUPERIOR</v>
      </c>
      <c r="I332" s="10" t="str">
        <f ca="1">IFERROR(__xludf.dummyfunction("""COMPUTED_VALUE"""),"DIREITO")</f>
        <v>DIREITO</v>
      </c>
      <c r="J332" s="10" t="str">
        <f ca="1">IFERROR(__xludf.dummyfunction("""COMPUTED_VALUE"""),"MANHÃ")</f>
        <v>MANHÃ</v>
      </c>
      <c r="K332" s="10" t="str">
        <f ca="1">IFERROR(__xludf.dummyfunction("""COMPUTED_VALUE"""),"TARDE")</f>
        <v>TARDE</v>
      </c>
      <c r="L332" s="10" t="str">
        <f ca="1">IFERROR(__xludf.dummyfunction("""COMPUTED_VALUE"""),"GOIÂNIA - GO")</f>
        <v>GOIÂNIA - GO</v>
      </c>
      <c r="M332" s="10">
        <f ca="1">IFERROR(__xludf.dummyfunction("""COMPUTED_VALUE"""),5)</f>
        <v>5</v>
      </c>
      <c r="N332" s="10" t="str">
        <f ca="1">IFERROR(__xludf.dummyfunction("""COMPUTED_VALUE"""),"DISPONÍVEL")</f>
        <v>DISPONÍVEL</v>
      </c>
      <c r="O332" s="12"/>
      <c r="P332" s="11"/>
      <c r="Q332" s="11"/>
      <c r="R332" s="11"/>
    </row>
    <row r="333" spans="1:18">
      <c r="A333" s="10">
        <f ca="1">IFERROR(__xludf.dummyfunction("""COMPUTED_VALUE"""),142)</f>
        <v>142</v>
      </c>
      <c r="B333" s="11" t="str">
        <f ca="1">IFERROR(__xludf.dummyfunction("""COMPUTED_VALUE"""),"ISABELA VALENTINO VIEIRA")</f>
        <v>ISABELA VALENTINO VIEIRA</v>
      </c>
      <c r="C333" s="11"/>
      <c r="D333" s="11" t="str">
        <f ca="1">IFERROR(__xludf.dummyfunction("""COMPUTED_VALUE"""),"71053990154")</f>
        <v>71053990154</v>
      </c>
      <c r="E333" s="11" t="str">
        <f ca="1">IFERROR(__xludf.dummyfunction("""COMPUTED_VALUE"""),"ISABELAVALENTINO254@GMAIL.COM")</f>
        <v>ISABELAVALENTINO254@GMAIL.COM</v>
      </c>
      <c r="F333" s="11" t="str">
        <f ca="1">IFERROR(__xludf.dummyfunction("""COMPUTED_VALUE"""),"(00) 00000000")</f>
        <v>(00) 00000000</v>
      </c>
      <c r="G333" s="11" t="str">
        <f ca="1">IFERROR(__xludf.dummyfunction("""COMPUTED_VALUE"""),"(62) 985477526")</f>
        <v>(62) 985477526</v>
      </c>
      <c r="H333" s="11" t="str">
        <f ca="1">IFERROR(__xludf.dummyfunction("""COMPUTED_VALUE"""),"SUPERIOR")</f>
        <v>SUPERIOR</v>
      </c>
      <c r="I333" s="10" t="str">
        <f ca="1">IFERROR(__xludf.dummyfunction("""COMPUTED_VALUE"""),"DIREITO")</f>
        <v>DIREITO</v>
      </c>
      <c r="J333" s="10" t="str">
        <f ca="1">IFERROR(__xludf.dummyfunction("""COMPUTED_VALUE"""),"MANHÃ")</f>
        <v>MANHÃ</v>
      </c>
      <c r="K333" s="10" t="str">
        <f ca="1">IFERROR(__xludf.dummyfunction("""COMPUTED_VALUE"""),"TARDE")</f>
        <v>TARDE</v>
      </c>
      <c r="L333" s="10" t="str">
        <f ca="1">IFERROR(__xludf.dummyfunction("""COMPUTED_VALUE"""),"GOIÂNIA - GO")</f>
        <v>GOIÂNIA - GO</v>
      </c>
      <c r="M333" s="10">
        <f ca="1">IFERROR(__xludf.dummyfunction("""COMPUTED_VALUE"""),8)</f>
        <v>8</v>
      </c>
      <c r="N333" s="10" t="str">
        <f ca="1">IFERROR(__xludf.dummyfunction("""COMPUTED_VALUE"""),"DISPONÍVEL")</f>
        <v>DISPONÍVEL</v>
      </c>
      <c r="O333" s="12"/>
      <c r="P333" s="11"/>
      <c r="Q333" s="11"/>
      <c r="R333" s="11"/>
    </row>
    <row r="334" spans="1:18">
      <c r="A334" s="10">
        <f ca="1">IFERROR(__xludf.dummyfunction("""COMPUTED_VALUE"""),143)</f>
        <v>143</v>
      </c>
      <c r="B334" s="11" t="str">
        <f ca="1">IFERROR(__xludf.dummyfunction("""COMPUTED_VALUE"""),"LUÍS ADRIANO CUNHA MACHADO")</f>
        <v>LUÍS ADRIANO CUNHA MACHADO</v>
      </c>
      <c r="C334" s="11" t="str">
        <f ca="1">IFERROR(__xludf.dummyfunction("""COMPUTED_VALUE"""),"7635737")</f>
        <v>7635737</v>
      </c>
      <c r="D334" s="11" t="str">
        <f ca="1">IFERROR(__xludf.dummyfunction("""COMPUTED_VALUE"""),"71066513112")</f>
        <v>71066513112</v>
      </c>
      <c r="E334" s="11" t="str">
        <f ca="1">IFERROR(__xludf.dummyfunction("""COMPUTED_VALUE"""),"LUIS-ADRIANO101@HOTMAIL.COM")</f>
        <v>LUIS-ADRIANO101@HOTMAIL.COM</v>
      </c>
      <c r="F334" s="11" t="str">
        <f ca="1">IFERROR(__xludf.dummyfunction("""COMPUTED_VALUE"""),"(62) 31001260")</f>
        <v>(62) 31001260</v>
      </c>
      <c r="G334" s="11" t="str">
        <f ca="1">IFERROR(__xludf.dummyfunction("""COMPUTED_VALUE"""),"(62) 981477514")</f>
        <v>(62) 981477514</v>
      </c>
      <c r="H334" s="11" t="str">
        <f ca="1">IFERROR(__xludf.dummyfunction("""COMPUTED_VALUE"""),"SUPERIOR")</f>
        <v>SUPERIOR</v>
      </c>
      <c r="I334" s="10" t="str">
        <f ca="1">IFERROR(__xludf.dummyfunction("""COMPUTED_VALUE"""),"DIREITO")</f>
        <v>DIREITO</v>
      </c>
      <c r="J334" s="10" t="str">
        <f ca="1">IFERROR(__xludf.dummyfunction("""COMPUTED_VALUE"""),"NOITE")</f>
        <v>NOITE</v>
      </c>
      <c r="K334" s="10" t="str">
        <f ca="1">IFERROR(__xludf.dummyfunction("""COMPUTED_VALUE"""),"TARDE")</f>
        <v>TARDE</v>
      </c>
      <c r="L334" s="10" t="str">
        <f ca="1">IFERROR(__xludf.dummyfunction("""COMPUTED_VALUE"""),"GOIÂNIA - GO")</f>
        <v>GOIÂNIA - GO</v>
      </c>
      <c r="M334" s="10">
        <f ca="1">IFERROR(__xludf.dummyfunction("""COMPUTED_VALUE"""),5)</f>
        <v>5</v>
      </c>
      <c r="N334" s="10" t="str">
        <f ca="1">IFERROR(__xludf.dummyfunction("""COMPUTED_VALUE"""),"DISPONÍVEL")</f>
        <v>DISPONÍVEL</v>
      </c>
      <c r="O334" s="12"/>
      <c r="P334" s="11"/>
      <c r="Q334" s="11"/>
      <c r="R334" s="11"/>
    </row>
    <row r="335" spans="1:18">
      <c r="A335" s="10">
        <f ca="1">IFERROR(__xludf.dummyfunction("""COMPUTED_VALUE"""),144)</f>
        <v>144</v>
      </c>
      <c r="B335" s="11" t="str">
        <f ca="1">IFERROR(__xludf.dummyfunction("""COMPUTED_VALUE"""),"SILENE JACINTO DA SILVA")</f>
        <v>SILENE JACINTO DA SILVA</v>
      </c>
      <c r="C335" s="11" t="str">
        <f ca="1">IFERROR(__xludf.dummyfunction("""COMPUTED_VALUE"""),"4322020")</f>
        <v>4322020</v>
      </c>
      <c r="D335" s="11" t="str">
        <f ca="1">IFERROR(__xludf.dummyfunction("""COMPUTED_VALUE"""),"94089051134")</f>
        <v>94089051134</v>
      </c>
      <c r="E335" s="11" t="str">
        <f ca="1">IFERROR(__xludf.dummyfunction("""COMPUTED_VALUE"""),"SILENEJACINTOA@GMAIL.COM")</f>
        <v>SILENEJACINTOA@GMAIL.COM</v>
      </c>
      <c r="F335" s="11"/>
      <c r="G335" s="11" t="str">
        <f ca="1">IFERROR(__xludf.dummyfunction("""COMPUTED_VALUE"""),"(62) 991546119")</f>
        <v>(62) 991546119</v>
      </c>
      <c r="H335" s="11" t="str">
        <f ca="1">IFERROR(__xludf.dummyfunction("""COMPUTED_VALUE"""),"SUPERIOR")</f>
        <v>SUPERIOR</v>
      </c>
      <c r="I335" s="10" t="str">
        <f ca="1">IFERROR(__xludf.dummyfunction("""COMPUTED_VALUE"""),"DIREITO")</f>
        <v>DIREITO</v>
      </c>
      <c r="J335" s="10" t="str">
        <f ca="1">IFERROR(__xludf.dummyfunction("""COMPUTED_VALUE"""),"NOITE")</f>
        <v>NOITE</v>
      </c>
      <c r="K335" s="10" t="str">
        <f ca="1">IFERROR(__xludf.dummyfunction("""COMPUTED_VALUE"""),"TARDE")</f>
        <v>TARDE</v>
      </c>
      <c r="L335" s="10" t="str">
        <f ca="1">IFERROR(__xludf.dummyfunction("""COMPUTED_VALUE"""),"GOIÂNIA - GO")</f>
        <v>GOIÂNIA - GO</v>
      </c>
      <c r="M335" s="10">
        <f ca="1">IFERROR(__xludf.dummyfunction("""COMPUTED_VALUE"""),7)</f>
        <v>7</v>
      </c>
      <c r="N335" s="10" t="str">
        <f ca="1">IFERROR(__xludf.dummyfunction("""COMPUTED_VALUE"""),"DISPONÍVEL")</f>
        <v>DISPONÍVEL</v>
      </c>
      <c r="O335" s="12"/>
      <c r="P335" s="11"/>
      <c r="Q335" s="11"/>
      <c r="R335" s="11"/>
    </row>
    <row r="336" spans="1:18">
      <c r="A336" s="10">
        <f ca="1">IFERROR(__xludf.dummyfunction("""COMPUTED_VALUE"""),145)</f>
        <v>145</v>
      </c>
      <c r="B336" s="11" t="str">
        <f ca="1">IFERROR(__xludf.dummyfunction("""COMPUTED_VALUE"""),"DAFINY MORGANA SILVA OLIVEIRA")</f>
        <v>DAFINY MORGANA SILVA OLIVEIRA</v>
      </c>
      <c r="C336" s="11"/>
      <c r="D336" s="11" t="str">
        <f ca="1">IFERROR(__xludf.dummyfunction("""COMPUTED_VALUE"""),"70150345143")</f>
        <v>70150345143</v>
      </c>
      <c r="E336" s="11" t="str">
        <f ca="1">IFERROR(__xludf.dummyfunction("""COMPUTED_VALUE"""),"OLIVEIRAMORGANA18@GMAIL.COM")</f>
        <v>OLIVEIRAMORGANA18@GMAIL.COM</v>
      </c>
      <c r="F336" s="11" t="str">
        <f ca="1">IFERROR(__xludf.dummyfunction("""COMPUTED_VALUE"""),"(62) 86415832")</f>
        <v>(62) 86415832</v>
      </c>
      <c r="G336" s="11" t="str">
        <f ca="1">IFERROR(__xludf.dummyfunction("""COMPUTED_VALUE"""),"(62) 986415832")</f>
        <v>(62) 986415832</v>
      </c>
      <c r="H336" s="11" t="str">
        <f ca="1">IFERROR(__xludf.dummyfunction("""COMPUTED_VALUE"""),"SUPERIOR")</f>
        <v>SUPERIOR</v>
      </c>
      <c r="I336" s="10" t="str">
        <f ca="1">IFERROR(__xludf.dummyfunction("""COMPUTED_VALUE"""),"DIREITO")</f>
        <v>DIREITO</v>
      </c>
      <c r="J336" s="10" t="str">
        <f ca="1">IFERROR(__xludf.dummyfunction("""COMPUTED_VALUE"""),"NOITE")</f>
        <v>NOITE</v>
      </c>
      <c r="K336" s="10" t="str">
        <f ca="1">IFERROR(__xludf.dummyfunction("""COMPUTED_VALUE"""),"TARDE")</f>
        <v>TARDE</v>
      </c>
      <c r="L336" s="10" t="str">
        <f ca="1">IFERROR(__xludf.dummyfunction("""COMPUTED_VALUE"""),"GOIÂNIA - GO")</f>
        <v>GOIÂNIA - GO</v>
      </c>
      <c r="M336" s="10">
        <f ca="1">IFERROR(__xludf.dummyfunction("""COMPUTED_VALUE"""),6)</f>
        <v>6</v>
      </c>
      <c r="N336" s="10" t="str">
        <f ca="1">IFERROR(__xludf.dummyfunction("""COMPUTED_VALUE"""),"DISPONÍVEL")</f>
        <v>DISPONÍVEL</v>
      </c>
      <c r="O336" s="12"/>
      <c r="P336" s="11"/>
      <c r="Q336" s="11"/>
      <c r="R336" s="11"/>
    </row>
    <row r="337" spans="1:18">
      <c r="A337" s="10">
        <f ca="1">IFERROR(__xludf.dummyfunction("""COMPUTED_VALUE"""),146)</f>
        <v>146</v>
      </c>
      <c r="B337" s="11" t="str">
        <f ca="1">IFERROR(__xludf.dummyfunction("""COMPUTED_VALUE"""),"GIOVANNA SILVA FERNANDES")</f>
        <v>GIOVANNA SILVA FERNANDES</v>
      </c>
      <c r="C337" s="11" t="str">
        <f ca="1">IFERROR(__xludf.dummyfunction("""COMPUTED_VALUE"""),"7760440")</f>
        <v>7760440</v>
      </c>
      <c r="D337" s="11" t="str">
        <f ca="1">IFERROR(__xludf.dummyfunction("""COMPUTED_VALUE"""),"70542460122")</f>
        <v>70542460122</v>
      </c>
      <c r="E337" s="11" t="str">
        <f ca="1">IFERROR(__xludf.dummyfunction("""COMPUTED_VALUE"""),"GIOVANNASF0910@GMAIL.COM")</f>
        <v>GIOVANNASF0910@GMAIL.COM</v>
      </c>
      <c r="F337" s="11"/>
      <c r="G337" s="11" t="str">
        <f ca="1">IFERROR(__xludf.dummyfunction("""COMPUTED_VALUE"""),"(62) 983394621")</f>
        <v>(62) 983394621</v>
      </c>
      <c r="H337" s="11" t="str">
        <f ca="1">IFERROR(__xludf.dummyfunction("""COMPUTED_VALUE"""),"SUPERIOR")</f>
        <v>SUPERIOR</v>
      </c>
      <c r="I337" s="10" t="str">
        <f ca="1">IFERROR(__xludf.dummyfunction("""COMPUTED_VALUE"""),"DIREITO")</f>
        <v>DIREITO</v>
      </c>
      <c r="J337" s="10" t="str">
        <f ca="1">IFERROR(__xludf.dummyfunction("""COMPUTED_VALUE"""),"MANHÃ")</f>
        <v>MANHÃ</v>
      </c>
      <c r="K337" s="10" t="str">
        <f ca="1">IFERROR(__xludf.dummyfunction("""COMPUTED_VALUE"""),"TARDE")</f>
        <v>TARDE</v>
      </c>
      <c r="L337" s="10" t="str">
        <f ca="1">IFERROR(__xludf.dummyfunction("""COMPUTED_VALUE"""),"GOIÂNIA - GO")</f>
        <v>GOIÂNIA - GO</v>
      </c>
      <c r="M337" s="10">
        <f ca="1">IFERROR(__xludf.dummyfunction("""COMPUTED_VALUE"""),6)</f>
        <v>6</v>
      </c>
      <c r="N337" s="10" t="str">
        <f ca="1">IFERROR(__xludf.dummyfunction("""COMPUTED_VALUE"""),"DISPONÍVEL")</f>
        <v>DISPONÍVEL</v>
      </c>
      <c r="O337" s="12"/>
      <c r="P337" s="11"/>
      <c r="Q337" s="11"/>
      <c r="R337" s="11"/>
    </row>
    <row r="338" spans="1:18">
      <c r="A338" s="10">
        <f ca="1">IFERROR(__xludf.dummyfunction("""COMPUTED_VALUE"""),147)</f>
        <v>147</v>
      </c>
      <c r="B338" s="11" t="str">
        <f ca="1">IFERROR(__xludf.dummyfunction("""COMPUTED_VALUE"""),"HENRIQUE MORAES MARTINS")</f>
        <v>HENRIQUE MORAES MARTINS</v>
      </c>
      <c r="C338" s="11"/>
      <c r="D338" s="11" t="str">
        <f ca="1">IFERROR(__xludf.dummyfunction("""COMPUTED_VALUE"""),"70724682180")</f>
        <v>70724682180</v>
      </c>
      <c r="E338" s="11" t="str">
        <f ca="1">IFERROR(__xludf.dummyfunction("""COMPUTED_VALUE"""),"HENRIQUEMORAESFLAMENGUISTA@GMAIL.COM")</f>
        <v>HENRIQUEMORAESFLAMENGUISTA@GMAIL.COM</v>
      </c>
      <c r="F338" s="11"/>
      <c r="G338" s="11" t="str">
        <f ca="1">IFERROR(__xludf.dummyfunction("""COMPUTED_VALUE"""),"(62) 985454374")</f>
        <v>(62) 985454374</v>
      </c>
      <c r="H338" s="11" t="str">
        <f ca="1">IFERROR(__xludf.dummyfunction("""COMPUTED_VALUE"""),"SUPERIOR")</f>
        <v>SUPERIOR</v>
      </c>
      <c r="I338" s="10" t="str">
        <f ca="1">IFERROR(__xludf.dummyfunction("""COMPUTED_VALUE"""),"DIREITO")</f>
        <v>DIREITO</v>
      </c>
      <c r="J338" s="10" t="str">
        <f ca="1">IFERROR(__xludf.dummyfunction("""COMPUTED_VALUE"""),"NOITE")</f>
        <v>NOITE</v>
      </c>
      <c r="K338" s="10" t="str">
        <f ca="1">IFERROR(__xludf.dummyfunction("""COMPUTED_VALUE"""),"TARDE")</f>
        <v>TARDE</v>
      </c>
      <c r="L338" s="10" t="str">
        <f ca="1">IFERROR(__xludf.dummyfunction("""COMPUTED_VALUE"""),"GOIÂNIA - GO")</f>
        <v>GOIÂNIA - GO</v>
      </c>
      <c r="M338" s="10">
        <f ca="1">IFERROR(__xludf.dummyfunction("""COMPUTED_VALUE"""),5)</f>
        <v>5</v>
      </c>
      <c r="N338" s="10" t="str">
        <f ca="1">IFERROR(__xludf.dummyfunction("""COMPUTED_VALUE"""),"DISPONÍVEL")</f>
        <v>DISPONÍVEL</v>
      </c>
      <c r="O338" s="12"/>
      <c r="P338" s="11"/>
      <c r="Q338" s="11"/>
      <c r="R338" s="11"/>
    </row>
    <row r="339" spans="1:18">
      <c r="A339" s="10">
        <f ca="1">IFERROR(__xludf.dummyfunction("""COMPUTED_VALUE"""),148)</f>
        <v>148</v>
      </c>
      <c r="B339" s="11" t="str">
        <f ca="1">IFERROR(__xludf.dummyfunction("""COMPUTED_VALUE"""),"ELISAMA DIAS MATOS")</f>
        <v>ELISAMA DIAS MATOS</v>
      </c>
      <c r="C339" s="11" t="str">
        <f ca="1">IFERROR(__xludf.dummyfunction("""COMPUTED_VALUE"""),"6874842")</f>
        <v>6874842</v>
      </c>
      <c r="D339" s="11" t="str">
        <f ca="1">IFERROR(__xludf.dummyfunction("""COMPUTED_VALUE"""),"07803353177")</f>
        <v>07803353177</v>
      </c>
      <c r="E339" s="11" t="str">
        <f ca="1">IFERROR(__xludf.dummyfunction("""COMPUTED_VALUE"""),"ELISAMA.DIAS@ESTUDANTE.UNIARAGUAIA.EDU.BR")</f>
        <v>ELISAMA.DIAS@ESTUDANTE.UNIARAGUAIA.EDU.BR</v>
      </c>
      <c r="F339" s="11"/>
      <c r="G339" s="11" t="str">
        <f ca="1">IFERROR(__xludf.dummyfunction("""COMPUTED_VALUE"""),"(62) 981941819")</f>
        <v>(62) 981941819</v>
      </c>
      <c r="H339" s="11" t="str">
        <f ca="1">IFERROR(__xludf.dummyfunction("""COMPUTED_VALUE"""),"SUPERIOR")</f>
        <v>SUPERIOR</v>
      </c>
      <c r="I339" s="10" t="str">
        <f ca="1">IFERROR(__xludf.dummyfunction("""COMPUTED_VALUE"""),"DIREITO")</f>
        <v>DIREITO</v>
      </c>
      <c r="J339" s="10" t="str">
        <f ca="1">IFERROR(__xludf.dummyfunction("""COMPUTED_VALUE"""),"NOITE")</f>
        <v>NOITE</v>
      </c>
      <c r="K339" s="10" t="str">
        <f ca="1">IFERROR(__xludf.dummyfunction("""COMPUTED_VALUE"""),"TARDE")</f>
        <v>TARDE</v>
      </c>
      <c r="L339" s="10" t="str">
        <f ca="1">IFERROR(__xludf.dummyfunction("""COMPUTED_VALUE"""),"GOIÂNIA - GO")</f>
        <v>GOIÂNIA - GO</v>
      </c>
      <c r="M339" s="10">
        <f ca="1">IFERROR(__xludf.dummyfunction("""COMPUTED_VALUE"""),5)</f>
        <v>5</v>
      </c>
      <c r="N339" s="10" t="str">
        <f ca="1">IFERROR(__xludf.dummyfunction("""COMPUTED_VALUE"""),"DISPONÍVEL")</f>
        <v>DISPONÍVEL</v>
      </c>
      <c r="O339" s="12"/>
      <c r="P339" s="11"/>
      <c r="Q339" s="11"/>
      <c r="R339" s="11"/>
    </row>
    <row r="340" spans="1:18">
      <c r="A340" s="10">
        <f ca="1">IFERROR(__xludf.dummyfunction("""COMPUTED_VALUE"""),149)</f>
        <v>149</v>
      </c>
      <c r="B340" s="11" t="str">
        <f ca="1">IFERROR(__xludf.dummyfunction("""COMPUTED_VALUE"""),"JOÃO HENRIQUE DA SILVA BARBOSA")</f>
        <v>JOÃO HENRIQUE DA SILVA BARBOSA</v>
      </c>
      <c r="C340" s="11"/>
      <c r="D340" s="11" t="str">
        <f ca="1">IFERROR(__xludf.dummyfunction("""COMPUTED_VALUE"""),"70306686180")</f>
        <v>70306686180</v>
      </c>
      <c r="E340" s="11" t="str">
        <f ca="1">IFERROR(__xludf.dummyfunction("""COMPUTED_VALUE"""),"JHENRI.2010@HOTMAIL.COM")</f>
        <v>JHENRI.2010@HOTMAIL.COM</v>
      </c>
      <c r="F340" s="11"/>
      <c r="G340" s="11" t="str">
        <f ca="1">IFERROR(__xludf.dummyfunction("""COMPUTED_VALUE"""),"(62) 999718775")</f>
        <v>(62) 999718775</v>
      </c>
      <c r="H340" s="11" t="str">
        <f ca="1">IFERROR(__xludf.dummyfunction("""COMPUTED_VALUE"""),"SUPERIOR")</f>
        <v>SUPERIOR</v>
      </c>
      <c r="I340" s="10" t="str">
        <f ca="1">IFERROR(__xludf.dummyfunction("""COMPUTED_VALUE"""),"DIREITO")</f>
        <v>DIREITO</v>
      </c>
      <c r="J340" s="10" t="str">
        <f ca="1">IFERROR(__xludf.dummyfunction("""COMPUTED_VALUE"""),"NOITE")</f>
        <v>NOITE</v>
      </c>
      <c r="K340" s="10" t="str">
        <f ca="1">IFERROR(__xludf.dummyfunction("""COMPUTED_VALUE"""),"TARDE")</f>
        <v>TARDE</v>
      </c>
      <c r="L340" s="10" t="str">
        <f ca="1">IFERROR(__xludf.dummyfunction("""COMPUTED_VALUE"""),"GOIÂNIA - GO")</f>
        <v>GOIÂNIA - GO</v>
      </c>
      <c r="M340" s="10">
        <f ca="1">IFERROR(__xludf.dummyfunction("""COMPUTED_VALUE"""),8)</f>
        <v>8</v>
      </c>
      <c r="N340" s="10" t="str">
        <f ca="1">IFERROR(__xludf.dummyfunction("""COMPUTED_VALUE"""),"DISPONÍVEL")</f>
        <v>DISPONÍVEL</v>
      </c>
      <c r="O340" s="12"/>
      <c r="P340" s="11"/>
      <c r="Q340" s="11"/>
      <c r="R340" s="11"/>
    </row>
    <row r="341" spans="1:18">
      <c r="A341" s="10">
        <f ca="1">IFERROR(__xludf.dummyfunction("""COMPUTED_VALUE"""),150)</f>
        <v>150</v>
      </c>
      <c r="B341" s="11" t="str">
        <f ca="1">IFERROR(__xludf.dummyfunction("""COMPUTED_VALUE"""),"MATHEUS LIMA DOS SANTOS")</f>
        <v>MATHEUS LIMA DOS SANTOS</v>
      </c>
      <c r="C341" s="11"/>
      <c r="D341" s="11" t="str">
        <f ca="1">IFERROR(__xludf.dummyfunction("""COMPUTED_VALUE"""),"05998155157")</f>
        <v>05998155157</v>
      </c>
      <c r="E341" s="11" t="str">
        <f ca="1">IFERROR(__xludf.dummyfunction("""COMPUTED_VALUE"""),"MATHEUS062.LIMA@GMAIL.COM")</f>
        <v>MATHEUS062.LIMA@GMAIL.COM</v>
      </c>
      <c r="F341" s="11"/>
      <c r="G341" s="11" t="str">
        <f ca="1">IFERROR(__xludf.dummyfunction("""COMPUTED_VALUE"""),"(62) 981739258")</f>
        <v>(62) 981739258</v>
      </c>
      <c r="H341" s="11" t="str">
        <f ca="1">IFERROR(__xludf.dummyfunction("""COMPUTED_VALUE"""),"SUPERIOR")</f>
        <v>SUPERIOR</v>
      </c>
      <c r="I341" s="10" t="str">
        <f ca="1">IFERROR(__xludf.dummyfunction("""COMPUTED_VALUE"""),"DIREITO")</f>
        <v>DIREITO</v>
      </c>
      <c r="J341" s="10" t="str">
        <f ca="1">IFERROR(__xludf.dummyfunction("""COMPUTED_VALUE"""),"MANHÃ")</f>
        <v>MANHÃ</v>
      </c>
      <c r="K341" s="10" t="str">
        <f ca="1">IFERROR(__xludf.dummyfunction("""COMPUTED_VALUE"""),"TARDE")</f>
        <v>TARDE</v>
      </c>
      <c r="L341" s="10" t="str">
        <f ca="1">IFERROR(__xludf.dummyfunction("""COMPUTED_VALUE"""),"GOIÂNIA - GO")</f>
        <v>GOIÂNIA - GO</v>
      </c>
      <c r="M341" s="10">
        <f ca="1">IFERROR(__xludf.dummyfunction("""COMPUTED_VALUE"""),7)</f>
        <v>7</v>
      </c>
      <c r="N341" s="10" t="str">
        <f ca="1">IFERROR(__xludf.dummyfunction("""COMPUTED_VALUE"""),"DISPONÍVEL")</f>
        <v>DISPONÍVEL</v>
      </c>
      <c r="O341" s="12"/>
      <c r="P341" s="11"/>
      <c r="Q341" s="11"/>
      <c r="R341" s="11"/>
    </row>
    <row r="342" spans="1:18">
      <c r="A342" s="10">
        <f ca="1">IFERROR(__xludf.dummyfunction("""COMPUTED_VALUE"""),151)</f>
        <v>151</v>
      </c>
      <c r="B342" s="11" t="str">
        <f ca="1">IFERROR(__xludf.dummyfunction("""COMPUTED_VALUE"""),"EMILLY ALVARENGA GOMES")</f>
        <v>EMILLY ALVARENGA GOMES</v>
      </c>
      <c r="C342" s="11"/>
      <c r="D342" s="11" t="str">
        <f ca="1">IFERROR(__xludf.dummyfunction("""COMPUTED_VALUE"""),"70857103148")</f>
        <v>70857103148</v>
      </c>
      <c r="E342" s="11" t="str">
        <f ca="1">IFERROR(__xludf.dummyfunction("""COMPUTED_VALUE"""),"EMILLYALVARENGA701@GMAIL.COM")</f>
        <v>EMILLYALVARENGA701@GMAIL.COM</v>
      </c>
      <c r="F342" s="11"/>
      <c r="G342" s="11" t="str">
        <f ca="1">IFERROR(__xludf.dummyfunction("""COMPUTED_VALUE"""),"(62) 981389300")</f>
        <v>(62) 981389300</v>
      </c>
      <c r="H342" s="11" t="str">
        <f ca="1">IFERROR(__xludf.dummyfunction("""COMPUTED_VALUE"""),"SUPERIOR")</f>
        <v>SUPERIOR</v>
      </c>
      <c r="I342" s="10" t="str">
        <f ca="1">IFERROR(__xludf.dummyfunction("""COMPUTED_VALUE"""),"DIREITO")</f>
        <v>DIREITO</v>
      </c>
      <c r="J342" s="10" t="str">
        <f ca="1">IFERROR(__xludf.dummyfunction("""COMPUTED_VALUE"""),"MANHÃ")</f>
        <v>MANHÃ</v>
      </c>
      <c r="K342" s="10" t="str">
        <f ca="1">IFERROR(__xludf.dummyfunction("""COMPUTED_VALUE"""),"TARDE")</f>
        <v>TARDE</v>
      </c>
      <c r="L342" s="10" t="str">
        <f ca="1">IFERROR(__xludf.dummyfunction("""COMPUTED_VALUE"""),"GOIÂNIA - GO")</f>
        <v>GOIÂNIA - GO</v>
      </c>
      <c r="M342" s="10">
        <f ca="1">IFERROR(__xludf.dummyfunction("""COMPUTED_VALUE"""),8)</f>
        <v>8</v>
      </c>
      <c r="N342" s="10" t="str">
        <f ca="1">IFERROR(__xludf.dummyfunction("""COMPUTED_VALUE"""),"DISPONÍVEL")</f>
        <v>DISPONÍVEL</v>
      </c>
      <c r="O342" s="12"/>
      <c r="P342" s="11"/>
      <c r="Q342" s="11"/>
      <c r="R342" s="11"/>
    </row>
    <row r="343" spans="1:18">
      <c r="A343" s="10">
        <f ca="1">IFERROR(__xludf.dummyfunction("""COMPUTED_VALUE"""),152)</f>
        <v>152</v>
      </c>
      <c r="B343" s="11" t="str">
        <f ca="1">IFERROR(__xludf.dummyfunction("""COMPUTED_VALUE"""),"VICTOR ALEXANDRE FERNANDES PIMENTEL")</f>
        <v>VICTOR ALEXANDRE FERNANDES PIMENTEL</v>
      </c>
      <c r="C343" s="11"/>
      <c r="D343" s="11" t="str">
        <f ca="1">IFERROR(__xludf.dummyfunction("""COMPUTED_VALUE"""),"05119900143")</f>
        <v>05119900143</v>
      </c>
      <c r="E343" s="11" t="str">
        <f ca="1">IFERROR(__xludf.dummyfunction("""COMPUTED_VALUE"""),"VICTORPIMENTEL2312@GMAIL.COM")</f>
        <v>VICTORPIMENTEL2312@GMAIL.COM</v>
      </c>
      <c r="F343" s="11" t="str">
        <f ca="1">IFERROR(__xludf.dummyfunction("""COMPUTED_VALUE"""),"(62) 85748391")</f>
        <v>(62) 85748391</v>
      </c>
      <c r="G343" s="11" t="str">
        <f ca="1">IFERROR(__xludf.dummyfunction("""COMPUTED_VALUE"""),"(62) 985748391")</f>
        <v>(62) 985748391</v>
      </c>
      <c r="H343" s="11" t="str">
        <f ca="1">IFERROR(__xludf.dummyfunction("""COMPUTED_VALUE"""),"SUPERIOR")</f>
        <v>SUPERIOR</v>
      </c>
      <c r="I343" s="10" t="str">
        <f ca="1">IFERROR(__xludf.dummyfunction("""COMPUTED_VALUE"""),"DIREITO")</f>
        <v>DIREITO</v>
      </c>
      <c r="J343" s="10" t="str">
        <f ca="1">IFERROR(__xludf.dummyfunction("""COMPUTED_VALUE"""),"NOITE")</f>
        <v>NOITE</v>
      </c>
      <c r="K343" s="10" t="str">
        <f ca="1">IFERROR(__xludf.dummyfunction("""COMPUTED_VALUE"""),"TARDE")</f>
        <v>TARDE</v>
      </c>
      <c r="L343" s="10" t="str">
        <f ca="1">IFERROR(__xludf.dummyfunction("""COMPUTED_VALUE"""),"GOIÂNIA - GO")</f>
        <v>GOIÂNIA - GO</v>
      </c>
      <c r="M343" s="10">
        <f ca="1">IFERROR(__xludf.dummyfunction("""COMPUTED_VALUE"""),7)</f>
        <v>7</v>
      </c>
      <c r="N343" s="10" t="str">
        <f ca="1">IFERROR(__xludf.dummyfunction("""COMPUTED_VALUE"""),"DISPONÍVEL")</f>
        <v>DISPONÍVEL</v>
      </c>
      <c r="O343" s="12"/>
      <c r="P343" s="11"/>
      <c r="Q343" s="11"/>
      <c r="R343" s="11"/>
    </row>
    <row r="344" spans="1:18">
      <c r="A344" s="10">
        <f ca="1">IFERROR(__xludf.dummyfunction("""COMPUTED_VALUE"""),153)</f>
        <v>153</v>
      </c>
      <c r="B344" s="11" t="str">
        <f ca="1">IFERROR(__xludf.dummyfunction("""COMPUTED_VALUE"""),"YURI DENIZAR ROSA SANTANA")</f>
        <v>YURI DENIZAR ROSA SANTANA</v>
      </c>
      <c r="C344" s="11" t="str">
        <f ca="1">IFERROR(__xludf.dummyfunction("""COMPUTED_VALUE"""),"6491623")</f>
        <v>6491623</v>
      </c>
      <c r="D344" s="11" t="str">
        <f ca="1">IFERROR(__xludf.dummyfunction("""COMPUTED_VALUE"""),"03847809113")</f>
        <v>03847809113</v>
      </c>
      <c r="E344" s="11" t="str">
        <f ca="1">IFERROR(__xludf.dummyfunction("""COMPUTED_VALUE"""),"WYURIW@GMAIL.COM")</f>
        <v>WYURIW@GMAIL.COM</v>
      </c>
      <c r="F344" s="11" t="str">
        <f ca="1">IFERROR(__xludf.dummyfunction("""COMPUTED_VALUE"""),"(62) 98629975")</f>
        <v>(62) 98629975</v>
      </c>
      <c r="G344" s="11" t="str">
        <f ca="1">IFERROR(__xludf.dummyfunction("""COMPUTED_VALUE"""),"(62) 986299753")</f>
        <v>(62) 986299753</v>
      </c>
      <c r="H344" s="11" t="str">
        <f ca="1">IFERROR(__xludf.dummyfunction("""COMPUTED_VALUE"""),"SUPERIOR")</f>
        <v>SUPERIOR</v>
      </c>
      <c r="I344" s="10" t="str">
        <f ca="1">IFERROR(__xludf.dummyfunction("""COMPUTED_VALUE"""),"DIREITO")</f>
        <v>DIREITO</v>
      </c>
      <c r="J344" s="10" t="str">
        <f ca="1">IFERROR(__xludf.dummyfunction("""COMPUTED_VALUE"""),"MANHÃ")</f>
        <v>MANHÃ</v>
      </c>
      <c r="K344" s="10" t="str">
        <f ca="1">IFERROR(__xludf.dummyfunction("""COMPUTED_VALUE"""),"TARDE")</f>
        <v>TARDE</v>
      </c>
      <c r="L344" s="10" t="str">
        <f ca="1">IFERROR(__xludf.dummyfunction("""COMPUTED_VALUE"""),"GOIÂNIA - GO")</f>
        <v>GOIÂNIA - GO</v>
      </c>
      <c r="M344" s="10">
        <f ca="1">IFERROR(__xludf.dummyfunction("""COMPUTED_VALUE"""),9)</f>
        <v>9</v>
      </c>
      <c r="N344" s="10" t="str">
        <f ca="1">IFERROR(__xludf.dummyfunction("""COMPUTED_VALUE"""),"DISPONÍVEL")</f>
        <v>DISPONÍVEL</v>
      </c>
      <c r="O344" s="12"/>
      <c r="P344" s="11"/>
      <c r="Q344" s="11"/>
      <c r="R344" s="11"/>
    </row>
    <row r="345" spans="1:18">
      <c r="A345" s="10">
        <f ca="1">IFERROR(__xludf.dummyfunction("""COMPUTED_VALUE"""),154)</f>
        <v>154</v>
      </c>
      <c r="B345" s="11" t="str">
        <f ca="1">IFERROR(__xludf.dummyfunction("""COMPUTED_VALUE"""),"FREDERICK DOUGLAS RODRIGUES COSTA")</f>
        <v>FREDERICK DOUGLAS RODRIGUES COSTA</v>
      </c>
      <c r="C345" s="11" t="str">
        <f ca="1">IFERROR(__xludf.dummyfunction("""COMPUTED_VALUE"""),"5421151")</f>
        <v>5421151</v>
      </c>
      <c r="D345" s="11" t="str">
        <f ca="1">IFERROR(__xludf.dummyfunction("""COMPUTED_VALUE"""),"03410348190")</f>
        <v>03410348190</v>
      </c>
      <c r="E345" s="11" t="str">
        <f ca="1">IFERROR(__xludf.dummyfunction("""COMPUTED_VALUE"""),"FREDERICK1DOUGLAS@GMAIL.COM")</f>
        <v>FREDERICK1DOUGLAS@GMAIL.COM</v>
      </c>
      <c r="F345" s="11"/>
      <c r="G345" s="11" t="str">
        <f ca="1">IFERROR(__xludf.dummyfunction("""COMPUTED_VALUE"""),"(62) 993410084")</f>
        <v>(62) 993410084</v>
      </c>
      <c r="H345" s="11" t="str">
        <f ca="1">IFERROR(__xludf.dummyfunction("""COMPUTED_VALUE"""),"SUPERIOR")</f>
        <v>SUPERIOR</v>
      </c>
      <c r="I345" s="10" t="str">
        <f ca="1">IFERROR(__xludf.dummyfunction("""COMPUTED_VALUE"""),"DIREITO")</f>
        <v>DIREITO</v>
      </c>
      <c r="J345" s="10" t="str">
        <f ca="1">IFERROR(__xludf.dummyfunction("""COMPUTED_VALUE"""),"NOITE")</f>
        <v>NOITE</v>
      </c>
      <c r="K345" s="10" t="str">
        <f ca="1">IFERROR(__xludf.dummyfunction("""COMPUTED_VALUE"""),"TARDE")</f>
        <v>TARDE</v>
      </c>
      <c r="L345" s="10" t="str">
        <f ca="1">IFERROR(__xludf.dummyfunction("""COMPUTED_VALUE"""),"GOIÂNIA - GO")</f>
        <v>GOIÂNIA - GO</v>
      </c>
      <c r="M345" s="10">
        <f ca="1">IFERROR(__xludf.dummyfunction("""COMPUTED_VALUE"""),5)</f>
        <v>5</v>
      </c>
      <c r="N345" s="10" t="str">
        <f ca="1">IFERROR(__xludf.dummyfunction("""COMPUTED_VALUE"""),"DISPONÍVEL")</f>
        <v>DISPONÍVEL</v>
      </c>
      <c r="O345" s="12"/>
      <c r="P345" s="11"/>
      <c r="Q345" s="11"/>
      <c r="R345" s="11"/>
    </row>
    <row r="346" spans="1:18">
      <c r="A346" s="10">
        <f ca="1">IFERROR(__xludf.dummyfunction("""COMPUTED_VALUE"""),155)</f>
        <v>155</v>
      </c>
      <c r="B346" s="11" t="str">
        <f ca="1">IFERROR(__xludf.dummyfunction("""COMPUTED_VALUE"""),"ANDRESSA FERREIRA DIAS FEITOSA")</f>
        <v>ANDRESSA FERREIRA DIAS FEITOSA</v>
      </c>
      <c r="C346" s="11" t="str">
        <f ca="1">IFERROR(__xludf.dummyfunction("""COMPUTED_VALUE"""),"7188563")</f>
        <v>7188563</v>
      </c>
      <c r="D346" s="11" t="str">
        <f ca="1">IFERROR(__xludf.dummyfunction("""COMPUTED_VALUE"""),"06920370123")</f>
        <v>06920370123</v>
      </c>
      <c r="E346" s="11" t="str">
        <f ca="1">IFERROR(__xludf.dummyfunction("""COMPUTED_VALUE"""),"ANDRESSAD56J@GMAIL.COM")</f>
        <v>ANDRESSAD56J@GMAIL.COM</v>
      </c>
      <c r="F346" s="11"/>
      <c r="G346" s="11" t="str">
        <f ca="1">IFERROR(__xludf.dummyfunction("""COMPUTED_VALUE"""),"(62) 992025778")</f>
        <v>(62) 992025778</v>
      </c>
      <c r="H346" s="11" t="str">
        <f ca="1">IFERROR(__xludf.dummyfunction("""COMPUTED_VALUE"""),"SUPERIOR")</f>
        <v>SUPERIOR</v>
      </c>
      <c r="I346" s="10" t="str">
        <f ca="1">IFERROR(__xludf.dummyfunction("""COMPUTED_VALUE"""),"DIREITO")</f>
        <v>DIREITO</v>
      </c>
      <c r="J346" s="10" t="str">
        <f ca="1">IFERROR(__xludf.dummyfunction("""COMPUTED_VALUE"""),"MANHÃ")</f>
        <v>MANHÃ</v>
      </c>
      <c r="K346" s="10" t="str">
        <f ca="1">IFERROR(__xludf.dummyfunction("""COMPUTED_VALUE"""),"TARDE")</f>
        <v>TARDE</v>
      </c>
      <c r="L346" s="10" t="str">
        <f ca="1">IFERROR(__xludf.dummyfunction("""COMPUTED_VALUE"""),"GOIÂNIA - GO")</f>
        <v>GOIÂNIA - GO</v>
      </c>
      <c r="M346" s="10">
        <f ca="1">IFERROR(__xludf.dummyfunction("""COMPUTED_VALUE"""),9)</f>
        <v>9</v>
      </c>
      <c r="N346" s="10" t="str">
        <f ca="1">IFERROR(__xludf.dummyfunction("""COMPUTED_VALUE"""),"DISPONÍVEL")</f>
        <v>DISPONÍVEL</v>
      </c>
      <c r="O346" s="12"/>
      <c r="P346" s="11"/>
      <c r="Q346" s="11"/>
      <c r="R346" s="11"/>
    </row>
    <row r="347" spans="1:18">
      <c r="A347" s="10">
        <f ca="1">IFERROR(__xludf.dummyfunction("""COMPUTED_VALUE"""),156)</f>
        <v>156</v>
      </c>
      <c r="B347" s="11" t="str">
        <f ca="1">IFERROR(__xludf.dummyfunction("""COMPUTED_VALUE"""),"WILVANY FERREIRA PAISLANDIM LOPES")</f>
        <v>WILVANY FERREIRA PAISLANDIM LOPES</v>
      </c>
      <c r="C347" s="11" t="str">
        <f ca="1">IFERROR(__xludf.dummyfunction("""COMPUTED_VALUE"""),"4858482")</f>
        <v>4858482</v>
      </c>
      <c r="D347" s="11" t="str">
        <f ca="1">IFERROR(__xludf.dummyfunction("""COMPUTED_VALUE"""),"02211163114")</f>
        <v>02211163114</v>
      </c>
      <c r="E347" s="11" t="str">
        <f ca="1">IFERROR(__xludf.dummyfunction("""COMPUTED_VALUE"""),"WILL_PAISLANDIM@HOTMAIL.COM")</f>
        <v>WILL_PAISLANDIM@HOTMAIL.COM</v>
      </c>
      <c r="F347" s="11"/>
      <c r="G347" s="11" t="str">
        <f ca="1">IFERROR(__xludf.dummyfunction("""COMPUTED_VALUE"""),"(62) 991755903")</f>
        <v>(62) 991755903</v>
      </c>
      <c r="H347" s="11" t="str">
        <f ca="1">IFERROR(__xludf.dummyfunction("""COMPUTED_VALUE"""),"SUPERIOR")</f>
        <v>SUPERIOR</v>
      </c>
      <c r="I347" s="10" t="str">
        <f ca="1">IFERROR(__xludf.dummyfunction("""COMPUTED_VALUE"""),"DIREITO")</f>
        <v>DIREITO</v>
      </c>
      <c r="J347" s="10" t="str">
        <f ca="1">IFERROR(__xludf.dummyfunction("""COMPUTED_VALUE"""),"MANHÃ")</f>
        <v>MANHÃ</v>
      </c>
      <c r="K347" s="10" t="str">
        <f ca="1">IFERROR(__xludf.dummyfunction("""COMPUTED_VALUE"""),"TARDE")</f>
        <v>TARDE</v>
      </c>
      <c r="L347" s="10" t="str">
        <f ca="1">IFERROR(__xludf.dummyfunction("""COMPUTED_VALUE"""),"GOIÂNIA - GO")</f>
        <v>GOIÂNIA - GO</v>
      </c>
      <c r="M347" s="10">
        <f ca="1">IFERROR(__xludf.dummyfunction("""COMPUTED_VALUE"""),5)</f>
        <v>5</v>
      </c>
      <c r="N347" s="10" t="str">
        <f ca="1">IFERROR(__xludf.dummyfunction("""COMPUTED_VALUE"""),"DISPONÍVEL")</f>
        <v>DISPONÍVEL</v>
      </c>
      <c r="O347" s="12"/>
      <c r="P347" s="11"/>
      <c r="Q347" s="11"/>
      <c r="R347" s="11"/>
    </row>
    <row r="348" spans="1:18">
      <c r="A348" s="10">
        <f ca="1">IFERROR(__xludf.dummyfunction("""COMPUTED_VALUE"""),157)</f>
        <v>157</v>
      </c>
      <c r="B348" s="11" t="str">
        <f ca="1">IFERROR(__xludf.dummyfunction("""COMPUTED_VALUE"""),"MARIA VITÓRIA GALVÃO SILVA NUNES")</f>
        <v>MARIA VITÓRIA GALVÃO SILVA NUNES</v>
      </c>
      <c r="C348" s="11"/>
      <c r="D348" s="11" t="str">
        <f ca="1">IFERROR(__xludf.dummyfunction("""COMPUTED_VALUE"""),"08000134500")</f>
        <v>08000134500</v>
      </c>
      <c r="E348" s="11" t="str">
        <f ca="1">IFERROR(__xludf.dummyfunction("""COMPUTED_VALUE"""),"BOLT04352@GMAIL.COM")</f>
        <v>BOLT04352@GMAIL.COM</v>
      </c>
      <c r="F348" s="11" t="str">
        <f ca="1">IFERROR(__xludf.dummyfunction("""COMPUTED_VALUE"""),"(75) 98881471")</f>
        <v>(75) 98881471</v>
      </c>
      <c r="G348" s="11" t="str">
        <f ca="1">IFERROR(__xludf.dummyfunction("""COMPUTED_VALUE"""),"(75) 988814713")</f>
        <v>(75) 988814713</v>
      </c>
      <c r="H348" s="11" t="str">
        <f ca="1">IFERROR(__xludf.dummyfunction("""COMPUTED_VALUE"""),"SUPERIOR")</f>
        <v>SUPERIOR</v>
      </c>
      <c r="I348" s="10" t="str">
        <f ca="1">IFERROR(__xludf.dummyfunction("""COMPUTED_VALUE"""),"DIREITO")</f>
        <v>DIREITO</v>
      </c>
      <c r="J348" s="10" t="str">
        <f ca="1">IFERROR(__xludf.dummyfunction("""COMPUTED_VALUE"""),"MANHÃ")</f>
        <v>MANHÃ</v>
      </c>
      <c r="K348" s="10" t="str">
        <f ca="1">IFERROR(__xludf.dummyfunction("""COMPUTED_VALUE"""),"TARDE")</f>
        <v>TARDE</v>
      </c>
      <c r="L348" s="10" t="str">
        <f ca="1">IFERROR(__xludf.dummyfunction("""COMPUTED_VALUE"""),"GOIÂNIA - GO")</f>
        <v>GOIÂNIA - GO</v>
      </c>
      <c r="M348" s="10">
        <f ca="1">IFERROR(__xludf.dummyfunction("""COMPUTED_VALUE"""),6)</f>
        <v>6</v>
      </c>
      <c r="N348" s="10" t="str">
        <f ca="1">IFERROR(__xludf.dummyfunction("""COMPUTED_VALUE"""),"DISPONÍVEL")</f>
        <v>DISPONÍVEL</v>
      </c>
      <c r="O348" s="12"/>
      <c r="P348" s="11"/>
      <c r="Q348" s="11"/>
      <c r="R348" s="11"/>
    </row>
    <row r="349" spans="1:18">
      <c r="A349" s="10">
        <f ca="1">IFERROR(__xludf.dummyfunction("""COMPUTED_VALUE"""),158)</f>
        <v>158</v>
      </c>
      <c r="B349" s="11" t="str">
        <f ca="1">IFERROR(__xludf.dummyfunction("""COMPUTED_VALUE"""),"SAMYA RIBEIRO OLIVEIRA")</f>
        <v>SAMYA RIBEIRO OLIVEIRA</v>
      </c>
      <c r="C349" s="11" t="str">
        <f ca="1">IFERROR(__xludf.dummyfunction("""COMPUTED_VALUE"""),"7271968")</f>
        <v>7271968</v>
      </c>
      <c r="D349" s="11" t="str">
        <f ca="1">IFERROR(__xludf.dummyfunction("""COMPUTED_VALUE"""),"08751908123")</f>
        <v>08751908123</v>
      </c>
      <c r="E349" s="11" t="str">
        <f ca="1">IFERROR(__xludf.dummyfunction("""COMPUTED_VALUE"""),"SAMYA28053@GMAIL.COM")</f>
        <v>SAMYA28053@GMAIL.COM</v>
      </c>
      <c r="F349" s="11" t="str">
        <f ca="1">IFERROR(__xludf.dummyfunction("""COMPUTED_VALUE"""),"(62) 98203578")</f>
        <v>(62) 98203578</v>
      </c>
      <c r="G349" s="11" t="str">
        <f ca="1">IFERROR(__xludf.dummyfunction("""COMPUTED_VALUE"""),"(62) 982035785")</f>
        <v>(62) 982035785</v>
      </c>
      <c r="H349" s="11" t="str">
        <f ca="1">IFERROR(__xludf.dummyfunction("""COMPUTED_VALUE"""),"SUPERIOR")</f>
        <v>SUPERIOR</v>
      </c>
      <c r="I349" s="10" t="str">
        <f ca="1">IFERROR(__xludf.dummyfunction("""COMPUTED_VALUE"""),"DIREITO")</f>
        <v>DIREITO</v>
      </c>
      <c r="J349" s="10" t="str">
        <f ca="1">IFERROR(__xludf.dummyfunction("""COMPUTED_VALUE"""),"NOITE")</f>
        <v>NOITE</v>
      </c>
      <c r="K349" s="10" t="str">
        <f ca="1">IFERROR(__xludf.dummyfunction("""COMPUTED_VALUE"""),"TARDE")</f>
        <v>TARDE</v>
      </c>
      <c r="L349" s="10" t="str">
        <f ca="1">IFERROR(__xludf.dummyfunction("""COMPUTED_VALUE"""),"GOIÂNIA - GO")</f>
        <v>GOIÂNIA - GO</v>
      </c>
      <c r="M349" s="10">
        <f ca="1">IFERROR(__xludf.dummyfunction("""COMPUTED_VALUE"""),5)</f>
        <v>5</v>
      </c>
      <c r="N349" s="10" t="str">
        <f ca="1">IFERROR(__xludf.dummyfunction("""COMPUTED_VALUE"""),"DISPONÍVEL")</f>
        <v>DISPONÍVEL</v>
      </c>
      <c r="O349" s="12"/>
      <c r="P349" s="11"/>
      <c r="Q349" s="11"/>
      <c r="R349" s="11"/>
    </row>
    <row r="350" spans="1:18">
      <c r="A350" s="10">
        <f ca="1">IFERROR(__xludf.dummyfunction("""COMPUTED_VALUE"""),159)</f>
        <v>159</v>
      </c>
      <c r="B350" s="11" t="str">
        <f ca="1">IFERROR(__xludf.dummyfunction("""COMPUTED_VALUE"""),"NEURILAN PEREIRA DA SILVA")</f>
        <v>NEURILAN PEREIRA DA SILVA</v>
      </c>
      <c r="C350" s="11"/>
      <c r="D350" s="11" t="str">
        <f ca="1">IFERROR(__xludf.dummyfunction("""COMPUTED_VALUE"""),"02966650290")</f>
        <v>02966650290</v>
      </c>
      <c r="E350" s="11" t="str">
        <f ca="1">IFERROR(__xludf.dummyfunction("""COMPUTED_VALUE"""),"NEURASILVA2019@GMAIL.COM")</f>
        <v>NEURASILVA2019@GMAIL.COM</v>
      </c>
      <c r="F350" s="11" t="str">
        <f ca="1">IFERROR(__xludf.dummyfunction("""COMPUTED_VALUE"""),"(62) 98565504")</f>
        <v>(62) 98565504</v>
      </c>
      <c r="G350" s="11" t="str">
        <f ca="1">IFERROR(__xludf.dummyfunction("""COMPUTED_VALUE"""),"(62) 998565504")</f>
        <v>(62) 998565504</v>
      </c>
      <c r="H350" s="11" t="str">
        <f ca="1">IFERROR(__xludf.dummyfunction("""COMPUTED_VALUE"""),"SUPERIOR")</f>
        <v>SUPERIOR</v>
      </c>
      <c r="I350" s="10" t="str">
        <f ca="1">IFERROR(__xludf.dummyfunction("""COMPUTED_VALUE"""),"DIREITO")</f>
        <v>DIREITO</v>
      </c>
      <c r="J350" s="10" t="str">
        <f ca="1">IFERROR(__xludf.dummyfunction("""COMPUTED_VALUE"""),"MANHÃ")</f>
        <v>MANHÃ</v>
      </c>
      <c r="K350" s="10" t="str">
        <f ca="1">IFERROR(__xludf.dummyfunction("""COMPUTED_VALUE"""),"TARDE")</f>
        <v>TARDE</v>
      </c>
      <c r="L350" s="10" t="str">
        <f ca="1">IFERROR(__xludf.dummyfunction("""COMPUTED_VALUE"""),"GOIÂNIA - GO")</f>
        <v>GOIÂNIA - GO</v>
      </c>
      <c r="M350" s="10">
        <f ca="1">IFERROR(__xludf.dummyfunction("""COMPUTED_VALUE"""),9)</f>
        <v>9</v>
      </c>
      <c r="N350" s="10" t="str">
        <f ca="1">IFERROR(__xludf.dummyfunction("""COMPUTED_VALUE"""),"DISPONÍVEL")</f>
        <v>DISPONÍVEL</v>
      </c>
      <c r="O350" s="12"/>
      <c r="P350" s="11"/>
      <c r="Q350" s="11"/>
      <c r="R350" s="11"/>
    </row>
    <row r="351" spans="1:18">
      <c r="A351" s="10">
        <f ca="1">IFERROR(__xludf.dummyfunction("""COMPUTED_VALUE"""),160)</f>
        <v>160</v>
      </c>
      <c r="B351" s="11" t="str">
        <f ca="1">IFERROR(__xludf.dummyfunction("""COMPUTED_VALUE"""),"FABIO RODRIGUES RAMOS ROCHA")</f>
        <v>FABIO RODRIGUES RAMOS ROCHA</v>
      </c>
      <c r="C351" s="11"/>
      <c r="D351" s="11" t="str">
        <f ca="1">IFERROR(__xludf.dummyfunction("""COMPUTED_VALUE"""),"70720758106")</f>
        <v>70720758106</v>
      </c>
      <c r="E351" s="11" t="str">
        <f ca="1">IFERROR(__xludf.dummyfunction("""COMPUTED_VALUE"""),"FABIORODRIGUESRAMOSROCHA@GMAIL.COM")</f>
        <v>FABIORODRIGUESRAMOSROCHA@GMAIL.COM</v>
      </c>
      <c r="F351" s="11" t="str">
        <f ca="1">IFERROR(__xludf.dummyfunction("""COMPUTED_VALUE"""),"(62) 98607192")</f>
        <v>(62) 98607192</v>
      </c>
      <c r="G351" s="11" t="str">
        <f ca="1">IFERROR(__xludf.dummyfunction("""COMPUTED_VALUE"""),"(62) 986071921")</f>
        <v>(62) 986071921</v>
      </c>
      <c r="H351" s="11" t="str">
        <f ca="1">IFERROR(__xludf.dummyfunction("""COMPUTED_VALUE"""),"SUPERIOR")</f>
        <v>SUPERIOR</v>
      </c>
      <c r="I351" s="10" t="str">
        <f ca="1">IFERROR(__xludf.dummyfunction("""COMPUTED_VALUE"""),"DIREITO")</f>
        <v>DIREITO</v>
      </c>
      <c r="J351" s="10" t="str">
        <f ca="1">IFERROR(__xludf.dummyfunction("""COMPUTED_VALUE"""),"NOITE")</f>
        <v>NOITE</v>
      </c>
      <c r="K351" s="10" t="str">
        <f ca="1">IFERROR(__xludf.dummyfunction("""COMPUTED_VALUE"""),"TARDE")</f>
        <v>TARDE</v>
      </c>
      <c r="L351" s="10" t="str">
        <f ca="1">IFERROR(__xludf.dummyfunction("""COMPUTED_VALUE"""),"GOIÂNIA - GO")</f>
        <v>GOIÂNIA - GO</v>
      </c>
      <c r="M351" s="10">
        <f ca="1">IFERROR(__xludf.dummyfunction("""COMPUTED_VALUE"""),5)</f>
        <v>5</v>
      </c>
      <c r="N351" s="10" t="str">
        <f ca="1">IFERROR(__xludf.dummyfunction("""COMPUTED_VALUE"""),"DISPONÍVEL")</f>
        <v>DISPONÍVEL</v>
      </c>
      <c r="O351" s="12"/>
      <c r="P351" s="11"/>
      <c r="Q351" s="11"/>
      <c r="R351" s="11"/>
    </row>
    <row r="352" spans="1:18">
      <c r="A352" s="10">
        <f ca="1">IFERROR(__xludf.dummyfunction("""COMPUTED_VALUE"""),161)</f>
        <v>161</v>
      </c>
      <c r="B352" s="11" t="str">
        <f ca="1">IFERROR(__xludf.dummyfunction("""COMPUTED_VALUE"""),"THAMYRIS DE SOUSA SILVA")</f>
        <v>THAMYRIS DE SOUSA SILVA</v>
      </c>
      <c r="C352" s="11"/>
      <c r="D352" s="11" t="str">
        <f ca="1">IFERROR(__xludf.dummyfunction("""COMPUTED_VALUE"""),"07832863170")</f>
        <v>07832863170</v>
      </c>
      <c r="E352" s="11" t="str">
        <f ca="1">IFERROR(__xludf.dummyfunction("""COMPUTED_VALUE"""),"THAMYRISOUSA08@GMAIL.COM")</f>
        <v>THAMYRISOUSA08@GMAIL.COM</v>
      </c>
      <c r="F352" s="11" t="str">
        <f ca="1">IFERROR(__xludf.dummyfunction("""COMPUTED_VALUE"""),"(62) 96490949")</f>
        <v>(62) 96490949</v>
      </c>
      <c r="G352" s="11" t="str">
        <f ca="1">IFERROR(__xludf.dummyfunction("""COMPUTED_VALUE"""),"(62) 996490949")</f>
        <v>(62) 996490949</v>
      </c>
      <c r="H352" s="11" t="str">
        <f ca="1">IFERROR(__xludf.dummyfunction("""COMPUTED_VALUE"""),"SUPERIOR")</f>
        <v>SUPERIOR</v>
      </c>
      <c r="I352" s="10" t="str">
        <f ca="1">IFERROR(__xludf.dummyfunction("""COMPUTED_VALUE"""),"DIREITO")</f>
        <v>DIREITO</v>
      </c>
      <c r="J352" s="10" t="str">
        <f ca="1">IFERROR(__xludf.dummyfunction("""COMPUTED_VALUE"""),"NOITE")</f>
        <v>NOITE</v>
      </c>
      <c r="K352" s="10" t="str">
        <f ca="1">IFERROR(__xludf.dummyfunction("""COMPUTED_VALUE"""),"TARDE")</f>
        <v>TARDE</v>
      </c>
      <c r="L352" s="10" t="str">
        <f ca="1">IFERROR(__xludf.dummyfunction("""COMPUTED_VALUE"""),"GOIÂNIA - GO")</f>
        <v>GOIÂNIA - GO</v>
      </c>
      <c r="M352" s="10">
        <f ca="1">IFERROR(__xludf.dummyfunction("""COMPUTED_VALUE"""),7)</f>
        <v>7</v>
      </c>
      <c r="N352" s="10" t="str">
        <f ca="1">IFERROR(__xludf.dummyfunction("""COMPUTED_VALUE"""),"DISPONÍVEL")</f>
        <v>DISPONÍVEL</v>
      </c>
      <c r="O352" s="12"/>
      <c r="P352" s="11"/>
      <c r="Q352" s="11"/>
      <c r="R352" s="11"/>
    </row>
    <row r="353" spans="1:18">
      <c r="A353" s="10">
        <f ca="1">IFERROR(__xludf.dummyfunction("""COMPUTED_VALUE"""),162)</f>
        <v>162</v>
      </c>
      <c r="B353" s="11" t="str">
        <f ca="1">IFERROR(__xludf.dummyfunction("""COMPUTED_VALUE"""),"JOÃO VITOR DE ANDRADE SANTOS")</f>
        <v>JOÃO VITOR DE ANDRADE SANTOS</v>
      </c>
      <c r="C353" s="11" t="str">
        <f ca="1">IFERROR(__xludf.dummyfunction("""COMPUTED_VALUE"""),"5306567")</f>
        <v>5306567</v>
      </c>
      <c r="D353" s="11" t="str">
        <f ca="1">IFERROR(__xludf.dummyfunction("""COMPUTED_VALUE"""),"70229551157")</f>
        <v>70229551157</v>
      </c>
      <c r="E353" s="11" t="str">
        <f ca="1">IFERROR(__xludf.dummyfunction("""COMPUTED_VALUE"""),"JV_ANDRADE@HOTMAIL.COM")</f>
        <v>JV_ANDRADE@HOTMAIL.COM</v>
      </c>
      <c r="F353" s="11"/>
      <c r="G353" s="11" t="str">
        <f ca="1">IFERROR(__xludf.dummyfunction("""COMPUTED_VALUE"""),"(62) 992524526")</f>
        <v>(62) 992524526</v>
      </c>
      <c r="H353" s="11" t="str">
        <f ca="1">IFERROR(__xludf.dummyfunction("""COMPUTED_VALUE"""),"SUPERIOR")</f>
        <v>SUPERIOR</v>
      </c>
      <c r="I353" s="10" t="str">
        <f ca="1">IFERROR(__xludf.dummyfunction("""COMPUTED_VALUE"""),"DIREITO")</f>
        <v>DIREITO</v>
      </c>
      <c r="J353" s="10" t="str">
        <f ca="1">IFERROR(__xludf.dummyfunction("""COMPUTED_VALUE"""),"MANHÃ")</f>
        <v>MANHÃ</v>
      </c>
      <c r="K353" s="10" t="str">
        <f ca="1">IFERROR(__xludf.dummyfunction("""COMPUTED_VALUE"""),"TARDE")</f>
        <v>TARDE</v>
      </c>
      <c r="L353" s="10" t="str">
        <f ca="1">IFERROR(__xludf.dummyfunction("""COMPUTED_VALUE"""),"GOIÂNIA - GO")</f>
        <v>GOIÂNIA - GO</v>
      </c>
      <c r="M353" s="10">
        <f ca="1">IFERROR(__xludf.dummyfunction("""COMPUTED_VALUE"""),5)</f>
        <v>5</v>
      </c>
      <c r="N353" s="10" t="str">
        <f ca="1">IFERROR(__xludf.dummyfunction("""COMPUTED_VALUE"""),"DISPONÍVEL")</f>
        <v>DISPONÍVEL</v>
      </c>
      <c r="O353" s="12"/>
      <c r="P353" s="11"/>
      <c r="Q353" s="11"/>
      <c r="R353" s="11"/>
    </row>
    <row r="354" spans="1:18">
      <c r="A354" s="10">
        <f ca="1">IFERROR(__xludf.dummyfunction("""COMPUTED_VALUE"""),163)</f>
        <v>163</v>
      </c>
      <c r="B354" s="11" t="str">
        <f ca="1">IFERROR(__xludf.dummyfunction("""COMPUTED_VALUE"""),"GABRIELLA PAULA CARVELO DE MATOS MORAIS")</f>
        <v>GABRIELLA PAULA CARVELO DE MATOS MORAIS</v>
      </c>
      <c r="C354" s="11" t="str">
        <f ca="1">IFERROR(__xludf.dummyfunction("""COMPUTED_VALUE"""),"7113973")</f>
        <v>7113973</v>
      </c>
      <c r="D354" s="11" t="str">
        <f ca="1">IFERROR(__xludf.dummyfunction("""COMPUTED_VALUE"""),"70423658107")</f>
        <v>70423658107</v>
      </c>
      <c r="E354" s="11" t="str">
        <f ca="1">IFERROR(__xludf.dummyfunction("""COMPUTED_VALUE"""),"GABIPCARVELO@GMAIL.COM")</f>
        <v>GABIPCARVELO@GMAIL.COM</v>
      </c>
      <c r="F354" s="11"/>
      <c r="G354" s="11" t="str">
        <f ca="1">IFERROR(__xludf.dummyfunction("""COMPUTED_VALUE"""),"(62) 994504710")</f>
        <v>(62) 994504710</v>
      </c>
      <c r="H354" s="11" t="str">
        <f ca="1">IFERROR(__xludf.dummyfunction("""COMPUTED_VALUE"""),"SUPERIOR")</f>
        <v>SUPERIOR</v>
      </c>
      <c r="I354" s="10" t="str">
        <f ca="1">IFERROR(__xludf.dummyfunction("""COMPUTED_VALUE"""),"DIREITO")</f>
        <v>DIREITO</v>
      </c>
      <c r="J354" s="10" t="str">
        <f ca="1">IFERROR(__xludf.dummyfunction("""COMPUTED_VALUE"""),"MANHÃ")</f>
        <v>MANHÃ</v>
      </c>
      <c r="K354" s="10" t="str">
        <f ca="1">IFERROR(__xludf.dummyfunction("""COMPUTED_VALUE"""),"TARDE")</f>
        <v>TARDE</v>
      </c>
      <c r="L354" s="10" t="str">
        <f ca="1">IFERROR(__xludf.dummyfunction("""COMPUTED_VALUE"""),"GOIÂNIA - GO")</f>
        <v>GOIÂNIA - GO</v>
      </c>
      <c r="M354" s="10">
        <f ca="1">IFERROR(__xludf.dummyfunction("""COMPUTED_VALUE"""),5)</f>
        <v>5</v>
      </c>
      <c r="N354" s="10" t="str">
        <f ca="1">IFERROR(__xludf.dummyfunction("""COMPUTED_VALUE"""),"DISPONÍVEL")</f>
        <v>DISPONÍVEL</v>
      </c>
      <c r="O354" s="12"/>
      <c r="P354" s="11"/>
      <c r="Q354" s="11"/>
      <c r="R354" s="11"/>
    </row>
    <row r="355" spans="1:18">
      <c r="A355" s="10">
        <f ca="1">IFERROR(__xludf.dummyfunction("""COMPUTED_VALUE"""),164)</f>
        <v>164</v>
      </c>
      <c r="B355" s="11" t="str">
        <f ca="1">IFERROR(__xludf.dummyfunction("""COMPUTED_VALUE"""),"JESSIKA EMILLY BARBOSA DE SENA")</f>
        <v>JESSIKA EMILLY BARBOSA DE SENA</v>
      </c>
      <c r="C355" s="11"/>
      <c r="D355" s="11" t="str">
        <f ca="1">IFERROR(__xludf.dummyfunction("""COMPUTED_VALUE"""),"05736821192")</f>
        <v>05736821192</v>
      </c>
      <c r="E355" s="11" t="str">
        <f ca="1">IFERROR(__xludf.dummyfunction("""COMPUTED_VALUE"""),"JESSISENA80@GMAIL.COM")</f>
        <v>JESSISENA80@GMAIL.COM</v>
      </c>
      <c r="F355" s="11" t="str">
        <f ca="1">IFERROR(__xludf.dummyfunction("""COMPUTED_VALUE"""),"(62) 32127200")</f>
        <v>(62) 32127200</v>
      </c>
      <c r="G355" s="11" t="str">
        <f ca="1">IFERROR(__xludf.dummyfunction("""COMPUTED_VALUE"""),"(62) 992410314")</f>
        <v>(62) 992410314</v>
      </c>
      <c r="H355" s="11" t="str">
        <f ca="1">IFERROR(__xludf.dummyfunction("""COMPUTED_VALUE"""),"SUPERIOR")</f>
        <v>SUPERIOR</v>
      </c>
      <c r="I355" s="10" t="str">
        <f ca="1">IFERROR(__xludf.dummyfunction("""COMPUTED_VALUE"""),"DIREITO")</f>
        <v>DIREITO</v>
      </c>
      <c r="J355" s="10" t="str">
        <f ca="1">IFERROR(__xludf.dummyfunction("""COMPUTED_VALUE"""),"NOITE")</f>
        <v>NOITE</v>
      </c>
      <c r="K355" s="10" t="str">
        <f ca="1">IFERROR(__xludf.dummyfunction("""COMPUTED_VALUE"""),"TARDE")</f>
        <v>TARDE</v>
      </c>
      <c r="L355" s="10" t="str">
        <f ca="1">IFERROR(__xludf.dummyfunction("""COMPUTED_VALUE"""),"GOIÂNIA - GO")</f>
        <v>GOIÂNIA - GO</v>
      </c>
      <c r="M355" s="10">
        <f ca="1">IFERROR(__xludf.dummyfunction("""COMPUTED_VALUE"""),8)</f>
        <v>8</v>
      </c>
      <c r="N355" s="10" t="str">
        <f ca="1">IFERROR(__xludf.dummyfunction("""COMPUTED_VALUE"""),"DISPONÍVEL")</f>
        <v>DISPONÍVEL</v>
      </c>
      <c r="O355" s="12"/>
      <c r="P355" s="11"/>
      <c r="Q355" s="11"/>
      <c r="R355" s="11"/>
    </row>
    <row r="356" spans="1:18">
      <c r="A356" s="10">
        <f ca="1">IFERROR(__xludf.dummyfunction("""COMPUTED_VALUE"""),165)</f>
        <v>165</v>
      </c>
      <c r="B356" s="11" t="str">
        <f ca="1">IFERROR(__xludf.dummyfunction("""COMPUTED_VALUE"""),"VITORIA CARDOSO PINHEIRO")</f>
        <v>VITORIA CARDOSO PINHEIRO</v>
      </c>
      <c r="C356" s="11" t="str">
        <f ca="1">IFERROR(__xludf.dummyfunction("""COMPUTED_VALUE"""),"2179623780")</f>
        <v>2179623780</v>
      </c>
      <c r="D356" s="11" t="str">
        <f ca="1">IFERROR(__xludf.dummyfunction("""COMPUTED_VALUE"""),"09563313518")</f>
        <v>09563313518</v>
      </c>
      <c r="E356" s="11" t="str">
        <f ca="1">IFERROR(__xludf.dummyfunction("""COMPUTED_VALUE"""),"VIVICARDOSO381@GMAIL.COM")</f>
        <v>VIVICARDOSO381@GMAIL.COM</v>
      </c>
      <c r="F356" s="11"/>
      <c r="G356" s="11" t="str">
        <f ca="1">IFERROR(__xludf.dummyfunction("""COMPUTED_VALUE"""),"(62) 996593911")</f>
        <v>(62) 996593911</v>
      </c>
      <c r="H356" s="11" t="str">
        <f ca="1">IFERROR(__xludf.dummyfunction("""COMPUTED_VALUE"""),"SUPERIOR")</f>
        <v>SUPERIOR</v>
      </c>
      <c r="I356" s="10" t="str">
        <f ca="1">IFERROR(__xludf.dummyfunction("""COMPUTED_VALUE"""),"DIREITO")</f>
        <v>DIREITO</v>
      </c>
      <c r="J356" s="10" t="str">
        <f ca="1">IFERROR(__xludf.dummyfunction("""COMPUTED_VALUE"""),"TARDE")</f>
        <v>TARDE</v>
      </c>
      <c r="K356" s="10" t="str">
        <f ca="1">IFERROR(__xludf.dummyfunction("""COMPUTED_VALUE"""),"TARDE")</f>
        <v>TARDE</v>
      </c>
      <c r="L356" s="10" t="str">
        <f ca="1">IFERROR(__xludf.dummyfunction("""COMPUTED_VALUE"""),"GOIÂNIA - GO")</f>
        <v>GOIÂNIA - GO</v>
      </c>
      <c r="M356" s="10">
        <f ca="1">IFERROR(__xludf.dummyfunction("""COMPUTED_VALUE"""),8)</f>
        <v>8</v>
      </c>
      <c r="N356" s="10" t="str">
        <f ca="1">IFERROR(__xludf.dummyfunction("""COMPUTED_VALUE"""),"DISPONÍVEL")</f>
        <v>DISPONÍVEL</v>
      </c>
      <c r="O356" s="12"/>
      <c r="P356" s="11"/>
      <c r="Q356" s="11"/>
      <c r="R356" s="11"/>
    </row>
    <row r="357" spans="1:18">
      <c r="A357" s="10">
        <f ca="1">IFERROR(__xludf.dummyfunction("""COMPUTED_VALUE"""),166)</f>
        <v>166</v>
      </c>
      <c r="B357" s="11" t="str">
        <f ca="1">IFERROR(__xludf.dummyfunction("""COMPUTED_VALUE"""),"JOÃO GUILHERME RESENDE FERREIRA")</f>
        <v>JOÃO GUILHERME RESENDE FERREIRA</v>
      </c>
      <c r="C357" s="11"/>
      <c r="D357" s="11" t="str">
        <f ca="1">IFERROR(__xludf.dummyfunction("""COMPUTED_VALUE"""),"03426758180")</f>
        <v>03426758180</v>
      </c>
      <c r="E357" s="11" t="str">
        <f ca="1">IFERROR(__xludf.dummyfunction("""COMPUTED_VALUE"""),"JGRESENDEFERRREIRA@GMAIL.COM")</f>
        <v>JGRESENDEFERRREIRA@GMAIL.COM</v>
      </c>
      <c r="F357" s="11" t="str">
        <f ca="1">IFERROR(__xludf.dummyfunction("""COMPUTED_VALUE"""),"(62) 99141289")</f>
        <v>(62) 99141289</v>
      </c>
      <c r="G357" s="11" t="str">
        <f ca="1">IFERROR(__xludf.dummyfunction("""COMPUTED_VALUE"""),"(62) 991412467")</f>
        <v>(62) 991412467</v>
      </c>
      <c r="H357" s="11" t="str">
        <f ca="1">IFERROR(__xludf.dummyfunction("""COMPUTED_VALUE"""),"SUPERIOR")</f>
        <v>SUPERIOR</v>
      </c>
      <c r="I357" s="10" t="str">
        <f ca="1">IFERROR(__xludf.dummyfunction("""COMPUTED_VALUE"""),"DIREITO")</f>
        <v>DIREITO</v>
      </c>
      <c r="J357" s="10" t="str">
        <f ca="1">IFERROR(__xludf.dummyfunction("""COMPUTED_VALUE"""),"VARIÁVEL")</f>
        <v>VARIÁVEL</v>
      </c>
      <c r="K357" s="10" t="str">
        <f ca="1">IFERROR(__xludf.dummyfunction("""COMPUTED_VALUE"""),"TARDE")</f>
        <v>TARDE</v>
      </c>
      <c r="L357" s="10" t="str">
        <f ca="1">IFERROR(__xludf.dummyfunction("""COMPUTED_VALUE"""),"GOIÂNIA - GO")</f>
        <v>GOIÂNIA - GO</v>
      </c>
      <c r="M357" s="10">
        <f ca="1">IFERROR(__xludf.dummyfunction("""COMPUTED_VALUE"""),5)</f>
        <v>5</v>
      </c>
      <c r="N357" s="10" t="str">
        <f ca="1">IFERROR(__xludf.dummyfunction("""COMPUTED_VALUE"""),"DISPONÍVEL")</f>
        <v>DISPONÍVEL</v>
      </c>
      <c r="O357" s="12"/>
      <c r="P357" s="11"/>
      <c r="Q357" s="11"/>
      <c r="R357" s="11"/>
    </row>
    <row r="358" spans="1:18">
      <c r="A358" s="10">
        <f ca="1">IFERROR(__xludf.dummyfunction("""COMPUTED_VALUE"""),167)</f>
        <v>167</v>
      </c>
      <c r="B358" s="11" t="str">
        <f ca="1">IFERROR(__xludf.dummyfunction("""COMPUTED_VALUE"""),"ISADORA BORGES BARBACENA")</f>
        <v>ISADORA BORGES BARBACENA</v>
      </c>
      <c r="C358" s="11"/>
      <c r="D358" s="11" t="str">
        <f ca="1">IFERROR(__xludf.dummyfunction("""COMPUTED_VALUE"""),"04713331155")</f>
        <v>04713331155</v>
      </c>
      <c r="E358" s="11" t="str">
        <f ca="1">IFERROR(__xludf.dummyfunction("""COMPUTED_VALUE"""),"ISABORGESCENA@GMAIL.COM")</f>
        <v>ISABORGESCENA@GMAIL.COM</v>
      </c>
      <c r="F358" s="11"/>
      <c r="G358" s="11" t="str">
        <f ca="1">IFERROR(__xludf.dummyfunction("""COMPUTED_VALUE"""),"(62) 983091969")</f>
        <v>(62) 983091969</v>
      </c>
      <c r="H358" s="11" t="str">
        <f ca="1">IFERROR(__xludf.dummyfunction("""COMPUTED_VALUE"""),"SUPERIOR")</f>
        <v>SUPERIOR</v>
      </c>
      <c r="I358" s="10" t="str">
        <f ca="1">IFERROR(__xludf.dummyfunction("""COMPUTED_VALUE"""),"DIREITO")</f>
        <v>DIREITO</v>
      </c>
      <c r="J358" s="10" t="str">
        <f ca="1">IFERROR(__xludf.dummyfunction("""COMPUTED_VALUE"""),"MANHÃ")</f>
        <v>MANHÃ</v>
      </c>
      <c r="K358" s="10" t="str">
        <f ca="1">IFERROR(__xludf.dummyfunction("""COMPUTED_VALUE"""),"TARDE")</f>
        <v>TARDE</v>
      </c>
      <c r="L358" s="10" t="str">
        <f ca="1">IFERROR(__xludf.dummyfunction("""COMPUTED_VALUE"""),"GOIÂNIA - GO")</f>
        <v>GOIÂNIA - GO</v>
      </c>
      <c r="M358" s="10">
        <f ca="1">IFERROR(__xludf.dummyfunction("""COMPUTED_VALUE"""),5)</f>
        <v>5</v>
      </c>
      <c r="N358" s="10" t="str">
        <f ca="1">IFERROR(__xludf.dummyfunction("""COMPUTED_VALUE"""),"DISPONÍVEL")</f>
        <v>DISPONÍVEL</v>
      </c>
      <c r="O358" s="12"/>
      <c r="P358" s="11"/>
      <c r="Q358" s="11"/>
      <c r="R358" s="11"/>
    </row>
    <row r="359" spans="1:18">
      <c r="A359" s="10">
        <f ca="1">IFERROR(__xludf.dummyfunction("""COMPUTED_VALUE"""),168)</f>
        <v>168</v>
      </c>
      <c r="B359" s="11" t="str">
        <f ca="1">IFERROR(__xludf.dummyfunction("""COMPUTED_VALUE"""),"DAFNE VELOSO DIAS")</f>
        <v>DAFNE VELOSO DIAS</v>
      </c>
      <c r="C359" s="11"/>
      <c r="D359" s="11" t="str">
        <f ca="1">IFERROR(__xludf.dummyfunction("""COMPUTED_VALUE"""),"70801656109")</f>
        <v>70801656109</v>
      </c>
      <c r="E359" s="11" t="str">
        <f ca="1">IFERROR(__xludf.dummyfunction("""COMPUTED_VALUE"""),"DAFNEVELOSO2016@GMAIL.COM")</f>
        <v>DAFNEVELOSO2016@GMAIL.COM</v>
      </c>
      <c r="F359" s="11"/>
      <c r="G359" s="11" t="str">
        <f ca="1">IFERROR(__xludf.dummyfunction("""COMPUTED_VALUE"""),"(62) 999331304")</f>
        <v>(62) 999331304</v>
      </c>
      <c r="H359" s="11" t="str">
        <f ca="1">IFERROR(__xludf.dummyfunction("""COMPUTED_VALUE"""),"SUPERIOR")</f>
        <v>SUPERIOR</v>
      </c>
      <c r="I359" s="10" t="str">
        <f ca="1">IFERROR(__xludf.dummyfunction("""COMPUTED_VALUE"""),"DIREITO")</f>
        <v>DIREITO</v>
      </c>
      <c r="J359" s="10" t="str">
        <f ca="1">IFERROR(__xludf.dummyfunction("""COMPUTED_VALUE"""),"MANHÃ")</f>
        <v>MANHÃ</v>
      </c>
      <c r="K359" s="10" t="str">
        <f ca="1">IFERROR(__xludf.dummyfunction("""COMPUTED_VALUE"""),"TARDE")</f>
        <v>TARDE</v>
      </c>
      <c r="L359" s="10" t="str">
        <f ca="1">IFERROR(__xludf.dummyfunction("""COMPUTED_VALUE"""),"GOIÂNIA - GO")</f>
        <v>GOIÂNIA - GO</v>
      </c>
      <c r="M359" s="10">
        <f ca="1">IFERROR(__xludf.dummyfunction("""COMPUTED_VALUE"""),8)</f>
        <v>8</v>
      </c>
      <c r="N359" s="10" t="str">
        <f ca="1">IFERROR(__xludf.dummyfunction("""COMPUTED_VALUE"""),"DISPONÍVEL")</f>
        <v>DISPONÍVEL</v>
      </c>
      <c r="O359" s="12"/>
      <c r="P359" s="11"/>
      <c r="Q359" s="11"/>
      <c r="R359" s="11"/>
    </row>
    <row r="360" spans="1:18">
      <c r="A360" s="10">
        <f ca="1">IFERROR(__xludf.dummyfunction("""COMPUTED_VALUE"""),169)</f>
        <v>169</v>
      </c>
      <c r="B360" s="11" t="str">
        <f ca="1">IFERROR(__xludf.dummyfunction("""COMPUTED_VALUE"""),"SABRINA DE SOUSA")</f>
        <v>SABRINA DE SOUSA</v>
      </c>
      <c r="C360" s="11" t="str">
        <f ca="1">IFERROR(__xludf.dummyfunction("""COMPUTED_VALUE"""),"162861")</f>
        <v>162861</v>
      </c>
      <c r="D360" s="11" t="str">
        <f ca="1">IFERROR(__xludf.dummyfunction("""COMPUTED_VALUE"""),"55749844234")</f>
        <v>55749844234</v>
      </c>
      <c r="E360" s="11" t="str">
        <f ca="1">IFERROR(__xludf.dummyfunction("""COMPUTED_VALUE"""),"SABRYNASOUSA25@GMAIL.COM")</f>
        <v>SABRYNASOUSA25@GMAIL.COM</v>
      </c>
      <c r="F360" s="11"/>
      <c r="G360" s="11" t="str">
        <f ca="1">IFERROR(__xludf.dummyfunction("""COMPUTED_VALUE"""),"(62) 992187333")</f>
        <v>(62) 992187333</v>
      </c>
      <c r="H360" s="11" t="str">
        <f ca="1">IFERROR(__xludf.dummyfunction("""COMPUTED_VALUE"""),"SUPERIOR")</f>
        <v>SUPERIOR</v>
      </c>
      <c r="I360" s="10" t="str">
        <f ca="1">IFERROR(__xludf.dummyfunction("""COMPUTED_VALUE"""),"DIREITO")</f>
        <v>DIREITO</v>
      </c>
      <c r="J360" s="10" t="str">
        <f ca="1">IFERROR(__xludf.dummyfunction("""COMPUTED_VALUE"""),"MANHÃ")</f>
        <v>MANHÃ</v>
      </c>
      <c r="K360" s="10" t="str">
        <f ca="1">IFERROR(__xludf.dummyfunction("""COMPUTED_VALUE"""),"TARDE")</f>
        <v>TARDE</v>
      </c>
      <c r="L360" s="10" t="str">
        <f ca="1">IFERROR(__xludf.dummyfunction("""COMPUTED_VALUE"""),"GOIÂNIA - GO")</f>
        <v>GOIÂNIA - GO</v>
      </c>
      <c r="M360" s="10">
        <f ca="1">IFERROR(__xludf.dummyfunction("""COMPUTED_VALUE"""),7)</f>
        <v>7</v>
      </c>
      <c r="N360" s="10" t="str">
        <f ca="1">IFERROR(__xludf.dummyfunction("""COMPUTED_VALUE"""),"DISPONÍVEL")</f>
        <v>DISPONÍVEL</v>
      </c>
      <c r="O360" s="12"/>
      <c r="P360" s="11"/>
      <c r="Q360" s="11"/>
      <c r="R360" s="11"/>
    </row>
    <row r="361" spans="1:18">
      <c r="A361" s="10">
        <f ca="1">IFERROR(__xludf.dummyfunction("""COMPUTED_VALUE"""),170)</f>
        <v>170</v>
      </c>
      <c r="B361" s="11" t="str">
        <f ca="1">IFERROR(__xludf.dummyfunction("""COMPUTED_VALUE"""),"EROS PEREIRA RODRIGUES MONTALVÃO")</f>
        <v>EROS PEREIRA RODRIGUES MONTALVÃO</v>
      </c>
      <c r="C361" s="11"/>
      <c r="D361" s="11" t="str">
        <f ca="1">IFERROR(__xludf.dummyfunction("""COMPUTED_VALUE"""),"05941763107")</f>
        <v>05941763107</v>
      </c>
      <c r="E361" s="11" t="str">
        <f ca="1">IFERROR(__xludf.dummyfunction("""COMPUTED_VALUE"""),"EROS850@HOTMAIL.COM")</f>
        <v>EROS850@HOTMAIL.COM</v>
      </c>
      <c r="F361" s="11" t="str">
        <f ca="1">IFERROR(__xludf.dummyfunction("""COMPUTED_VALUE"""),"(62) 32438670")</f>
        <v>(62) 32438670</v>
      </c>
      <c r="G361" s="11" t="str">
        <f ca="1">IFERROR(__xludf.dummyfunction("""COMPUTED_VALUE"""),"(62) 996867620")</f>
        <v>(62) 996867620</v>
      </c>
      <c r="H361" s="11" t="str">
        <f ca="1">IFERROR(__xludf.dummyfunction("""COMPUTED_VALUE"""),"SUPERIOR")</f>
        <v>SUPERIOR</v>
      </c>
      <c r="I361" s="10" t="str">
        <f ca="1">IFERROR(__xludf.dummyfunction("""COMPUTED_VALUE"""),"DIREITO")</f>
        <v>DIREITO</v>
      </c>
      <c r="J361" s="10" t="str">
        <f ca="1">IFERROR(__xludf.dummyfunction("""COMPUTED_VALUE"""),"MANHÃ")</f>
        <v>MANHÃ</v>
      </c>
      <c r="K361" s="10" t="str">
        <f ca="1">IFERROR(__xludf.dummyfunction("""COMPUTED_VALUE"""),"TARDE")</f>
        <v>TARDE</v>
      </c>
      <c r="L361" s="10" t="str">
        <f ca="1">IFERROR(__xludf.dummyfunction("""COMPUTED_VALUE"""),"GOIÂNIA - GO")</f>
        <v>GOIÂNIA - GO</v>
      </c>
      <c r="M361" s="10">
        <f ca="1">IFERROR(__xludf.dummyfunction("""COMPUTED_VALUE"""),8)</f>
        <v>8</v>
      </c>
      <c r="N361" s="10" t="str">
        <f ca="1">IFERROR(__xludf.dummyfunction("""COMPUTED_VALUE"""),"DISPONÍVEL")</f>
        <v>DISPONÍVEL</v>
      </c>
      <c r="O361" s="12"/>
      <c r="P361" s="11"/>
      <c r="Q361" s="11"/>
      <c r="R361" s="11"/>
    </row>
    <row r="362" spans="1:18">
      <c r="A362" s="10">
        <f ca="1">IFERROR(__xludf.dummyfunction("""COMPUTED_VALUE"""),171)</f>
        <v>171</v>
      </c>
      <c r="B362" s="11" t="str">
        <f ca="1">IFERROR(__xludf.dummyfunction("""COMPUTED_VALUE"""),"YAGO SOARES TEIXEIRA")</f>
        <v>YAGO SOARES TEIXEIRA</v>
      </c>
      <c r="C362" s="11"/>
      <c r="D362" s="11" t="str">
        <f ca="1">IFERROR(__xludf.dummyfunction("""COMPUTED_VALUE"""),"70183075110")</f>
        <v>70183075110</v>
      </c>
      <c r="E362" s="11" t="str">
        <f ca="1">IFERROR(__xludf.dummyfunction("""COMPUTED_VALUE"""),"YAGO_TEIXEIRA@DISCENTE.UFG.BR")</f>
        <v>YAGO_TEIXEIRA@DISCENTE.UFG.BR</v>
      </c>
      <c r="F362" s="11"/>
      <c r="G362" s="11" t="str">
        <f ca="1">IFERROR(__xludf.dummyfunction("""COMPUTED_VALUE"""),"(64) 992676258")</f>
        <v>(64) 992676258</v>
      </c>
      <c r="H362" s="11" t="str">
        <f ca="1">IFERROR(__xludf.dummyfunction("""COMPUTED_VALUE"""),"SUPERIOR")</f>
        <v>SUPERIOR</v>
      </c>
      <c r="I362" s="10" t="str">
        <f ca="1">IFERROR(__xludf.dummyfunction("""COMPUTED_VALUE"""),"DIREITO")</f>
        <v>DIREITO</v>
      </c>
      <c r="J362" s="10" t="str">
        <f ca="1">IFERROR(__xludf.dummyfunction("""COMPUTED_VALUE"""),"MANHÃ")</f>
        <v>MANHÃ</v>
      </c>
      <c r="K362" s="10" t="str">
        <f ca="1">IFERROR(__xludf.dummyfunction("""COMPUTED_VALUE"""),"TARDE")</f>
        <v>TARDE</v>
      </c>
      <c r="L362" s="10" t="str">
        <f ca="1">IFERROR(__xludf.dummyfunction("""COMPUTED_VALUE"""),"GOIÂNIA - GO")</f>
        <v>GOIÂNIA - GO</v>
      </c>
      <c r="M362" s="10">
        <f ca="1">IFERROR(__xludf.dummyfunction("""COMPUTED_VALUE"""),5)</f>
        <v>5</v>
      </c>
      <c r="N362" s="10" t="str">
        <f ca="1">IFERROR(__xludf.dummyfunction("""COMPUTED_VALUE"""),"DISPONÍVEL")</f>
        <v>DISPONÍVEL</v>
      </c>
      <c r="O362" s="12"/>
      <c r="P362" s="11"/>
      <c r="Q362" s="11"/>
      <c r="R362" s="11"/>
    </row>
    <row r="363" spans="1:18">
      <c r="A363" s="10">
        <f ca="1">IFERROR(__xludf.dummyfunction("""COMPUTED_VALUE"""),172)</f>
        <v>172</v>
      </c>
      <c r="B363" s="11" t="str">
        <f ca="1">IFERROR(__xludf.dummyfunction("""COMPUTED_VALUE"""),"WALLERIA RODRIGUES LOMBLEM")</f>
        <v>WALLERIA RODRIGUES LOMBLEM</v>
      </c>
      <c r="C363" s="11"/>
      <c r="D363" s="11" t="str">
        <f ca="1">IFERROR(__xludf.dummyfunction("""COMPUTED_VALUE"""),"76267733149")</f>
        <v>76267733149</v>
      </c>
      <c r="E363" s="11" t="str">
        <f ca="1">IFERROR(__xludf.dummyfunction("""COMPUTED_VALUE"""),"WALLERIALOMBLEM3@GMAIL.COM")</f>
        <v>WALLERIALOMBLEM3@GMAIL.COM</v>
      </c>
      <c r="F363" s="11" t="str">
        <f ca="1">IFERROR(__xludf.dummyfunction("""COMPUTED_VALUE"""),"(62) 39419101")</f>
        <v>(62) 39419101</v>
      </c>
      <c r="G363" s="11" t="str">
        <f ca="1">IFERROR(__xludf.dummyfunction("""COMPUTED_VALUE"""),"(62) 982055841")</f>
        <v>(62) 982055841</v>
      </c>
      <c r="H363" s="11" t="str">
        <f ca="1">IFERROR(__xludf.dummyfunction("""COMPUTED_VALUE"""),"SUPERIOR")</f>
        <v>SUPERIOR</v>
      </c>
      <c r="I363" s="10" t="str">
        <f ca="1">IFERROR(__xludf.dummyfunction("""COMPUTED_VALUE"""),"DIREITO")</f>
        <v>DIREITO</v>
      </c>
      <c r="J363" s="10" t="str">
        <f ca="1">IFERROR(__xludf.dummyfunction("""COMPUTED_VALUE"""),"NOITE")</f>
        <v>NOITE</v>
      </c>
      <c r="K363" s="10" t="str">
        <f ca="1">IFERROR(__xludf.dummyfunction("""COMPUTED_VALUE"""),"TARDE")</f>
        <v>TARDE</v>
      </c>
      <c r="L363" s="10" t="str">
        <f ca="1">IFERROR(__xludf.dummyfunction("""COMPUTED_VALUE"""),"GOIÂNIA - GO")</f>
        <v>GOIÂNIA - GO</v>
      </c>
      <c r="M363" s="10">
        <f ca="1">IFERROR(__xludf.dummyfunction("""COMPUTED_VALUE"""),5)</f>
        <v>5</v>
      </c>
      <c r="N363" s="10" t="str">
        <f ca="1">IFERROR(__xludf.dummyfunction("""COMPUTED_VALUE"""),"DISPONÍVEL")</f>
        <v>DISPONÍVEL</v>
      </c>
      <c r="O363" s="12"/>
      <c r="P363" s="11"/>
      <c r="Q363" s="11"/>
      <c r="R363" s="11"/>
    </row>
    <row r="364" spans="1:18">
      <c r="A364" s="10">
        <f ca="1">IFERROR(__xludf.dummyfunction("""COMPUTED_VALUE"""),173)</f>
        <v>173</v>
      </c>
      <c r="B364" s="11" t="str">
        <f ca="1">IFERROR(__xludf.dummyfunction("""COMPUTED_VALUE"""),"THAIS ANDREZZA DE OLIVEIRA MACEDO")</f>
        <v>THAIS ANDREZZA DE OLIVEIRA MACEDO</v>
      </c>
      <c r="C364" s="11" t="str">
        <f ca="1">IFERROR(__xludf.dummyfunction("""COMPUTED_VALUE"""),"5697059")</f>
        <v>5697059</v>
      </c>
      <c r="D364" s="11" t="str">
        <f ca="1">IFERROR(__xludf.dummyfunction("""COMPUTED_VALUE"""),"75053187134")</f>
        <v>75053187134</v>
      </c>
      <c r="E364" s="11" t="str">
        <f ca="1">IFERROR(__xludf.dummyfunction("""COMPUTED_VALUE"""),"THSMACEDO@GMAIL.COM")</f>
        <v>THSMACEDO@GMAIL.COM</v>
      </c>
      <c r="F364" s="11"/>
      <c r="G364" s="11" t="str">
        <f ca="1">IFERROR(__xludf.dummyfunction("""COMPUTED_VALUE"""),"(62) 991215138")</f>
        <v>(62) 991215138</v>
      </c>
      <c r="H364" s="11" t="str">
        <f ca="1">IFERROR(__xludf.dummyfunction("""COMPUTED_VALUE"""),"SUPERIOR")</f>
        <v>SUPERIOR</v>
      </c>
      <c r="I364" s="10" t="str">
        <f ca="1">IFERROR(__xludf.dummyfunction("""COMPUTED_VALUE"""),"DIREITO")</f>
        <v>DIREITO</v>
      </c>
      <c r="J364" s="10" t="str">
        <f ca="1">IFERROR(__xludf.dummyfunction("""COMPUTED_VALUE"""),"MANHÃ")</f>
        <v>MANHÃ</v>
      </c>
      <c r="K364" s="10" t="str">
        <f ca="1">IFERROR(__xludf.dummyfunction("""COMPUTED_VALUE"""),"TARDE")</f>
        <v>TARDE</v>
      </c>
      <c r="L364" s="10" t="str">
        <f ca="1">IFERROR(__xludf.dummyfunction("""COMPUTED_VALUE"""),"GOIÂNIA - GO")</f>
        <v>GOIÂNIA - GO</v>
      </c>
      <c r="M364" s="10">
        <f ca="1">IFERROR(__xludf.dummyfunction("""COMPUTED_VALUE"""),5)</f>
        <v>5</v>
      </c>
      <c r="N364" s="10" t="str">
        <f ca="1">IFERROR(__xludf.dummyfunction("""COMPUTED_VALUE"""),"DISPONÍVEL")</f>
        <v>DISPONÍVEL</v>
      </c>
      <c r="O364" s="12"/>
      <c r="P364" s="11"/>
      <c r="Q364" s="11"/>
      <c r="R364" s="11"/>
    </row>
    <row r="365" spans="1:18">
      <c r="A365" s="10">
        <f ca="1">IFERROR(__xludf.dummyfunction("""COMPUTED_VALUE"""),174)</f>
        <v>174</v>
      </c>
      <c r="B365" s="11" t="str">
        <f ca="1">IFERROR(__xludf.dummyfunction("""COMPUTED_VALUE"""),"ANA BEATRIZ FERNANDES DE OLIVEIRA")</f>
        <v>ANA BEATRIZ FERNANDES DE OLIVEIRA</v>
      </c>
      <c r="C365" s="11" t="str">
        <f ca="1">IFERROR(__xludf.dummyfunction("""COMPUTED_VALUE"""),"6356343")</f>
        <v>6356343</v>
      </c>
      <c r="D365" s="11" t="str">
        <f ca="1">IFERROR(__xludf.dummyfunction("""COMPUTED_VALUE"""),"05726044169")</f>
        <v>05726044169</v>
      </c>
      <c r="E365" s="11" t="str">
        <f ca="1">IFERROR(__xludf.dummyfunction("""COMPUTED_VALUE"""),"ANA.FERNANDES@IPOG.EDU.BR")</f>
        <v>ANA.FERNANDES@IPOG.EDU.BR</v>
      </c>
      <c r="F365" s="11" t="str">
        <f ca="1">IFERROR(__xludf.dummyfunction("""COMPUTED_VALUE"""),"(62) 99432220")</f>
        <v>(62) 99432220</v>
      </c>
      <c r="G365" s="11" t="str">
        <f ca="1">IFERROR(__xludf.dummyfunction("""COMPUTED_VALUE"""),"(62) 994322201")</f>
        <v>(62) 994322201</v>
      </c>
      <c r="H365" s="11" t="str">
        <f ca="1">IFERROR(__xludf.dummyfunction("""COMPUTED_VALUE"""),"SUPERIOR")</f>
        <v>SUPERIOR</v>
      </c>
      <c r="I365" s="10" t="str">
        <f ca="1">IFERROR(__xludf.dummyfunction("""COMPUTED_VALUE"""),"DIREITO")</f>
        <v>DIREITO</v>
      </c>
      <c r="J365" s="10" t="str">
        <f ca="1">IFERROR(__xludf.dummyfunction("""COMPUTED_VALUE"""),"NOITE")</f>
        <v>NOITE</v>
      </c>
      <c r="K365" s="10" t="str">
        <f ca="1">IFERROR(__xludf.dummyfunction("""COMPUTED_VALUE"""),"TARDE")</f>
        <v>TARDE</v>
      </c>
      <c r="L365" s="10" t="str">
        <f ca="1">IFERROR(__xludf.dummyfunction("""COMPUTED_VALUE"""),"GOIÂNIA - GO")</f>
        <v>GOIÂNIA - GO</v>
      </c>
      <c r="M365" s="10">
        <f ca="1">IFERROR(__xludf.dummyfunction("""COMPUTED_VALUE"""),5)</f>
        <v>5</v>
      </c>
      <c r="N365" s="10" t="str">
        <f ca="1">IFERROR(__xludf.dummyfunction("""COMPUTED_VALUE"""),"DISPONÍVEL")</f>
        <v>DISPONÍVEL</v>
      </c>
      <c r="O365" s="12"/>
      <c r="P365" s="11"/>
      <c r="Q365" s="11"/>
      <c r="R365" s="11"/>
    </row>
    <row r="366" spans="1:18">
      <c r="A366" s="10">
        <f ca="1">IFERROR(__xludf.dummyfunction("""COMPUTED_VALUE"""),175)</f>
        <v>175</v>
      </c>
      <c r="B366" s="11" t="str">
        <f ca="1">IFERROR(__xludf.dummyfunction("""COMPUTED_VALUE"""),"JULIANE BRITO OLIVEIRA RAMOS")</f>
        <v>JULIANE BRITO OLIVEIRA RAMOS</v>
      </c>
      <c r="C366" s="11"/>
      <c r="D366" s="11" t="str">
        <f ca="1">IFERROR(__xludf.dummyfunction("""COMPUTED_VALUE"""),"09877719142")</f>
        <v>09877719142</v>
      </c>
      <c r="E366" s="11" t="str">
        <f ca="1">IFERROR(__xludf.dummyfunction("""COMPUTED_VALUE"""),"JULIANEBRITORAMOS@GMAIL.COM")</f>
        <v>JULIANEBRITORAMOS@GMAIL.COM</v>
      </c>
      <c r="F366" s="11"/>
      <c r="G366" s="11" t="str">
        <f ca="1">IFERROR(__xludf.dummyfunction("""COMPUTED_VALUE"""),"(62) 993789359")</f>
        <v>(62) 993789359</v>
      </c>
      <c r="H366" s="11" t="str">
        <f ca="1">IFERROR(__xludf.dummyfunction("""COMPUTED_VALUE"""),"SUPERIOR")</f>
        <v>SUPERIOR</v>
      </c>
      <c r="I366" s="10" t="str">
        <f ca="1">IFERROR(__xludf.dummyfunction("""COMPUTED_VALUE"""),"DIREITO")</f>
        <v>DIREITO</v>
      </c>
      <c r="J366" s="10" t="str">
        <f ca="1">IFERROR(__xludf.dummyfunction("""COMPUTED_VALUE"""),"MANHÃ")</f>
        <v>MANHÃ</v>
      </c>
      <c r="K366" s="10" t="str">
        <f ca="1">IFERROR(__xludf.dummyfunction("""COMPUTED_VALUE"""),"TARDE")</f>
        <v>TARDE</v>
      </c>
      <c r="L366" s="10" t="str">
        <f ca="1">IFERROR(__xludf.dummyfunction("""COMPUTED_VALUE"""),"GOIÂNIA - GO")</f>
        <v>GOIÂNIA - GO</v>
      </c>
      <c r="M366" s="10">
        <f ca="1">IFERROR(__xludf.dummyfunction("""COMPUTED_VALUE"""),6)</f>
        <v>6</v>
      </c>
      <c r="N366" s="10" t="str">
        <f ca="1">IFERROR(__xludf.dummyfunction("""COMPUTED_VALUE"""),"DISPONÍVEL")</f>
        <v>DISPONÍVEL</v>
      </c>
      <c r="O366" s="12"/>
      <c r="P366" s="11"/>
      <c r="Q366" s="11"/>
      <c r="R366" s="11"/>
    </row>
    <row r="367" spans="1:18">
      <c r="A367" s="10">
        <f ca="1">IFERROR(__xludf.dummyfunction("""COMPUTED_VALUE"""),176)</f>
        <v>176</v>
      </c>
      <c r="B367" s="11" t="str">
        <f ca="1">IFERROR(__xludf.dummyfunction("""COMPUTED_VALUE"""),"PRISCILA APARECIDA RIBEIRO DA SILVA")</f>
        <v>PRISCILA APARECIDA RIBEIRO DA SILVA</v>
      </c>
      <c r="C367" s="11" t="str">
        <f ca="1">IFERROR(__xludf.dummyfunction("""COMPUTED_VALUE"""),"4864974")</f>
        <v>4864974</v>
      </c>
      <c r="D367" s="11" t="str">
        <f ca="1">IFERROR(__xludf.dummyfunction("""COMPUTED_VALUE"""),"01392432162")</f>
        <v>01392432162</v>
      </c>
      <c r="E367" s="11" t="str">
        <f ca="1">IFERROR(__xludf.dummyfunction("""COMPUTED_VALUE"""),"PRISCILARIBEIRO082@GMAIL.COM")</f>
        <v>PRISCILARIBEIRO082@GMAIL.COM</v>
      </c>
      <c r="F367" s="11"/>
      <c r="G367" s="11" t="str">
        <f ca="1">IFERROR(__xludf.dummyfunction("""COMPUTED_VALUE"""),"(62) 985928514")</f>
        <v>(62) 985928514</v>
      </c>
      <c r="H367" s="11" t="str">
        <f ca="1">IFERROR(__xludf.dummyfunction("""COMPUTED_VALUE"""),"SUPERIOR")</f>
        <v>SUPERIOR</v>
      </c>
      <c r="I367" s="10" t="str">
        <f ca="1">IFERROR(__xludf.dummyfunction("""COMPUTED_VALUE"""),"DIREITO")</f>
        <v>DIREITO</v>
      </c>
      <c r="J367" s="10" t="str">
        <f ca="1">IFERROR(__xludf.dummyfunction("""COMPUTED_VALUE"""),"MANHÃ")</f>
        <v>MANHÃ</v>
      </c>
      <c r="K367" s="10" t="str">
        <f ca="1">IFERROR(__xludf.dummyfunction("""COMPUTED_VALUE"""),"TARDE")</f>
        <v>TARDE</v>
      </c>
      <c r="L367" s="10" t="str">
        <f ca="1">IFERROR(__xludf.dummyfunction("""COMPUTED_VALUE"""),"GOIÂNIA - GO")</f>
        <v>GOIÂNIA - GO</v>
      </c>
      <c r="M367" s="10">
        <f ca="1">IFERROR(__xludf.dummyfunction("""COMPUTED_VALUE"""),6)</f>
        <v>6</v>
      </c>
      <c r="N367" s="10" t="str">
        <f ca="1">IFERROR(__xludf.dummyfunction("""COMPUTED_VALUE"""),"DISPONÍVEL")</f>
        <v>DISPONÍVEL</v>
      </c>
      <c r="O367" s="12"/>
      <c r="P367" s="11"/>
      <c r="Q367" s="11"/>
      <c r="R367" s="11"/>
    </row>
    <row r="368" spans="1:18">
      <c r="A368" s="10">
        <f ca="1">IFERROR(__xludf.dummyfunction("""COMPUTED_VALUE"""),177)</f>
        <v>177</v>
      </c>
      <c r="B368" s="11" t="str">
        <f ca="1">IFERROR(__xludf.dummyfunction("""COMPUTED_VALUE"""),"ISABELLA MARIA GOMES DOS SANTOS")</f>
        <v>ISABELLA MARIA GOMES DOS SANTOS</v>
      </c>
      <c r="C368" s="11" t="str">
        <f ca="1">IFERROR(__xludf.dummyfunction("""COMPUTED_VALUE"""),"27608298")</f>
        <v>27608298</v>
      </c>
      <c r="D368" s="11" t="str">
        <f ca="1">IFERROR(__xludf.dummyfunction("""COMPUTED_VALUE"""),"06172821105")</f>
        <v>06172821105</v>
      </c>
      <c r="E368" s="11" t="str">
        <f ca="1">IFERROR(__xludf.dummyfunction("""COMPUTED_VALUE"""),"ISABELLAGOMES.IG87@GMAIL.COM")</f>
        <v>ISABELLAGOMES.IG87@GMAIL.COM</v>
      </c>
      <c r="F368" s="11"/>
      <c r="G368" s="11" t="str">
        <f ca="1">IFERROR(__xludf.dummyfunction("""COMPUTED_VALUE"""),"(66) 992485818")</f>
        <v>(66) 992485818</v>
      </c>
      <c r="H368" s="11" t="str">
        <f ca="1">IFERROR(__xludf.dummyfunction("""COMPUTED_VALUE"""),"SUPERIOR")</f>
        <v>SUPERIOR</v>
      </c>
      <c r="I368" s="10" t="str">
        <f ca="1">IFERROR(__xludf.dummyfunction("""COMPUTED_VALUE"""),"DIREITO")</f>
        <v>DIREITO</v>
      </c>
      <c r="J368" s="10" t="str">
        <f ca="1">IFERROR(__xludf.dummyfunction("""COMPUTED_VALUE"""),"VARIÁVEL")</f>
        <v>VARIÁVEL</v>
      </c>
      <c r="K368" s="10" t="str">
        <f ca="1">IFERROR(__xludf.dummyfunction("""COMPUTED_VALUE"""),"TARDE")</f>
        <v>TARDE</v>
      </c>
      <c r="L368" s="10" t="str">
        <f ca="1">IFERROR(__xludf.dummyfunction("""COMPUTED_VALUE"""),"GOIÂNIA - GO")</f>
        <v>GOIÂNIA - GO</v>
      </c>
      <c r="M368" s="10">
        <f ca="1">IFERROR(__xludf.dummyfunction("""COMPUTED_VALUE"""),9)</f>
        <v>9</v>
      </c>
      <c r="N368" s="10" t="str">
        <f ca="1">IFERROR(__xludf.dummyfunction("""COMPUTED_VALUE"""),"DISPONÍVEL")</f>
        <v>DISPONÍVEL</v>
      </c>
      <c r="O368" s="12"/>
      <c r="P368" s="11"/>
      <c r="Q368" s="11"/>
      <c r="R368" s="11"/>
    </row>
    <row r="369" spans="1:18">
      <c r="A369" s="10">
        <f ca="1">IFERROR(__xludf.dummyfunction("""COMPUTED_VALUE"""),178)</f>
        <v>178</v>
      </c>
      <c r="B369" s="11" t="str">
        <f ca="1">IFERROR(__xludf.dummyfunction("""COMPUTED_VALUE"""),"HENRIQUE VIEIRA GARCIA")</f>
        <v>HENRIQUE VIEIRA GARCIA</v>
      </c>
      <c r="C369" s="11"/>
      <c r="D369" s="11" t="str">
        <f ca="1">IFERROR(__xludf.dummyfunction("""COMPUTED_VALUE"""),"00426538196")</f>
        <v>00426538196</v>
      </c>
      <c r="E369" s="11" t="str">
        <f ca="1">IFERROR(__xludf.dummyfunction("""COMPUTED_VALUE"""),"HENRIQUEVIEIRAGARCIA@GMAIL.COM")</f>
        <v>HENRIQUEVIEIRAGARCIA@GMAIL.COM</v>
      </c>
      <c r="F369" s="11" t="str">
        <f ca="1">IFERROR(__xludf.dummyfunction("""COMPUTED_VALUE"""),"(62) 96190989")</f>
        <v>(62) 96190989</v>
      </c>
      <c r="G369" s="11" t="str">
        <f ca="1">IFERROR(__xludf.dummyfunction("""COMPUTED_VALUE"""),"(62) 996190989")</f>
        <v>(62) 996190989</v>
      </c>
      <c r="H369" s="11" t="str">
        <f ca="1">IFERROR(__xludf.dummyfunction("""COMPUTED_VALUE"""),"SUPERIOR")</f>
        <v>SUPERIOR</v>
      </c>
      <c r="I369" s="10" t="str">
        <f ca="1">IFERROR(__xludf.dummyfunction("""COMPUTED_VALUE"""),"DIREITO")</f>
        <v>DIREITO</v>
      </c>
      <c r="J369" s="10" t="str">
        <f ca="1">IFERROR(__xludf.dummyfunction("""COMPUTED_VALUE"""),"NOITE")</f>
        <v>NOITE</v>
      </c>
      <c r="K369" s="10" t="str">
        <f ca="1">IFERROR(__xludf.dummyfunction("""COMPUTED_VALUE"""),"TARDE")</f>
        <v>TARDE</v>
      </c>
      <c r="L369" s="10" t="str">
        <f ca="1">IFERROR(__xludf.dummyfunction("""COMPUTED_VALUE"""),"GOIÂNIA - GO")</f>
        <v>GOIÂNIA - GO</v>
      </c>
      <c r="M369" s="10">
        <f ca="1">IFERROR(__xludf.dummyfunction("""COMPUTED_VALUE"""),6)</f>
        <v>6</v>
      </c>
      <c r="N369" s="10" t="str">
        <f ca="1">IFERROR(__xludf.dummyfunction("""COMPUTED_VALUE"""),"DISPONÍVEL")</f>
        <v>DISPONÍVEL</v>
      </c>
      <c r="O369" s="12"/>
      <c r="P369" s="11"/>
      <c r="Q369" s="11"/>
      <c r="R369" s="11"/>
    </row>
    <row r="370" spans="1:18">
      <c r="A370" s="10">
        <f ca="1">IFERROR(__xludf.dummyfunction("""COMPUTED_VALUE"""),179)</f>
        <v>179</v>
      </c>
      <c r="B370" s="11" t="str">
        <f ca="1">IFERROR(__xludf.dummyfunction("""COMPUTED_VALUE"""),"GEOVANA GODOY ISAAC")</f>
        <v>GEOVANA GODOY ISAAC</v>
      </c>
      <c r="C370" s="11" t="str">
        <f ca="1">IFERROR(__xludf.dummyfunction("""COMPUTED_VALUE"""),"1382851")</f>
        <v>1382851</v>
      </c>
      <c r="D370" s="11" t="str">
        <f ca="1">IFERROR(__xludf.dummyfunction("""COMPUTED_VALUE"""),"06958401182")</f>
        <v>06958401182</v>
      </c>
      <c r="E370" s="11" t="str">
        <f ca="1">IFERROR(__xludf.dummyfunction("""COMPUTED_VALUE"""),"GEOVANA_GODOY14@HOTMAIL.COM")</f>
        <v>GEOVANA_GODOY14@HOTMAIL.COM</v>
      </c>
      <c r="F370" s="11" t="str">
        <f ca="1">IFERROR(__xludf.dummyfunction("""COMPUTED_VALUE"""),"(63) 33862038")</f>
        <v>(63) 33862038</v>
      </c>
      <c r="G370" s="11" t="str">
        <f ca="1">IFERROR(__xludf.dummyfunction("""COMPUTED_VALUE"""),"(63) 992336097")</f>
        <v>(63) 992336097</v>
      </c>
      <c r="H370" s="11" t="str">
        <f ca="1">IFERROR(__xludf.dummyfunction("""COMPUTED_VALUE"""),"SUPERIOR")</f>
        <v>SUPERIOR</v>
      </c>
      <c r="I370" s="10" t="str">
        <f ca="1">IFERROR(__xludf.dummyfunction("""COMPUTED_VALUE"""),"DIREITO")</f>
        <v>DIREITO</v>
      </c>
      <c r="J370" s="10" t="str">
        <f ca="1">IFERROR(__xludf.dummyfunction("""COMPUTED_VALUE"""),"MANHÃ")</f>
        <v>MANHÃ</v>
      </c>
      <c r="K370" s="10" t="str">
        <f ca="1">IFERROR(__xludf.dummyfunction("""COMPUTED_VALUE"""),"TARDE")</f>
        <v>TARDE</v>
      </c>
      <c r="L370" s="10" t="str">
        <f ca="1">IFERROR(__xludf.dummyfunction("""COMPUTED_VALUE"""),"GOIÂNIA - GO")</f>
        <v>GOIÂNIA - GO</v>
      </c>
      <c r="M370" s="10">
        <f ca="1">IFERROR(__xludf.dummyfunction("""COMPUTED_VALUE"""),5)</f>
        <v>5</v>
      </c>
      <c r="N370" s="10" t="str">
        <f ca="1">IFERROR(__xludf.dummyfunction("""COMPUTED_VALUE"""),"DISPONÍVEL")</f>
        <v>DISPONÍVEL</v>
      </c>
      <c r="O370" s="12"/>
      <c r="P370" s="11"/>
      <c r="Q370" s="11"/>
      <c r="R370" s="11"/>
    </row>
    <row r="371" spans="1:18">
      <c r="A371" s="10">
        <f ca="1">IFERROR(__xludf.dummyfunction("""COMPUTED_VALUE"""),180)</f>
        <v>180</v>
      </c>
      <c r="B371" s="11" t="str">
        <f ca="1">IFERROR(__xludf.dummyfunction("""COMPUTED_VALUE"""),"ANA KAROLINY ALVES DE ARAUJO")</f>
        <v>ANA KAROLINY ALVES DE ARAUJO</v>
      </c>
      <c r="C371" s="11"/>
      <c r="D371" s="11" t="str">
        <f ca="1">IFERROR(__xludf.dummyfunction("""COMPUTED_VALUE"""),"74944096100")</f>
        <v>74944096100</v>
      </c>
      <c r="E371" s="11" t="str">
        <f ca="1">IFERROR(__xludf.dummyfunction("""COMPUTED_VALUE"""),"ANAKAROLINYALVES20@GMAIL.COM")</f>
        <v>ANAKAROLINYALVES20@GMAIL.COM</v>
      </c>
      <c r="F371" s="11"/>
      <c r="G371" s="11" t="str">
        <f ca="1">IFERROR(__xludf.dummyfunction("""COMPUTED_VALUE"""),"(62) 993991046")</f>
        <v>(62) 993991046</v>
      </c>
      <c r="H371" s="11" t="str">
        <f ca="1">IFERROR(__xludf.dummyfunction("""COMPUTED_VALUE"""),"SUPERIOR")</f>
        <v>SUPERIOR</v>
      </c>
      <c r="I371" s="10" t="str">
        <f ca="1">IFERROR(__xludf.dummyfunction("""COMPUTED_VALUE"""),"DIREITO")</f>
        <v>DIREITO</v>
      </c>
      <c r="J371" s="10" t="str">
        <f ca="1">IFERROR(__xludf.dummyfunction("""COMPUTED_VALUE"""),"MANHÃ")</f>
        <v>MANHÃ</v>
      </c>
      <c r="K371" s="10" t="str">
        <f ca="1">IFERROR(__xludf.dummyfunction("""COMPUTED_VALUE"""),"TARDE")</f>
        <v>TARDE</v>
      </c>
      <c r="L371" s="10" t="str">
        <f ca="1">IFERROR(__xludf.dummyfunction("""COMPUTED_VALUE"""),"GOIÂNIA - GO")</f>
        <v>GOIÂNIA - GO</v>
      </c>
      <c r="M371" s="10">
        <f ca="1">IFERROR(__xludf.dummyfunction("""COMPUTED_VALUE"""),6)</f>
        <v>6</v>
      </c>
      <c r="N371" s="10" t="str">
        <f ca="1">IFERROR(__xludf.dummyfunction("""COMPUTED_VALUE"""),"DISPONÍVEL")</f>
        <v>DISPONÍVEL</v>
      </c>
      <c r="O371" s="12"/>
      <c r="P371" s="11"/>
      <c r="Q371" s="11"/>
      <c r="R371" s="11"/>
    </row>
    <row r="372" spans="1:18">
      <c r="A372" s="10">
        <f ca="1">IFERROR(__xludf.dummyfunction("""COMPUTED_VALUE"""),181)</f>
        <v>181</v>
      </c>
      <c r="B372" s="11" t="str">
        <f ca="1">IFERROR(__xludf.dummyfunction("""COMPUTED_VALUE"""),"MARCOS AUGUSTO DE SOUSA CHAGAS")</f>
        <v>MARCOS AUGUSTO DE SOUSA CHAGAS</v>
      </c>
      <c r="C372" s="11"/>
      <c r="D372" s="11" t="str">
        <f ca="1">IFERROR(__xludf.dummyfunction("""COMPUTED_VALUE"""),"02023102138")</f>
        <v>02023102138</v>
      </c>
      <c r="E372" s="11" t="str">
        <f ca="1">IFERROR(__xludf.dummyfunction("""COMPUTED_VALUE"""),"AUGUSTHOCHAGAS@GMAIL.COM")</f>
        <v>AUGUSTHOCHAGAS@GMAIL.COM</v>
      </c>
      <c r="F372" s="11" t="str">
        <f ca="1">IFERROR(__xludf.dummyfunction("""COMPUTED_VALUE"""),"(62) 98276163")</f>
        <v>(62) 98276163</v>
      </c>
      <c r="G372" s="11" t="str">
        <f ca="1">IFERROR(__xludf.dummyfunction("""COMPUTED_VALUE"""),"(62) 982761638")</f>
        <v>(62) 982761638</v>
      </c>
      <c r="H372" s="11" t="str">
        <f ca="1">IFERROR(__xludf.dummyfunction("""COMPUTED_VALUE"""),"SUPERIOR")</f>
        <v>SUPERIOR</v>
      </c>
      <c r="I372" s="10" t="str">
        <f ca="1">IFERROR(__xludf.dummyfunction("""COMPUTED_VALUE"""),"DIREITO")</f>
        <v>DIREITO</v>
      </c>
      <c r="J372" s="10" t="str">
        <f ca="1">IFERROR(__xludf.dummyfunction("""COMPUTED_VALUE"""),"NOITE")</f>
        <v>NOITE</v>
      </c>
      <c r="K372" s="10" t="str">
        <f ca="1">IFERROR(__xludf.dummyfunction("""COMPUTED_VALUE"""),"TARDE")</f>
        <v>TARDE</v>
      </c>
      <c r="L372" s="10" t="str">
        <f ca="1">IFERROR(__xludf.dummyfunction("""COMPUTED_VALUE"""),"GOIÂNIA - GO")</f>
        <v>GOIÂNIA - GO</v>
      </c>
      <c r="M372" s="10">
        <f ca="1">IFERROR(__xludf.dummyfunction("""COMPUTED_VALUE"""),7)</f>
        <v>7</v>
      </c>
      <c r="N372" s="10" t="str">
        <f ca="1">IFERROR(__xludf.dummyfunction("""COMPUTED_VALUE"""),"DISPONÍVEL")</f>
        <v>DISPONÍVEL</v>
      </c>
      <c r="O372" s="12"/>
      <c r="P372" s="11"/>
      <c r="Q372" s="11"/>
      <c r="R372" s="11"/>
    </row>
    <row r="373" spans="1:18">
      <c r="A373" s="10">
        <f ca="1">IFERROR(__xludf.dummyfunction("""COMPUTED_VALUE"""),182)</f>
        <v>182</v>
      </c>
      <c r="B373" s="11" t="str">
        <f ca="1">IFERROR(__xludf.dummyfunction("""COMPUTED_VALUE"""),"JONAS CÂNDIDO RIBEIRO NETO")</f>
        <v>JONAS CÂNDIDO RIBEIRO NETO</v>
      </c>
      <c r="C373" s="11"/>
      <c r="D373" s="11" t="str">
        <f ca="1">IFERROR(__xludf.dummyfunction("""COMPUTED_VALUE"""),"04768859143")</f>
        <v>04768859143</v>
      </c>
      <c r="E373" s="11" t="str">
        <f ca="1">IFERROR(__xludf.dummyfunction("""COMPUTED_VALUE"""),"JONASNETTO.ACUST@GMAIL.COM")</f>
        <v>JONASNETTO.ACUST@GMAIL.COM</v>
      </c>
      <c r="F373" s="11" t="str">
        <f ca="1">IFERROR(__xludf.dummyfunction("""COMPUTED_VALUE"""),"(62) 35866595")</f>
        <v>(62) 35866595</v>
      </c>
      <c r="G373" s="11" t="str">
        <f ca="1">IFERROR(__xludf.dummyfunction("""COMPUTED_VALUE"""),"(62) 984002885")</f>
        <v>(62) 984002885</v>
      </c>
      <c r="H373" s="11" t="str">
        <f ca="1">IFERROR(__xludf.dummyfunction("""COMPUTED_VALUE"""),"SUPERIOR")</f>
        <v>SUPERIOR</v>
      </c>
      <c r="I373" s="10" t="str">
        <f ca="1">IFERROR(__xludf.dummyfunction("""COMPUTED_VALUE"""),"DIREITO")</f>
        <v>DIREITO</v>
      </c>
      <c r="J373" s="10" t="str">
        <f ca="1">IFERROR(__xludf.dummyfunction("""COMPUTED_VALUE"""),"NOITE")</f>
        <v>NOITE</v>
      </c>
      <c r="K373" s="10" t="str">
        <f ca="1">IFERROR(__xludf.dummyfunction("""COMPUTED_VALUE"""),"TARDE")</f>
        <v>TARDE</v>
      </c>
      <c r="L373" s="10" t="str">
        <f ca="1">IFERROR(__xludf.dummyfunction("""COMPUTED_VALUE"""),"GOIÂNIA - GO")</f>
        <v>GOIÂNIA - GO</v>
      </c>
      <c r="M373" s="10">
        <f ca="1">IFERROR(__xludf.dummyfunction("""COMPUTED_VALUE"""),6)</f>
        <v>6</v>
      </c>
      <c r="N373" s="10" t="str">
        <f ca="1">IFERROR(__xludf.dummyfunction("""COMPUTED_VALUE"""),"DISPONÍVEL")</f>
        <v>DISPONÍVEL</v>
      </c>
      <c r="O373" s="12"/>
      <c r="P373" s="11"/>
      <c r="Q373" s="11"/>
      <c r="R373" s="11"/>
    </row>
    <row r="374" spans="1:18">
      <c r="A374" s="10">
        <f ca="1">IFERROR(__xludf.dummyfunction("""COMPUTED_VALUE"""),183)</f>
        <v>183</v>
      </c>
      <c r="B374" s="11" t="str">
        <f ca="1">IFERROR(__xludf.dummyfunction("""COMPUTED_VALUE"""),"PABLYCIA LUDYELLI FERREIRA DE JESUS")</f>
        <v>PABLYCIA LUDYELLI FERREIRA DE JESUS</v>
      </c>
      <c r="C374" s="11"/>
      <c r="D374" s="11" t="str">
        <f ca="1">IFERROR(__xludf.dummyfunction("""COMPUTED_VALUE"""),"70731533186")</f>
        <v>70731533186</v>
      </c>
      <c r="E374" s="11" t="str">
        <f ca="1">IFERROR(__xludf.dummyfunction("""COMPUTED_VALUE"""),"PABLYCIALUDYELLI455@GMAIL.COM")</f>
        <v>PABLYCIALUDYELLI455@GMAIL.COM</v>
      </c>
      <c r="F374" s="11"/>
      <c r="G374" s="11" t="str">
        <f ca="1">IFERROR(__xludf.dummyfunction("""COMPUTED_VALUE"""),"(62) 991994210")</f>
        <v>(62) 991994210</v>
      </c>
      <c r="H374" s="11" t="str">
        <f ca="1">IFERROR(__xludf.dummyfunction("""COMPUTED_VALUE"""),"SUPERIOR")</f>
        <v>SUPERIOR</v>
      </c>
      <c r="I374" s="10" t="str">
        <f ca="1">IFERROR(__xludf.dummyfunction("""COMPUTED_VALUE"""),"DIREITO")</f>
        <v>DIREITO</v>
      </c>
      <c r="J374" s="10" t="str">
        <f ca="1">IFERROR(__xludf.dummyfunction("""COMPUTED_VALUE"""),"MANHÃ")</f>
        <v>MANHÃ</v>
      </c>
      <c r="K374" s="10" t="str">
        <f ca="1">IFERROR(__xludf.dummyfunction("""COMPUTED_VALUE"""),"TARDE")</f>
        <v>TARDE</v>
      </c>
      <c r="L374" s="10" t="str">
        <f ca="1">IFERROR(__xludf.dummyfunction("""COMPUTED_VALUE"""),"GOIÂNIA - GO")</f>
        <v>GOIÂNIA - GO</v>
      </c>
      <c r="M374" s="10">
        <f ca="1">IFERROR(__xludf.dummyfunction("""COMPUTED_VALUE"""),6)</f>
        <v>6</v>
      </c>
      <c r="N374" s="10" t="str">
        <f ca="1">IFERROR(__xludf.dummyfunction("""COMPUTED_VALUE"""),"DISPONÍVEL")</f>
        <v>DISPONÍVEL</v>
      </c>
      <c r="O374" s="12"/>
      <c r="P374" s="11"/>
      <c r="Q374" s="11"/>
      <c r="R374" s="11"/>
    </row>
    <row r="375" spans="1:18">
      <c r="A375" s="10">
        <f ca="1">IFERROR(__xludf.dummyfunction("""COMPUTED_VALUE"""),184)</f>
        <v>184</v>
      </c>
      <c r="B375" s="11" t="str">
        <f ca="1">IFERROR(__xludf.dummyfunction("""COMPUTED_VALUE"""),"ANA PRISCILA DOS SANTOS SILVA")</f>
        <v>ANA PRISCILA DOS SANTOS SILVA</v>
      </c>
      <c r="C375" s="11"/>
      <c r="D375" s="11" t="str">
        <f ca="1">IFERROR(__xludf.dummyfunction("""COMPUTED_VALUE"""),"70866640142")</f>
        <v>70866640142</v>
      </c>
      <c r="E375" s="11" t="str">
        <f ca="1">IFERROR(__xludf.dummyfunction("""COMPUTED_VALUE"""),"ANAPRISCILASANTOS16@GMAIL.COM")</f>
        <v>ANAPRISCILASANTOS16@GMAIL.COM</v>
      </c>
      <c r="F375" s="11"/>
      <c r="G375" s="11" t="str">
        <f ca="1">IFERROR(__xludf.dummyfunction("""COMPUTED_VALUE"""),"(62) 981785715")</f>
        <v>(62) 981785715</v>
      </c>
      <c r="H375" s="11" t="str">
        <f ca="1">IFERROR(__xludf.dummyfunction("""COMPUTED_VALUE"""),"SUPERIOR")</f>
        <v>SUPERIOR</v>
      </c>
      <c r="I375" s="10" t="str">
        <f ca="1">IFERROR(__xludf.dummyfunction("""COMPUTED_VALUE"""),"DIREITO")</f>
        <v>DIREITO</v>
      </c>
      <c r="J375" s="10" t="str">
        <f ca="1">IFERROR(__xludf.dummyfunction("""COMPUTED_VALUE"""),"MANHÃ")</f>
        <v>MANHÃ</v>
      </c>
      <c r="K375" s="10" t="str">
        <f ca="1">IFERROR(__xludf.dummyfunction("""COMPUTED_VALUE"""),"TARDE")</f>
        <v>TARDE</v>
      </c>
      <c r="L375" s="10" t="str">
        <f ca="1">IFERROR(__xludf.dummyfunction("""COMPUTED_VALUE"""),"GOIÂNIA - GO")</f>
        <v>GOIÂNIA - GO</v>
      </c>
      <c r="M375" s="10">
        <f ca="1">IFERROR(__xludf.dummyfunction("""COMPUTED_VALUE"""),5)</f>
        <v>5</v>
      </c>
      <c r="N375" s="10" t="str">
        <f ca="1">IFERROR(__xludf.dummyfunction("""COMPUTED_VALUE"""),"DISPONÍVEL")</f>
        <v>DISPONÍVEL</v>
      </c>
      <c r="O375" s="12"/>
      <c r="P375" s="11"/>
      <c r="Q375" s="11"/>
      <c r="R375" s="11"/>
    </row>
    <row r="376" spans="1:18">
      <c r="A376" s="10">
        <f ca="1">IFERROR(__xludf.dummyfunction("""COMPUTED_VALUE"""),185)</f>
        <v>185</v>
      </c>
      <c r="B376" s="11" t="str">
        <f ca="1">IFERROR(__xludf.dummyfunction("""COMPUTED_VALUE"""),"JOAO CAJAZEIRAS NETO")</f>
        <v>JOAO CAJAZEIRAS NETO</v>
      </c>
      <c r="C376" s="11"/>
      <c r="D376" s="11" t="str">
        <f ca="1">IFERROR(__xludf.dummyfunction("""COMPUTED_VALUE"""),"48186503153")</f>
        <v>48186503153</v>
      </c>
      <c r="E376" s="11" t="str">
        <f ca="1">IFERROR(__xludf.dummyfunction("""COMPUTED_VALUE"""),"JOAOCAJAZEIRASNETO@YAHOO.COM")</f>
        <v>JOAOCAJAZEIRASNETO@YAHOO.COM</v>
      </c>
      <c r="F376" s="11" t="str">
        <f ca="1">IFERROR(__xludf.dummyfunction("""COMPUTED_VALUE"""),"(44) 73769326")</f>
        <v>(44) 73769326</v>
      </c>
      <c r="G376" s="11" t="str">
        <f ca="1">IFERROR(__xludf.dummyfunction("""COMPUTED_VALUE"""),"(62) 984139417")</f>
        <v>(62) 984139417</v>
      </c>
      <c r="H376" s="11" t="str">
        <f ca="1">IFERROR(__xludf.dummyfunction("""COMPUTED_VALUE"""),"SUPERIOR")</f>
        <v>SUPERIOR</v>
      </c>
      <c r="I376" s="10" t="str">
        <f ca="1">IFERROR(__xludf.dummyfunction("""COMPUTED_VALUE"""),"DIREITO")</f>
        <v>DIREITO</v>
      </c>
      <c r="J376" s="10" t="str">
        <f ca="1">IFERROR(__xludf.dummyfunction("""COMPUTED_VALUE"""),"MANHÃ")</f>
        <v>MANHÃ</v>
      </c>
      <c r="K376" s="10" t="str">
        <f ca="1">IFERROR(__xludf.dummyfunction("""COMPUTED_VALUE"""),"TARDE")</f>
        <v>TARDE</v>
      </c>
      <c r="L376" s="10" t="str">
        <f ca="1">IFERROR(__xludf.dummyfunction("""COMPUTED_VALUE"""),"GOIÂNIA - GO")</f>
        <v>GOIÂNIA - GO</v>
      </c>
      <c r="M376" s="10">
        <f ca="1">IFERROR(__xludf.dummyfunction("""COMPUTED_VALUE"""),8)</f>
        <v>8</v>
      </c>
      <c r="N376" s="10" t="str">
        <f ca="1">IFERROR(__xludf.dummyfunction("""COMPUTED_VALUE"""),"DISPONÍVEL")</f>
        <v>DISPONÍVEL</v>
      </c>
      <c r="O376" s="12"/>
      <c r="P376" s="11"/>
      <c r="Q376" s="11"/>
      <c r="R376" s="11"/>
    </row>
    <row r="377" spans="1:18">
      <c r="A377" s="10">
        <f ca="1">IFERROR(__xludf.dummyfunction("""COMPUTED_VALUE"""),186)</f>
        <v>186</v>
      </c>
      <c r="B377" s="11" t="str">
        <f ca="1">IFERROR(__xludf.dummyfunction("""COMPUTED_VALUE"""),"MARIA LUIZA MACIEL DE PAULA")</f>
        <v>MARIA LUIZA MACIEL DE PAULA</v>
      </c>
      <c r="C377" s="11"/>
      <c r="D377" s="11" t="str">
        <f ca="1">IFERROR(__xludf.dummyfunction("""COMPUTED_VALUE"""),"06483395132")</f>
        <v>06483395132</v>
      </c>
      <c r="E377" s="11" t="str">
        <f ca="1">IFERROR(__xludf.dummyfunction("""COMPUTED_VALUE"""),"MARIALUIZAMPAULA@GMAIL.COM")</f>
        <v>MARIALUIZAMPAULA@GMAIL.COM</v>
      </c>
      <c r="F377" s="11" t="str">
        <f ca="1">IFERROR(__xludf.dummyfunction("""COMPUTED_VALUE"""),"(62) 96010364")</f>
        <v>(62) 96010364</v>
      </c>
      <c r="G377" s="11" t="str">
        <f ca="1">IFERROR(__xludf.dummyfunction("""COMPUTED_VALUE"""),"(62) 996010364")</f>
        <v>(62) 996010364</v>
      </c>
      <c r="H377" s="11" t="str">
        <f ca="1">IFERROR(__xludf.dummyfunction("""COMPUTED_VALUE"""),"SUPERIOR")</f>
        <v>SUPERIOR</v>
      </c>
      <c r="I377" s="10" t="str">
        <f ca="1">IFERROR(__xludf.dummyfunction("""COMPUTED_VALUE"""),"DIREITO")</f>
        <v>DIREITO</v>
      </c>
      <c r="J377" s="10" t="str">
        <f ca="1">IFERROR(__xludf.dummyfunction("""COMPUTED_VALUE"""),"MANHÃ")</f>
        <v>MANHÃ</v>
      </c>
      <c r="K377" s="10" t="str">
        <f ca="1">IFERROR(__xludf.dummyfunction("""COMPUTED_VALUE"""),"TARDE")</f>
        <v>TARDE</v>
      </c>
      <c r="L377" s="10" t="str">
        <f ca="1">IFERROR(__xludf.dummyfunction("""COMPUTED_VALUE"""),"GOIÂNIA - GO")</f>
        <v>GOIÂNIA - GO</v>
      </c>
      <c r="M377" s="10">
        <f ca="1">IFERROR(__xludf.dummyfunction("""COMPUTED_VALUE"""),5)</f>
        <v>5</v>
      </c>
      <c r="N377" s="10" t="str">
        <f ca="1">IFERROR(__xludf.dummyfunction("""COMPUTED_VALUE"""),"DISPONÍVEL")</f>
        <v>DISPONÍVEL</v>
      </c>
      <c r="O377" s="12"/>
      <c r="P377" s="11"/>
      <c r="Q377" s="11"/>
      <c r="R377" s="11"/>
    </row>
    <row r="378" spans="1:18">
      <c r="A378" s="10">
        <f ca="1">IFERROR(__xludf.dummyfunction("""COMPUTED_VALUE"""),187)</f>
        <v>187</v>
      </c>
      <c r="B378" s="11" t="str">
        <f ca="1">IFERROR(__xludf.dummyfunction("""COMPUTED_VALUE"""),"LIVIA NOVAES SANTOS")</f>
        <v>LIVIA NOVAES SANTOS</v>
      </c>
      <c r="C378" s="11" t="str">
        <f ca="1">IFERROR(__xludf.dummyfunction("""COMPUTED_VALUE"""),"6531515")</f>
        <v>6531515</v>
      </c>
      <c r="D378" s="11" t="str">
        <f ca="1">IFERROR(__xludf.dummyfunction("""COMPUTED_VALUE"""),"70597178119")</f>
        <v>70597178119</v>
      </c>
      <c r="E378" s="11" t="str">
        <f ca="1">IFERROR(__xludf.dummyfunction("""COMPUTED_VALUE"""),"LIVIANOVAES1804@GMAIL.COM")</f>
        <v>LIVIANOVAES1804@GMAIL.COM</v>
      </c>
      <c r="F378" s="11"/>
      <c r="G378" s="11" t="str">
        <f ca="1">IFERROR(__xludf.dummyfunction("""COMPUTED_VALUE"""),"(62) 996741856")</f>
        <v>(62) 996741856</v>
      </c>
      <c r="H378" s="11" t="str">
        <f ca="1">IFERROR(__xludf.dummyfunction("""COMPUTED_VALUE"""),"SUPERIOR")</f>
        <v>SUPERIOR</v>
      </c>
      <c r="I378" s="10" t="str">
        <f ca="1">IFERROR(__xludf.dummyfunction("""COMPUTED_VALUE"""),"DIREITO")</f>
        <v>DIREITO</v>
      </c>
      <c r="J378" s="10" t="str">
        <f ca="1">IFERROR(__xludf.dummyfunction("""COMPUTED_VALUE"""),"NOITE")</f>
        <v>NOITE</v>
      </c>
      <c r="K378" s="10" t="str">
        <f ca="1">IFERROR(__xludf.dummyfunction("""COMPUTED_VALUE"""),"TARDE")</f>
        <v>TARDE</v>
      </c>
      <c r="L378" s="10" t="str">
        <f ca="1">IFERROR(__xludf.dummyfunction("""COMPUTED_VALUE"""),"GOIÂNIA - GO")</f>
        <v>GOIÂNIA - GO</v>
      </c>
      <c r="M378" s="10">
        <f ca="1">IFERROR(__xludf.dummyfunction("""COMPUTED_VALUE"""),8)</f>
        <v>8</v>
      </c>
      <c r="N378" s="10" t="str">
        <f ca="1">IFERROR(__xludf.dummyfunction("""COMPUTED_VALUE"""),"DISPONÍVEL")</f>
        <v>DISPONÍVEL</v>
      </c>
      <c r="O378" s="12"/>
      <c r="P378" s="11"/>
      <c r="Q378" s="11"/>
      <c r="R378" s="11"/>
    </row>
    <row r="379" spans="1:18">
      <c r="A379" s="10">
        <f ca="1">IFERROR(__xludf.dummyfunction("""COMPUTED_VALUE"""),188)</f>
        <v>188</v>
      </c>
      <c r="B379" s="11" t="str">
        <f ca="1">IFERROR(__xludf.dummyfunction("""COMPUTED_VALUE"""),"PAULA FALEIRO")</f>
        <v>PAULA FALEIRO</v>
      </c>
      <c r="C379" s="11"/>
      <c r="D379" s="11" t="str">
        <f ca="1">IFERROR(__xludf.dummyfunction("""COMPUTED_VALUE"""),"70716576104")</f>
        <v>70716576104</v>
      </c>
      <c r="E379" s="11" t="str">
        <f ca="1">IFERROR(__xludf.dummyfunction("""COMPUTED_VALUE"""),"PAULALAYANEFALEIRO@GMAIL.COM")</f>
        <v>PAULALAYANEFALEIRO@GMAIL.COM</v>
      </c>
      <c r="F379" s="11" t="str">
        <f ca="1">IFERROR(__xludf.dummyfunction("""COMPUTED_VALUE"""),"(62) 81860502")</f>
        <v>(62) 81860502</v>
      </c>
      <c r="G379" s="11" t="str">
        <f ca="1">IFERROR(__xludf.dummyfunction("""COMPUTED_VALUE"""),"(62) 981929925")</f>
        <v>(62) 981929925</v>
      </c>
      <c r="H379" s="11" t="str">
        <f ca="1">IFERROR(__xludf.dummyfunction("""COMPUTED_VALUE"""),"SUPERIOR")</f>
        <v>SUPERIOR</v>
      </c>
      <c r="I379" s="10" t="str">
        <f ca="1">IFERROR(__xludf.dummyfunction("""COMPUTED_VALUE"""),"DIREITO")</f>
        <v>DIREITO</v>
      </c>
      <c r="J379" s="10" t="str">
        <f ca="1">IFERROR(__xludf.dummyfunction("""COMPUTED_VALUE"""),"NOITE")</f>
        <v>NOITE</v>
      </c>
      <c r="K379" s="10" t="str">
        <f ca="1">IFERROR(__xludf.dummyfunction("""COMPUTED_VALUE"""),"TARDE")</f>
        <v>TARDE</v>
      </c>
      <c r="L379" s="10" t="str">
        <f ca="1">IFERROR(__xludf.dummyfunction("""COMPUTED_VALUE"""),"GOIÂNIA - GO")</f>
        <v>GOIÂNIA - GO</v>
      </c>
      <c r="M379" s="10">
        <f ca="1">IFERROR(__xludf.dummyfunction("""COMPUTED_VALUE"""),5)</f>
        <v>5</v>
      </c>
      <c r="N379" s="10" t="str">
        <f ca="1">IFERROR(__xludf.dummyfunction("""COMPUTED_VALUE"""),"DISPONÍVEL")</f>
        <v>DISPONÍVEL</v>
      </c>
      <c r="O379" s="12"/>
      <c r="P379" s="11"/>
      <c r="Q379" s="11"/>
      <c r="R379" s="11"/>
    </row>
    <row r="380" spans="1:18">
      <c r="A380" s="10">
        <f ca="1">IFERROR(__xludf.dummyfunction("""COMPUTED_VALUE"""),189)</f>
        <v>189</v>
      </c>
      <c r="B380" s="11" t="str">
        <f ca="1">IFERROR(__xludf.dummyfunction("""COMPUTED_VALUE"""),"MARIANA BARBOSA DE CASTRO")</f>
        <v>MARIANA BARBOSA DE CASTRO</v>
      </c>
      <c r="C380" s="11"/>
      <c r="D380" s="11" t="str">
        <f ca="1">IFERROR(__xludf.dummyfunction("""COMPUTED_VALUE"""),"06716735135")</f>
        <v>06716735135</v>
      </c>
      <c r="E380" s="11" t="str">
        <f ca="1">IFERROR(__xludf.dummyfunction("""COMPUTED_VALUE"""),"MARIANABARBOSACASTRO2015@GMAIL.COM")</f>
        <v>MARIANABARBOSACASTRO2015@GMAIL.COM</v>
      </c>
      <c r="F380" s="11" t="str">
        <f ca="1">IFERROR(__xludf.dummyfunction("""COMPUTED_VALUE"""),"(64) 36514330")</f>
        <v>(64) 36514330</v>
      </c>
      <c r="G380" s="11" t="str">
        <f ca="1">IFERROR(__xludf.dummyfunction("""COMPUTED_VALUE"""),"(64) 984185010")</f>
        <v>(64) 984185010</v>
      </c>
      <c r="H380" s="11" t="str">
        <f ca="1">IFERROR(__xludf.dummyfunction("""COMPUTED_VALUE"""),"SUPERIOR")</f>
        <v>SUPERIOR</v>
      </c>
      <c r="I380" s="10" t="str">
        <f ca="1">IFERROR(__xludf.dummyfunction("""COMPUTED_VALUE"""),"DIREITO")</f>
        <v>DIREITO</v>
      </c>
      <c r="J380" s="10" t="str">
        <f ca="1">IFERROR(__xludf.dummyfunction("""COMPUTED_VALUE"""),"MANHÃ")</f>
        <v>MANHÃ</v>
      </c>
      <c r="K380" s="10" t="str">
        <f ca="1">IFERROR(__xludf.dummyfunction("""COMPUTED_VALUE"""),"TARDE")</f>
        <v>TARDE</v>
      </c>
      <c r="L380" s="10" t="str">
        <f ca="1">IFERROR(__xludf.dummyfunction("""COMPUTED_VALUE"""),"GOIÂNIA - GO")</f>
        <v>GOIÂNIA - GO</v>
      </c>
      <c r="M380" s="10">
        <f ca="1">IFERROR(__xludf.dummyfunction("""COMPUTED_VALUE"""),5)</f>
        <v>5</v>
      </c>
      <c r="N380" s="10" t="str">
        <f ca="1">IFERROR(__xludf.dummyfunction("""COMPUTED_VALUE"""),"DISPONÍVEL")</f>
        <v>DISPONÍVEL</v>
      </c>
      <c r="O380" s="12"/>
      <c r="P380" s="11"/>
      <c r="Q380" s="11"/>
      <c r="R380" s="11"/>
    </row>
    <row r="381" spans="1:18">
      <c r="A381" s="10">
        <f ca="1">IFERROR(__xludf.dummyfunction("""COMPUTED_VALUE"""),190)</f>
        <v>190</v>
      </c>
      <c r="B381" s="11" t="str">
        <f ca="1">IFERROR(__xludf.dummyfunction("""COMPUTED_VALUE"""),"ROGÉRIO CONSTANTINO DA SILVA")</f>
        <v>ROGÉRIO CONSTANTINO DA SILVA</v>
      </c>
      <c r="C381" s="11"/>
      <c r="D381" s="11" t="str">
        <f ca="1">IFERROR(__xludf.dummyfunction("""COMPUTED_VALUE"""),"59366621104")</f>
        <v>59366621104</v>
      </c>
      <c r="E381" s="11" t="str">
        <f ca="1">IFERROR(__xludf.dummyfunction("""COMPUTED_VALUE"""),"ROGERIO.CONSTANTINO@ESTUDANTE.UNIARAGUAIA.EDU.BR")</f>
        <v>ROGERIO.CONSTANTINO@ESTUDANTE.UNIARAGUAIA.EDU.BR</v>
      </c>
      <c r="F381" s="11"/>
      <c r="G381" s="11" t="str">
        <f ca="1">IFERROR(__xludf.dummyfunction("""COMPUTED_VALUE"""),"(62) 995442377")</f>
        <v>(62) 995442377</v>
      </c>
      <c r="H381" s="11" t="str">
        <f ca="1">IFERROR(__xludf.dummyfunction("""COMPUTED_VALUE"""),"SUPERIOR")</f>
        <v>SUPERIOR</v>
      </c>
      <c r="I381" s="10" t="str">
        <f ca="1">IFERROR(__xludf.dummyfunction("""COMPUTED_VALUE"""),"DIREITO")</f>
        <v>DIREITO</v>
      </c>
      <c r="J381" s="10" t="str">
        <f ca="1">IFERROR(__xludf.dummyfunction("""COMPUTED_VALUE"""),"NOITE")</f>
        <v>NOITE</v>
      </c>
      <c r="K381" s="10" t="str">
        <f ca="1">IFERROR(__xludf.dummyfunction("""COMPUTED_VALUE"""),"TARDE")</f>
        <v>TARDE</v>
      </c>
      <c r="L381" s="10" t="str">
        <f ca="1">IFERROR(__xludf.dummyfunction("""COMPUTED_VALUE"""),"GOIÂNIA - GO")</f>
        <v>GOIÂNIA - GO</v>
      </c>
      <c r="M381" s="10">
        <f ca="1">IFERROR(__xludf.dummyfunction("""COMPUTED_VALUE"""),7)</f>
        <v>7</v>
      </c>
      <c r="N381" s="10" t="str">
        <f ca="1">IFERROR(__xludf.dummyfunction("""COMPUTED_VALUE"""),"CONTRATADO")</f>
        <v>CONTRATADO</v>
      </c>
      <c r="O381" s="12"/>
      <c r="P381" s="11"/>
      <c r="Q381" s="11"/>
      <c r="R381" s="11"/>
    </row>
    <row r="382" spans="1:18">
      <c r="A382" s="10">
        <f ca="1">IFERROR(__xludf.dummyfunction("""COMPUTED_VALUE"""),191)</f>
        <v>191</v>
      </c>
      <c r="B382" s="11" t="str">
        <f ca="1">IFERROR(__xludf.dummyfunction("""COMPUTED_VALUE"""),"GHIOVANA COSTA GUALBERTO DOS SANTOS")</f>
        <v>GHIOVANA COSTA GUALBERTO DOS SANTOS</v>
      </c>
      <c r="C382" s="11" t="str">
        <f ca="1">IFERROR(__xludf.dummyfunction("""COMPUTED_VALUE"""),"6241101")</f>
        <v>6241101</v>
      </c>
      <c r="D382" s="11" t="str">
        <f ca="1">IFERROR(__xludf.dummyfunction("""COMPUTED_VALUE"""),"05863251158")</f>
        <v>05863251158</v>
      </c>
      <c r="E382" s="11" t="str">
        <f ca="1">IFERROR(__xludf.dummyfunction("""COMPUTED_VALUE"""),"GHIOVANA.12@HOTMAIL.COM")</f>
        <v>GHIOVANA.12@HOTMAIL.COM</v>
      </c>
      <c r="F382" s="11" t="str">
        <f ca="1">IFERROR(__xludf.dummyfunction("""COMPUTED_VALUE"""),"(62) 41416837")</f>
        <v>(62) 41416837</v>
      </c>
      <c r="G382" s="11" t="str">
        <f ca="1">IFERROR(__xludf.dummyfunction("""COMPUTED_VALUE"""),"(62) 992489895")</f>
        <v>(62) 992489895</v>
      </c>
      <c r="H382" s="11" t="str">
        <f ca="1">IFERROR(__xludf.dummyfunction("""COMPUTED_VALUE"""),"SUPERIOR")</f>
        <v>SUPERIOR</v>
      </c>
      <c r="I382" s="10" t="str">
        <f ca="1">IFERROR(__xludf.dummyfunction("""COMPUTED_VALUE"""),"DIREITO")</f>
        <v>DIREITO</v>
      </c>
      <c r="J382" s="10" t="str">
        <f ca="1">IFERROR(__xludf.dummyfunction("""COMPUTED_VALUE"""),"NOITE")</f>
        <v>NOITE</v>
      </c>
      <c r="K382" s="10" t="str">
        <f ca="1">IFERROR(__xludf.dummyfunction("""COMPUTED_VALUE"""),"TARDE")</f>
        <v>TARDE</v>
      </c>
      <c r="L382" s="10" t="str">
        <f ca="1">IFERROR(__xludf.dummyfunction("""COMPUTED_VALUE"""),"GOIÂNIA - GO")</f>
        <v>GOIÂNIA - GO</v>
      </c>
      <c r="M382" s="10">
        <f ca="1">IFERROR(__xludf.dummyfunction("""COMPUTED_VALUE"""),7)</f>
        <v>7</v>
      </c>
      <c r="N382" s="10" t="str">
        <f ca="1">IFERROR(__xludf.dummyfunction("""COMPUTED_VALUE"""),"DISPONÍVEL")</f>
        <v>DISPONÍVEL</v>
      </c>
      <c r="O382" s="12"/>
      <c r="P382" s="11"/>
      <c r="Q382" s="11"/>
      <c r="R382" s="11"/>
    </row>
    <row r="383" spans="1:18">
      <c r="A383" s="10">
        <f ca="1">IFERROR(__xludf.dummyfunction("""COMPUTED_VALUE"""),192)</f>
        <v>192</v>
      </c>
      <c r="B383" s="11" t="str">
        <f ca="1">IFERROR(__xludf.dummyfunction("""COMPUTED_VALUE"""),"DJEYNNE ELIKA CABRAL")</f>
        <v>DJEYNNE ELIKA CABRAL</v>
      </c>
      <c r="C383" s="11"/>
      <c r="D383" s="11" t="str">
        <f ca="1">IFERROR(__xludf.dummyfunction("""COMPUTED_VALUE"""),"88155510182")</f>
        <v>88155510182</v>
      </c>
      <c r="E383" s="11" t="str">
        <f ca="1">IFERROR(__xludf.dummyfunction("""COMPUTED_VALUE"""),"DJEYNNEELIKA@GMAIL.COM")</f>
        <v>DJEYNNEELIKA@GMAIL.COM</v>
      </c>
      <c r="F383" s="11" t="str">
        <f ca="1">IFERROR(__xludf.dummyfunction("""COMPUTED_VALUE"""),"(62) 35936691")</f>
        <v>(62) 35936691</v>
      </c>
      <c r="G383" s="11" t="str">
        <f ca="1">IFERROR(__xludf.dummyfunction("""COMPUTED_VALUE"""),"(62) 991071748")</f>
        <v>(62) 991071748</v>
      </c>
      <c r="H383" s="11" t="str">
        <f ca="1">IFERROR(__xludf.dummyfunction("""COMPUTED_VALUE"""),"SUPERIOR")</f>
        <v>SUPERIOR</v>
      </c>
      <c r="I383" s="10" t="str">
        <f ca="1">IFERROR(__xludf.dummyfunction("""COMPUTED_VALUE"""),"DIREITO")</f>
        <v>DIREITO</v>
      </c>
      <c r="J383" s="10" t="str">
        <f ca="1">IFERROR(__xludf.dummyfunction("""COMPUTED_VALUE"""),"NOITE")</f>
        <v>NOITE</v>
      </c>
      <c r="K383" s="10" t="str">
        <f ca="1">IFERROR(__xludf.dummyfunction("""COMPUTED_VALUE"""),"TARDE")</f>
        <v>TARDE</v>
      </c>
      <c r="L383" s="10" t="str">
        <f ca="1">IFERROR(__xludf.dummyfunction("""COMPUTED_VALUE"""),"GOIÂNIA - GO")</f>
        <v>GOIÂNIA - GO</v>
      </c>
      <c r="M383" s="10">
        <f ca="1">IFERROR(__xludf.dummyfunction("""COMPUTED_VALUE"""),7)</f>
        <v>7</v>
      </c>
      <c r="N383" s="10" t="str">
        <f ca="1">IFERROR(__xludf.dummyfunction("""COMPUTED_VALUE"""),"DISPONÍVEL")</f>
        <v>DISPONÍVEL</v>
      </c>
      <c r="O383" s="12"/>
      <c r="P383" s="11"/>
      <c r="Q383" s="11"/>
      <c r="R383" s="11"/>
    </row>
    <row r="384" spans="1:18">
      <c r="A384" s="10">
        <f ca="1">IFERROR(__xludf.dummyfunction("""COMPUTED_VALUE"""),193)</f>
        <v>193</v>
      </c>
      <c r="B384" s="11" t="str">
        <f ca="1">IFERROR(__xludf.dummyfunction("""COMPUTED_VALUE"""),"BRUNA LUÍSA ANDRADE MOTA")</f>
        <v>BRUNA LUÍSA ANDRADE MOTA</v>
      </c>
      <c r="C384" s="11"/>
      <c r="D384" s="11" t="str">
        <f ca="1">IFERROR(__xludf.dummyfunction("""COMPUTED_VALUE"""),"07686185176")</f>
        <v>07686185176</v>
      </c>
      <c r="E384" s="11" t="str">
        <f ca="1">IFERROR(__xludf.dummyfunction("""COMPUTED_VALUE"""),"BRUNAANMOTAL@GMAIL.COM")</f>
        <v>BRUNAANMOTAL@GMAIL.COM</v>
      </c>
      <c r="F384" s="11" t="str">
        <f ca="1">IFERROR(__xludf.dummyfunction("""COMPUTED_VALUE"""),"(62) 81454680")</f>
        <v>(62) 81454680</v>
      </c>
      <c r="G384" s="11" t="str">
        <f ca="1">IFERROR(__xludf.dummyfunction("""COMPUTED_VALUE"""),"(62) 983058390")</f>
        <v>(62) 983058390</v>
      </c>
      <c r="H384" s="11" t="str">
        <f ca="1">IFERROR(__xludf.dummyfunction("""COMPUTED_VALUE"""),"SUPERIOR")</f>
        <v>SUPERIOR</v>
      </c>
      <c r="I384" s="10" t="str">
        <f ca="1">IFERROR(__xludf.dummyfunction("""COMPUTED_VALUE"""),"DIREITO")</f>
        <v>DIREITO</v>
      </c>
      <c r="J384" s="10" t="str">
        <f ca="1">IFERROR(__xludf.dummyfunction("""COMPUTED_VALUE"""),"VARIÁVEL")</f>
        <v>VARIÁVEL</v>
      </c>
      <c r="K384" s="10" t="str">
        <f ca="1">IFERROR(__xludf.dummyfunction("""COMPUTED_VALUE"""),"TARDE")</f>
        <v>TARDE</v>
      </c>
      <c r="L384" s="10" t="str">
        <f ca="1">IFERROR(__xludf.dummyfunction("""COMPUTED_VALUE"""),"GOIÂNIA - GO")</f>
        <v>GOIÂNIA - GO</v>
      </c>
      <c r="M384" s="10">
        <f ca="1">IFERROR(__xludf.dummyfunction("""COMPUTED_VALUE"""),6)</f>
        <v>6</v>
      </c>
      <c r="N384" s="10" t="str">
        <f ca="1">IFERROR(__xludf.dummyfunction("""COMPUTED_VALUE"""),"DISPONÍVEL")</f>
        <v>DISPONÍVEL</v>
      </c>
      <c r="O384" s="12"/>
      <c r="P384" s="11"/>
      <c r="Q384" s="11"/>
      <c r="R384" s="11"/>
    </row>
    <row r="385" spans="1:18">
      <c r="A385" s="10">
        <f ca="1">IFERROR(__xludf.dummyfunction("""COMPUTED_VALUE"""),194)</f>
        <v>194</v>
      </c>
      <c r="B385" s="11" t="str">
        <f ca="1">IFERROR(__xludf.dummyfunction("""COMPUTED_VALUE"""),"CAROLINA ALVES COSTA")</f>
        <v>CAROLINA ALVES COSTA</v>
      </c>
      <c r="C385" s="11"/>
      <c r="D385" s="11" t="str">
        <f ca="1">IFERROR(__xludf.dummyfunction("""COMPUTED_VALUE"""),"70214407152")</f>
        <v>70214407152</v>
      </c>
      <c r="E385" s="11" t="str">
        <f ca="1">IFERROR(__xludf.dummyfunction("""COMPUTED_VALUE"""),"CA45889@GMAIL.COM")</f>
        <v>CA45889@GMAIL.COM</v>
      </c>
      <c r="F385" s="11" t="str">
        <f ca="1">IFERROR(__xludf.dummyfunction("""COMPUTED_VALUE"""),"(62) 84578485")</f>
        <v>(62) 84578485</v>
      </c>
      <c r="G385" s="11" t="str">
        <f ca="1">IFERROR(__xludf.dummyfunction("""COMPUTED_VALUE"""),"(62) 984199921")</f>
        <v>(62) 984199921</v>
      </c>
      <c r="H385" s="11" t="str">
        <f ca="1">IFERROR(__xludf.dummyfunction("""COMPUTED_VALUE"""),"SUPERIOR")</f>
        <v>SUPERIOR</v>
      </c>
      <c r="I385" s="10" t="str">
        <f ca="1">IFERROR(__xludf.dummyfunction("""COMPUTED_VALUE"""),"DIREITO")</f>
        <v>DIREITO</v>
      </c>
      <c r="J385" s="10" t="str">
        <f ca="1">IFERROR(__xludf.dummyfunction("""COMPUTED_VALUE"""),"TARDE")</f>
        <v>TARDE</v>
      </c>
      <c r="K385" s="10" t="str">
        <f ca="1">IFERROR(__xludf.dummyfunction("""COMPUTED_VALUE"""),"TARDE")</f>
        <v>TARDE</v>
      </c>
      <c r="L385" s="10" t="str">
        <f ca="1">IFERROR(__xludf.dummyfunction("""COMPUTED_VALUE"""),"GOIÂNIA - GO")</f>
        <v>GOIÂNIA - GO</v>
      </c>
      <c r="M385" s="10">
        <f ca="1">IFERROR(__xludf.dummyfunction("""COMPUTED_VALUE"""),5)</f>
        <v>5</v>
      </c>
      <c r="N385" s="10" t="str">
        <f ca="1">IFERROR(__xludf.dummyfunction("""COMPUTED_VALUE"""),"DISPONÍVEL")</f>
        <v>DISPONÍVEL</v>
      </c>
      <c r="O385" s="12"/>
      <c r="P385" s="11"/>
      <c r="Q385" s="11"/>
      <c r="R385" s="11"/>
    </row>
    <row r="386" spans="1:18">
      <c r="A386" s="10">
        <f ca="1">IFERROR(__xludf.dummyfunction("""COMPUTED_VALUE"""),1)</f>
        <v>1</v>
      </c>
      <c r="B386" s="11" t="str">
        <f ca="1">IFERROR(__xludf.dummyfunction("""COMPUTED_VALUE"""),"LAYLA CAROLINE MIRANDA")</f>
        <v>LAYLA CAROLINE MIRANDA</v>
      </c>
      <c r="C386" s="11"/>
      <c r="D386" s="11" t="str">
        <f ca="1">IFERROR(__xludf.dummyfunction("""COMPUTED_VALUE"""),"75615207191")</f>
        <v>75615207191</v>
      </c>
      <c r="E386" s="11" t="str">
        <f ca="1">IFERROR(__xludf.dummyfunction("""COMPUTED_VALUE"""),"LAYLLA.MIRANDA.7@HOTMAIL.COM")</f>
        <v>LAYLLA.MIRANDA.7@HOTMAIL.COM</v>
      </c>
      <c r="F386" s="11"/>
      <c r="G386" s="11" t="str">
        <f ca="1">IFERROR(__xludf.dummyfunction("""COMPUTED_VALUE"""),"(62) 995197452")</f>
        <v>(62) 995197452</v>
      </c>
      <c r="H386" s="11" t="str">
        <f ca="1">IFERROR(__xludf.dummyfunction("""COMPUTED_VALUE"""),"SUPERIOR")</f>
        <v>SUPERIOR</v>
      </c>
      <c r="I386" s="10" t="str">
        <f ca="1">IFERROR(__xludf.dummyfunction("""COMPUTED_VALUE"""),"ENFERMAGEM")</f>
        <v>ENFERMAGEM</v>
      </c>
      <c r="J386" s="10" t="str">
        <f ca="1">IFERROR(__xludf.dummyfunction("""COMPUTED_VALUE"""),"NOITE")</f>
        <v>NOITE</v>
      </c>
      <c r="K386" s="10" t="str">
        <f ca="1">IFERROR(__xludf.dummyfunction("""COMPUTED_VALUE"""),"TARDE")</f>
        <v>TARDE</v>
      </c>
      <c r="L386" s="10" t="str">
        <f ca="1">IFERROR(__xludf.dummyfunction("""COMPUTED_VALUE"""),"GOIÂNIA - GO")</f>
        <v>GOIÂNIA - GO</v>
      </c>
      <c r="M386" s="10">
        <f ca="1">IFERROR(__xludf.dummyfunction("""COMPUTED_VALUE"""),7)</f>
        <v>7</v>
      </c>
      <c r="N386" s="10" t="str">
        <f ca="1">IFERROR(__xludf.dummyfunction("""COMPUTED_VALUE"""),"DISPONÍVEL")</f>
        <v>DISPONÍVEL</v>
      </c>
      <c r="O386" s="12"/>
      <c r="P386" s="11"/>
      <c r="Q386" s="11"/>
      <c r="R386" s="11"/>
    </row>
    <row r="387" spans="1:18">
      <c r="A387" s="10">
        <f ca="1">IFERROR(__xludf.dummyfunction("""COMPUTED_VALUE"""),2)</f>
        <v>2</v>
      </c>
      <c r="B387" s="11" t="str">
        <f ca="1">IFERROR(__xludf.dummyfunction("""COMPUTED_VALUE"""),"ANDREIA JESUS DE SOUZA ABREU")</f>
        <v>ANDREIA JESUS DE SOUZA ABREU</v>
      </c>
      <c r="C387" s="11" t="str">
        <f ca="1">IFERROR(__xludf.dummyfunction("""COMPUTED_VALUE"""),"8447973")</f>
        <v>8447973</v>
      </c>
      <c r="D387" s="11" t="str">
        <f ca="1">IFERROR(__xludf.dummyfunction("""COMPUTED_VALUE"""),"05048823176")</f>
        <v>05048823176</v>
      </c>
      <c r="E387" s="11" t="str">
        <f ca="1">IFERROR(__xludf.dummyfunction("""COMPUTED_VALUE"""),"ANDREIAJESUS123@HOTMAIL.COM")</f>
        <v>ANDREIAJESUS123@HOTMAIL.COM</v>
      </c>
      <c r="F387" s="11"/>
      <c r="G387" s="11" t="str">
        <f ca="1">IFERROR(__xludf.dummyfunction("""COMPUTED_VALUE"""),"(62) 992897539")</f>
        <v>(62) 992897539</v>
      </c>
      <c r="H387" s="11" t="str">
        <f ca="1">IFERROR(__xludf.dummyfunction("""COMPUTED_VALUE"""),"SUPERIOR")</f>
        <v>SUPERIOR</v>
      </c>
      <c r="I387" s="10" t="str">
        <f ca="1">IFERROR(__xludf.dummyfunction("""COMPUTED_VALUE"""),"ENFERMAGEM")</f>
        <v>ENFERMAGEM</v>
      </c>
      <c r="J387" s="10" t="str">
        <f ca="1">IFERROR(__xludf.dummyfunction("""COMPUTED_VALUE"""),"VARIÁVEL")</f>
        <v>VARIÁVEL</v>
      </c>
      <c r="K387" s="10" t="str">
        <f ca="1">IFERROR(__xludf.dummyfunction("""COMPUTED_VALUE"""),"TARDE")</f>
        <v>TARDE</v>
      </c>
      <c r="L387" s="10" t="str">
        <f ca="1">IFERROR(__xludf.dummyfunction("""COMPUTED_VALUE"""),"GOIÂNIA - GO")</f>
        <v>GOIÂNIA - GO</v>
      </c>
      <c r="M387" s="10">
        <f ca="1">IFERROR(__xludf.dummyfunction("""COMPUTED_VALUE"""),6)</f>
        <v>6</v>
      </c>
      <c r="N387" s="10" t="str">
        <f ca="1">IFERROR(__xludf.dummyfunction("""COMPUTED_VALUE"""),"DISPONÍVEL")</f>
        <v>DISPONÍVEL</v>
      </c>
      <c r="O387" s="12"/>
      <c r="P387" s="11"/>
      <c r="Q387" s="11"/>
      <c r="R387" s="11"/>
    </row>
    <row r="388" spans="1:18">
      <c r="A388" s="10">
        <f ca="1">IFERROR(__xludf.dummyfunction("""COMPUTED_VALUE"""),3)</f>
        <v>3</v>
      </c>
      <c r="B388" s="11" t="str">
        <f ca="1">IFERROR(__xludf.dummyfunction("""COMPUTED_VALUE"""),"GIOVANNA LIZ ROCHA PEREIRA")</f>
        <v>GIOVANNA LIZ ROCHA PEREIRA</v>
      </c>
      <c r="C388" s="11"/>
      <c r="D388" s="11" t="str">
        <f ca="1">IFERROR(__xludf.dummyfunction("""COMPUTED_VALUE"""),"05596340138")</f>
        <v>05596340138</v>
      </c>
      <c r="E388" s="11" t="str">
        <f ca="1">IFERROR(__xludf.dummyfunction("""COMPUTED_VALUE"""),"GIHLIZZ02@GMAIL.COM")</f>
        <v>GIHLIZZ02@GMAIL.COM</v>
      </c>
      <c r="F388" s="11" t="str">
        <f ca="1">IFERROR(__xludf.dummyfunction("""COMPUTED_VALUE"""),"(62) 98631418")</f>
        <v>(62) 98631418</v>
      </c>
      <c r="G388" s="11" t="str">
        <f ca="1">IFERROR(__xludf.dummyfunction("""COMPUTED_VALUE"""),"(62) 986314187")</f>
        <v>(62) 986314187</v>
      </c>
      <c r="H388" s="11" t="str">
        <f ca="1">IFERROR(__xludf.dummyfunction("""COMPUTED_VALUE"""),"SUPERIOR")</f>
        <v>SUPERIOR</v>
      </c>
      <c r="I388" s="10" t="str">
        <f ca="1">IFERROR(__xludf.dummyfunction("""COMPUTED_VALUE"""),"ENFERMAGEM")</f>
        <v>ENFERMAGEM</v>
      </c>
      <c r="J388" s="10" t="str">
        <f ca="1">IFERROR(__xludf.dummyfunction("""COMPUTED_VALUE"""),"NOITE")</f>
        <v>NOITE</v>
      </c>
      <c r="K388" s="10" t="str">
        <f ca="1">IFERROR(__xludf.dummyfunction("""COMPUTED_VALUE"""),"TARDE")</f>
        <v>TARDE</v>
      </c>
      <c r="L388" s="10" t="str">
        <f ca="1">IFERROR(__xludf.dummyfunction("""COMPUTED_VALUE"""),"GOIÂNIA - GO")</f>
        <v>GOIÂNIA - GO</v>
      </c>
      <c r="M388" s="10">
        <f ca="1">IFERROR(__xludf.dummyfunction("""COMPUTED_VALUE"""),6)</f>
        <v>6</v>
      </c>
      <c r="N388" s="10" t="str">
        <f ca="1">IFERROR(__xludf.dummyfunction("""COMPUTED_VALUE"""),"DISPONÍVEL")</f>
        <v>DISPONÍVEL</v>
      </c>
      <c r="O388" s="12"/>
      <c r="P388" s="11"/>
      <c r="Q388" s="11"/>
      <c r="R388" s="11"/>
    </row>
    <row r="389" spans="1:18">
      <c r="A389" s="10">
        <f ca="1">IFERROR(__xludf.dummyfunction("""COMPUTED_VALUE"""),4)</f>
        <v>4</v>
      </c>
      <c r="B389" s="11" t="str">
        <f ca="1">IFERROR(__xludf.dummyfunction("""COMPUTED_VALUE"""),"MAXUEL DOS SANTOS OLIVEIRA")</f>
        <v>MAXUEL DOS SANTOS OLIVEIRA</v>
      </c>
      <c r="C389" s="11"/>
      <c r="D389" s="11" t="str">
        <f ca="1">IFERROR(__xludf.dummyfunction("""COMPUTED_VALUE"""),"09400185510")</f>
        <v>09400185510</v>
      </c>
      <c r="E389" s="11" t="str">
        <f ca="1">IFERROR(__xludf.dummyfunction("""COMPUTED_VALUE"""),"SANTOSMAXUEL212@GMAIL.COM")</f>
        <v>SANTOSMAXUEL212@GMAIL.COM</v>
      </c>
      <c r="F389" s="11"/>
      <c r="G389" s="11" t="str">
        <f ca="1">IFERROR(__xludf.dummyfunction("""COMPUTED_VALUE"""),"(62) 993436980")</f>
        <v>(62) 993436980</v>
      </c>
      <c r="H389" s="11" t="str">
        <f ca="1">IFERROR(__xludf.dummyfunction("""COMPUTED_VALUE"""),"SUPERIOR")</f>
        <v>SUPERIOR</v>
      </c>
      <c r="I389" s="10" t="str">
        <f ca="1">IFERROR(__xludf.dummyfunction("""COMPUTED_VALUE"""),"ENFERMAGEM")</f>
        <v>ENFERMAGEM</v>
      </c>
      <c r="J389" s="10" t="str">
        <f ca="1">IFERROR(__xludf.dummyfunction("""COMPUTED_VALUE"""),"NOITE")</f>
        <v>NOITE</v>
      </c>
      <c r="K389" s="10" t="str">
        <f ca="1">IFERROR(__xludf.dummyfunction("""COMPUTED_VALUE"""),"TARDE")</f>
        <v>TARDE</v>
      </c>
      <c r="L389" s="10" t="str">
        <f ca="1">IFERROR(__xludf.dummyfunction("""COMPUTED_VALUE"""),"GOIÂNIA - GO")</f>
        <v>GOIÂNIA - GO</v>
      </c>
      <c r="M389" s="10">
        <f ca="1">IFERROR(__xludf.dummyfunction("""COMPUTED_VALUE"""),6)</f>
        <v>6</v>
      </c>
      <c r="N389" s="10" t="str">
        <f ca="1">IFERROR(__xludf.dummyfunction("""COMPUTED_VALUE"""),"DISPONÍVEL")</f>
        <v>DISPONÍVEL</v>
      </c>
      <c r="O389" s="12"/>
      <c r="P389" s="11"/>
      <c r="Q389" s="11"/>
      <c r="R389" s="11"/>
    </row>
    <row r="390" spans="1:18">
      <c r="A390" s="10">
        <f ca="1">IFERROR(__xludf.dummyfunction("""COMPUTED_VALUE"""),5)</f>
        <v>5</v>
      </c>
      <c r="B390" s="11" t="str">
        <f ca="1">IFERROR(__xludf.dummyfunction("""COMPUTED_VALUE"""),"PEDRO HENRIQUE ALVES MARINHO SANTOS")</f>
        <v>PEDRO HENRIQUE ALVES MARINHO SANTOS</v>
      </c>
      <c r="C390" s="11"/>
      <c r="D390" s="11" t="str">
        <f ca="1">IFERROR(__xludf.dummyfunction("""COMPUTED_VALUE"""),"08190562193")</f>
        <v>08190562193</v>
      </c>
      <c r="E390" s="11" t="str">
        <f ca="1">IFERROR(__xludf.dummyfunction("""COMPUTED_VALUE"""),"PEDROSTOMPA@GMAIL.COM")</f>
        <v>PEDROSTOMPA@GMAIL.COM</v>
      </c>
      <c r="F390" s="11"/>
      <c r="G390" s="11" t="str">
        <f ca="1">IFERROR(__xludf.dummyfunction("""COMPUTED_VALUE"""),"(62) 998351227")</f>
        <v>(62) 998351227</v>
      </c>
      <c r="H390" s="11" t="str">
        <f ca="1">IFERROR(__xludf.dummyfunction("""COMPUTED_VALUE"""),"SUPERIOR")</f>
        <v>SUPERIOR</v>
      </c>
      <c r="I390" s="10" t="str">
        <f ca="1">IFERROR(__xludf.dummyfunction("""COMPUTED_VALUE"""),"ENFERMAGEM")</f>
        <v>ENFERMAGEM</v>
      </c>
      <c r="J390" s="10" t="str">
        <f ca="1">IFERROR(__xludf.dummyfunction("""COMPUTED_VALUE"""),"NOITE")</f>
        <v>NOITE</v>
      </c>
      <c r="K390" s="10" t="str">
        <f ca="1">IFERROR(__xludf.dummyfunction("""COMPUTED_VALUE"""),"TARDE")</f>
        <v>TARDE</v>
      </c>
      <c r="L390" s="10" t="str">
        <f ca="1">IFERROR(__xludf.dummyfunction("""COMPUTED_VALUE"""),"GOIÂNIA - GO")</f>
        <v>GOIÂNIA - GO</v>
      </c>
      <c r="M390" s="10">
        <f ca="1">IFERROR(__xludf.dummyfunction("""COMPUTED_VALUE"""),8)</f>
        <v>8</v>
      </c>
      <c r="N390" s="10" t="str">
        <f ca="1">IFERROR(__xludf.dummyfunction("""COMPUTED_VALUE"""),"DISPONÍVEL")</f>
        <v>DISPONÍVEL</v>
      </c>
      <c r="O390" s="12"/>
      <c r="P390" s="11"/>
      <c r="Q390" s="11"/>
      <c r="R390" s="11"/>
    </row>
    <row r="391" spans="1:18">
      <c r="A391" s="10">
        <f ca="1">IFERROR(__xludf.dummyfunction("""COMPUTED_VALUE"""),6)</f>
        <v>6</v>
      </c>
      <c r="B391" s="11" t="str">
        <f ca="1">IFERROR(__xludf.dummyfunction("""COMPUTED_VALUE"""),"PALOMA DA SILVA")</f>
        <v>PALOMA DA SILVA</v>
      </c>
      <c r="C391" s="11" t="str">
        <f ca="1">IFERROR(__xludf.dummyfunction("""COMPUTED_VALUE"""),"6220734")</f>
        <v>6220734</v>
      </c>
      <c r="D391" s="11" t="str">
        <f ca="1">IFERROR(__xludf.dummyfunction("""COMPUTED_VALUE"""),"05064644159")</f>
        <v>05064644159</v>
      </c>
      <c r="E391" s="11" t="str">
        <f ca="1">IFERROR(__xludf.dummyfunction("""COMPUTED_VALUE"""),"PALOMADUARTE9436@GMAIL.COM")</f>
        <v>PALOMADUARTE9436@GMAIL.COM</v>
      </c>
      <c r="F391" s="11" t="str">
        <f ca="1">IFERROR(__xludf.dummyfunction("""COMPUTED_VALUE"""),"(62) 99475551")</f>
        <v>(62) 99475551</v>
      </c>
      <c r="G391" s="11" t="str">
        <f ca="1">IFERROR(__xludf.dummyfunction("""COMPUTED_VALUE"""),"(62) 994755518")</f>
        <v>(62) 994755518</v>
      </c>
      <c r="H391" s="11" t="str">
        <f ca="1">IFERROR(__xludf.dummyfunction("""COMPUTED_VALUE"""),"SUPERIOR")</f>
        <v>SUPERIOR</v>
      </c>
      <c r="I391" s="10" t="str">
        <f ca="1">IFERROR(__xludf.dummyfunction("""COMPUTED_VALUE"""),"ENFERMAGEM")</f>
        <v>ENFERMAGEM</v>
      </c>
      <c r="J391" s="10" t="str">
        <f ca="1">IFERROR(__xludf.dummyfunction("""COMPUTED_VALUE"""),"NOITE")</f>
        <v>NOITE</v>
      </c>
      <c r="K391" s="10" t="str">
        <f ca="1">IFERROR(__xludf.dummyfunction("""COMPUTED_VALUE"""),"TARDE")</f>
        <v>TARDE</v>
      </c>
      <c r="L391" s="10" t="str">
        <f ca="1">IFERROR(__xludf.dummyfunction("""COMPUTED_VALUE"""),"GOIÂNIA - GO")</f>
        <v>GOIÂNIA - GO</v>
      </c>
      <c r="M391" s="10">
        <f ca="1">IFERROR(__xludf.dummyfunction("""COMPUTED_VALUE"""),5)</f>
        <v>5</v>
      </c>
      <c r="N391" s="10" t="str">
        <f ca="1">IFERROR(__xludf.dummyfunction("""COMPUTED_VALUE"""),"DISPONÍVEL")</f>
        <v>DISPONÍVEL</v>
      </c>
      <c r="O391" s="12"/>
      <c r="P391" s="11"/>
      <c r="Q391" s="11"/>
      <c r="R391" s="11"/>
    </row>
    <row r="392" spans="1:18">
      <c r="A392" s="10">
        <f ca="1">IFERROR(__xludf.dummyfunction("""COMPUTED_VALUE"""),7)</f>
        <v>7</v>
      </c>
      <c r="B392" s="11" t="str">
        <f ca="1">IFERROR(__xludf.dummyfunction("""COMPUTED_VALUE"""),"REGINA VITÓRIA SILVA SANTOS")</f>
        <v>REGINA VITÓRIA SILVA SANTOS</v>
      </c>
      <c r="C392" s="11"/>
      <c r="D392" s="11" t="str">
        <f ca="1">IFERROR(__xludf.dummyfunction("""COMPUTED_VALUE"""),"70840517165")</f>
        <v>70840517165</v>
      </c>
      <c r="E392" s="11" t="str">
        <f ca="1">IFERROR(__xludf.dummyfunction("""COMPUTED_VALUE"""),"REGINAVITORIA675@GMAIL.COM")</f>
        <v>REGINAVITORIA675@GMAIL.COM</v>
      </c>
      <c r="F392" s="11"/>
      <c r="G392" s="11" t="str">
        <f ca="1">IFERROR(__xludf.dummyfunction("""COMPUTED_VALUE"""),"(62) 986263292")</f>
        <v>(62) 986263292</v>
      </c>
      <c r="H392" s="11" t="str">
        <f ca="1">IFERROR(__xludf.dummyfunction("""COMPUTED_VALUE"""),"SUPERIOR")</f>
        <v>SUPERIOR</v>
      </c>
      <c r="I392" s="10" t="str">
        <f ca="1">IFERROR(__xludf.dummyfunction("""COMPUTED_VALUE"""),"ENFERMAGEM")</f>
        <v>ENFERMAGEM</v>
      </c>
      <c r="J392" s="10" t="str">
        <f ca="1">IFERROR(__xludf.dummyfunction("""COMPUTED_VALUE"""),"MANHÃ")</f>
        <v>MANHÃ</v>
      </c>
      <c r="K392" s="10" t="str">
        <f ca="1">IFERROR(__xludf.dummyfunction("""COMPUTED_VALUE"""),"TARDE")</f>
        <v>TARDE</v>
      </c>
      <c r="L392" s="10" t="str">
        <f ca="1">IFERROR(__xludf.dummyfunction("""COMPUTED_VALUE"""),"GOIÂNIA - GO")</f>
        <v>GOIÂNIA - GO</v>
      </c>
      <c r="M392" s="10">
        <f ca="1">IFERROR(__xludf.dummyfunction("""COMPUTED_VALUE"""),5)</f>
        <v>5</v>
      </c>
      <c r="N392" s="10" t="str">
        <f ca="1">IFERROR(__xludf.dummyfunction("""COMPUTED_VALUE"""),"DISPONÍVEL")</f>
        <v>DISPONÍVEL</v>
      </c>
      <c r="O392" s="12"/>
      <c r="P392" s="11"/>
      <c r="Q392" s="11"/>
      <c r="R392" s="11"/>
    </row>
    <row r="393" spans="1:18">
      <c r="A393" s="10">
        <f ca="1">IFERROR(__xludf.dummyfunction("""COMPUTED_VALUE"""),8)</f>
        <v>8</v>
      </c>
      <c r="B393" s="11" t="str">
        <f ca="1">IFERROR(__xludf.dummyfunction("""COMPUTED_VALUE"""),"MILLENA SILVA FREIRE")</f>
        <v>MILLENA SILVA FREIRE</v>
      </c>
      <c r="C393" s="11"/>
      <c r="D393" s="11" t="str">
        <f ca="1">IFERROR(__xludf.dummyfunction("""COMPUTED_VALUE"""),"70983149194")</f>
        <v>70983149194</v>
      </c>
      <c r="E393" s="11" t="str">
        <f ca="1">IFERROR(__xludf.dummyfunction("""COMPUTED_VALUE"""),"MIMIFREIRE2402@GMAIL.COM")</f>
        <v>MIMIFREIRE2402@GMAIL.COM</v>
      </c>
      <c r="F393" s="11"/>
      <c r="G393" s="11" t="str">
        <f ca="1">IFERROR(__xludf.dummyfunction("""COMPUTED_VALUE"""),"(62) 985793662")</f>
        <v>(62) 985793662</v>
      </c>
      <c r="H393" s="11" t="str">
        <f ca="1">IFERROR(__xludf.dummyfunction("""COMPUTED_VALUE"""),"SUPERIOR")</f>
        <v>SUPERIOR</v>
      </c>
      <c r="I393" s="10" t="str">
        <f ca="1">IFERROR(__xludf.dummyfunction("""COMPUTED_VALUE"""),"ENFERMAGEM")</f>
        <v>ENFERMAGEM</v>
      </c>
      <c r="J393" s="10" t="str">
        <f ca="1">IFERROR(__xludf.dummyfunction("""COMPUTED_VALUE"""),"MANHÃ")</f>
        <v>MANHÃ</v>
      </c>
      <c r="K393" s="10" t="str">
        <f ca="1">IFERROR(__xludf.dummyfunction("""COMPUTED_VALUE"""),"TARDE")</f>
        <v>TARDE</v>
      </c>
      <c r="L393" s="10" t="str">
        <f ca="1">IFERROR(__xludf.dummyfunction("""COMPUTED_VALUE"""),"GOIÂNIA - GO")</f>
        <v>GOIÂNIA - GO</v>
      </c>
      <c r="M393" s="10">
        <f ca="1">IFERROR(__xludf.dummyfunction("""COMPUTED_VALUE"""),8)</f>
        <v>8</v>
      </c>
      <c r="N393" s="10" t="str">
        <f ca="1">IFERROR(__xludf.dummyfunction("""COMPUTED_VALUE"""),"DISPONÍVEL")</f>
        <v>DISPONÍVEL</v>
      </c>
      <c r="O393" s="12"/>
      <c r="P393" s="11"/>
      <c r="Q393" s="11"/>
      <c r="R393" s="11"/>
    </row>
    <row r="394" spans="1:18">
      <c r="A394" s="10">
        <f ca="1">IFERROR(__xludf.dummyfunction("""COMPUTED_VALUE"""),9)</f>
        <v>9</v>
      </c>
      <c r="B394" s="11" t="str">
        <f ca="1">IFERROR(__xludf.dummyfunction("""COMPUTED_VALUE"""),"PIERRE AUGUSTO DE LIMA")</f>
        <v>PIERRE AUGUSTO DE LIMA</v>
      </c>
      <c r="C394" s="11"/>
      <c r="D394" s="11" t="str">
        <f ca="1">IFERROR(__xludf.dummyfunction("""COMPUTED_VALUE"""),"75489643153")</f>
        <v>75489643153</v>
      </c>
      <c r="E394" s="11" t="str">
        <f ca="1">IFERROR(__xludf.dummyfunction("""COMPUTED_VALUE"""),"PIGC@LIVE.COM")</f>
        <v>PIGC@LIVE.COM</v>
      </c>
      <c r="F394" s="11"/>
      <c r="G394" s="11" t="str">
        <f ca="1">IFERROR(__xludf.dummyfunction("""COMPUTED_VALUE"""),"(62) 985752021")</f>
        <v>(62) 985752021</v>
      </c>
      <c r="H394" s="11" t="str">
        <f ca="1">IFERROR(__xludf.dummyfunction("""COMPUTED_VALUE"""),"SUPERIOR")</f>
        <v>SUPERIOR</v>
      </c>
      <c r="I394" s="10" t="str">
        <f ca="1">IFERROR(__xludf.dummyfunction("""COMPUTED_VALUE"""),"ENFERMAGEM")</f>
        <v>ENFERMAGEM</v>
      </c>
      <c r="J394" s="10" t="str">
        <f ca="1">IFERROR(__xludf.dummyfunction("""COMPUTED_VALUE"""),"NOITE")</f>
        <v>NOITE</v>
      </c>
      <c r="K394" s="10" t="str">
        <f ca="1">IFERROR(__xludf.dummyfunction("""COMPUTED_VALUE"""),"TARDE")</f>
        <v>TARDE</v>
      </c>
      <c r="L394" s="10" t="str">
        <f ca="1">IFERROR(__xludf.dummyfunction("""COMPUTED_VALUE"""),"GOIÂNIA - GO")</f>
        <v>GOIÂNIA - GO</v>
      </c>
      <c r="M394" s="10">
        <f ca="1">IFERROR(__xludf.dummyfunction("""COMPUTED_VALUE"""),8)</f>
        <v>8</v>
      </c>
      <c r="N394" s="10" t="str">
        <f ca="1">IFERROR(__xludf.dummyfunction("""COMPUTED_VALUE"""),"DISPONÍVEL")</f>
        <v>DISPONÍVEL</v>
      </c>
      <c r="O394" s="12"/>
      <c r="P394" s="11"/>
      <c r="Q394" s="11"/>
      <c r="R394" s="11"/>
    </row>
    <row r="395" spans="1:18">
      <c r="A395" s="10">
        <f ca="1">IFERROR(__xludf.dummyfunction("""COMPUTED_VALUE"""),10)</f>
        <v>10</v>
      </c>
      <c r="B395" s="11" t="str">
        <f ca="1">IFERROR(__xludf.dummyfunction("""COMPUTED_VALUE"""),"IGOR DONATONI ARRUDA")</f>
        <v>IGOR DONATONI ARRUDA</v>
      </c>
      <c r="C395" s="11"/>
      <c r="D395" s="11" t="str">
        <f ca="1">IFERROR(__xludf.dummyfunction("""COMPUTED_VALUE"""),"70892680121")</f>
        <v>70892680121</v>
      </c>
      <c r="E395" s="11" t="str">
        <f ca="1">IFERROR(__xludf.dummyfunction("""COMPUTED_VALUE"""),"IGORDARRUDA@GMAIL.COM")</f>
        <v>IGORDARRUDA@GMAIL.COM</v>
      </c>
      <c r="F395" s="11"/>
      <c r="G395" s="11" t="str">
        <f ca="1">IFERROR(__xludf.dummyfunction("""COMPUTED_VALUE"""),"(62) 999282808")</f>
        <v>(62) 999282808</v>
      </c>
      <c r="H395" s="11" t="str">
        <f ca="1">IFERROR(__xludf.dummyfunction("""COMPUTED_VALUE"""),"SUPERIOR")</f>
        <v>SUPERIOR</v>
      </c>
      <c r="I395" s="10" t="str">
        <f ca="1">IFERROR(__xludf.dummyfunction("""COMPUTED_VALUE"""),"ENFERMAGEM")</f>
        <v>ENFERMAGEM</v>
      </c>
      <c r="J395" s="10" t="str">
        <f ca="1">IFERROR(__xludf.dummyfunction("""COMPUTED_VALUE"""),"MANHÃ")</f>
        <v>MANHÃ</v>
      </c>
      <c r="K395" s="10" t="str">
        <f ca="1">IFERROR(__xludf.dummyfunction("""COMPUTED_VALUE"""),"TARDE")</f>
        <v>TARDE</v>
      </c>
      <c r="L395" s="10" t="str">
        <f ca="1">IFERROR(__xludf.dummyfunction("""COMPUTED_VALUE"""),"GOIÂNIA - GO")</f>
        <v>GOIÂNIA - GO</v>
      </c>
      <c r="M395" s="10">
        <f ca="1">IFERROR(__xludf.dummyfunction("""COMPUTED_VALUE"""),8)</f>
        <v>8</v>
      </c>
      <c r="N395" s="10" t="str">
        <f ca="1">IFERROR(__xludf.dummyfunction("""COMPUTED_VALUE"""),"DISPONÍVEL")</f>
        <v>DISPONÍVEL</v>
      </c>
      <c r="O395" s="12"/>
      <c r="P395" s="11"/>
      <c r="Q395" s="11"/>
      <c r="R395" s="11"/>
    </row>
    <row r="396" spans="1:18">
      <c r="A396" s="10">
        <f ca="1">IFERROR(__xludf.dummyfunction("""COMPUTED_VALUE"""),11)</f>
        <v>11</v>
      </c>
      <c r="B396" s="11" t="str">
        <f ca="1">IFERROR(__xludf.dummyfunction("""COMPUTED_VALUE"""),"ANDRESSA MENDES SANTOS")</f>
        <v>ANDRESSA MENDES SANTOS</v>
      </c>
      <c r="C396" s="11"/>
      <c r="D396" s="11" t="str">
        <f ca="1">IFERROR(__xludf.dummyfunction("""COMPUTED_VALUE"""),"07695807184")</f>
        <v>07695807184</v>
      </c>
      <c r="E396" s="11" t="str">
        <f ca="1">IFERROR(__xludf.dummyfunction("""COMPUTED_VALUE"""),"SANTOSMENDESANDRESSA@GMAIL.COM")</f>
        <v>SANTOSMENDESANDRESSA@GMAIL.COM</v>
      </c>
      <c r="F396" s="11" t="str">
        <f ca="1">IFERROR(__xludf.dummyfunction("""COMPUTED_VALUE"""),"(62) 84713536")</f>
        <v>(62) 84713536</v>
      </c>
      <c r="G396" s="11" t="str">
        <f ca="1">IFERROR(__xludf.dummyfunction("""COMPUTED_VALUE"""),"(62) 984713536")</f>
        <v>(62) 984713536</v>
      </c>
      <c r="H396" s="11" t="str">
        <f ca="1">IFERROR(__xludf.dummyfunction("""COMPUTED_VALUE"""),"SUPERIOR")</f>
        <v>SUPERIOR</v>
      </c>
      <c r="I396" s="10" t="str">
        <f ca="1">IFERROR(__xludf.dummyfunction("""COMPUTED_VALUE"""),"ENFERMAGEM")</f>
        <v>ENFERMAGEM</v>
      </c>
      <c r="J396" s="10" t="str">
        <f ca="1">IFERROR(__xludf.dummyfunction("""COMPUTED_VALUE"""),"NOITE")</f>
        <v>NOITE</v>
      </c>
      <c r="K396" s="10" t="str">
        <f ca="1">IFERROR(__xludf.dummyfunction("""COMPUTED_VALUE"""),"TARDE")</f>
        <v>TARDE</v>
      </c>
      <c r="L396" s="10" t="str">
        <f ca="1">IFERROR(__xludf.dummyfunction("""COMPUTED_VALUE"""),"GOIÂNIA - GO")</f>
        <v>GOIÂNIA - GO</v>
      </c>
      <c r="M396" s="10">
        <f ca="1">IFERROR(__xludf.dummyfunction("""COMPUTED_VALUE"""),5)</f>
        <v>5</v>
      </c>
      <c r="N396" s="10" t="str">
        <f ca="1">IFERROR(__xludf.dummyfunction("""COMPUTED_VALUE"""),"DISPONÍVEL")</f>
        <v>DISPONÍVEL</v>
      </c>
      <c r="O396" s="12"/>
      <c r="P396" s="11"/>
      <c r="Q396" s="11"/>
      <c r="R396" s="11"/>
    </row>
    <row r="397" spans="1:18">
      <c r="A397" s="10">
        <f ca="1">IFERROR(__xludf.dummyfunction("""COMPUTED_VALUE"""),12)</f>
        <v>12</v>
      </c>
      <c r="B397" s="11" t="str">
        <f ca="1">IFERROR(__xludf.dummyfunction("""COMPUTED_VALUE"""),"RANIELY FERREIRA BORGES")</f>
        <v>RANIELY FERREIRA BORGES</v>
      </c>
      <c r="C397" s="11"/>
      <c r="D397" s="11" t="str">
        <f ca="1">IFERROR(__xludf.dummyfunction("""COMPUTED_VALUE"""),"07509725135")</f>
        <v>07509725135</v>
      </c>
      <c r="E397" s="11" t="str">
        <f ca="1">IFERROR(__xludf.dummyfunction("""COMPUTED_VALUE"""),"RANIELYFB8@GMAIL.COM")</f>
        <v>RANIELYFB8@GMAIL.COM</v>
      </c>
      <c r="F397" s="11"/>
      <c r="G397" s="11" t="str">
        <f ca="1">IFERROR(__xludf.dummyfunction("""COMPUTED_VALUE"""),"(62) 986460717")</f>
        <v>(62) 986460717</v>
      </c>
      <c r="H397" s="11" t="str">
        <f ca="1">IFERROR(__xludf.dummyfunction("""COMPUTED_VALUE"""),"SUPERIOR")</f>
        <v>SUPERIOR</v>
      </c>
      <c r="I397" s="10" t="str">
        <f ca="1">IFERROR(__xludf.dummyfunction("""COMPUTED_VALUE"""),"ENFERMAGEM")</f>
        <v>ENFERMAGEM</v>
      </c>
      <c r="J397" s="10" t="str">
        <f ca="1">IFERROR(__xludf.dummyfunction("""COMPUTED_VALUE"""),"NOITE")</f>
        <v>NOITE</v>
      </c>
      <c r="K397" s="10" t="str">
        <f ca="1">IFERROR(__xludf.dummyfunction("""COMPUTED_VALUE"""),"TARDE")</f>
        <v>TARDE</v>
      </c>
      <c r="L397" s="10" t="str">
        <f ca="1">IFERROR(__xludf.dummyfunction("""COMPUTED_VALUE"""),"GOIÂNIA - GO")</f>
        <v>GOIÂNIA - GO</v>
      </c>
      <c r="M397" s="10">
        <f ca="1">IFERROR(__xludf.dummyfunction("""COMPUTED_VALUE"""),8)</f>
        <v>8</v>
      </c>
      <c r="N397" s="10" t="str">
        <f ca="1">IFERROR(__xludf.dummyfunction("""COMPUTED_VALUE"""),"DISPONÍVEL")</f>
        <v>DISPONÍVEL</v>
      </c>
      <c r="O397" s="12">
        <f ca="1">IFERROR(__xludf.dummyfunction("""COMPUTED_VALUE"""),45327)</f>
        <v>45327</v>
      </c>
      <c r="P397" s="11"/>
      <c r="Q397" s="11"/>
      <c r="R397" s="11"/>
    </row>
    <row r="398" spans="1:18">
      <c r="A398" s="10">
        <f ca="1">IFERROR(__xludf.dummyfunction("""COMPUTED_VALUE"""),13)</f>
        <v>13</v>
      </c>
      <c r="B398" s="11" t="str">
        <f ca="1">IFERROR(__xludf.dummyfunction("""COMPUTED_VALUE"""),"JAQUELINE SANTOS CABRAL")</f>
        <v>JAQUELINE SANTOS CABRAL</v>
      </c>
      <c r="C398" s="11"/>
      <c r="D398" s="11" t="str">
        <f ca="1">IFERROR(__xludf.dummyfunction("""COMPUTED_VALUE"""),"53721942272")</f>
        <v>53721942272</v>
      </c>
      <c r="E398" s="11" t="str">
        <f ca="1">IFERROR(__xludf.dummyfunction("""COMPUTED_VALUE"""),"JAQUELINE_SANTOS91@HOTMAIL.COM")</f>
        <v>JAQUELINE_SANTOS91@HOTMAIL.COM</v>
      </c>
      <c r="F398" s="11"/>
      <c r="G398" s="11" t="str">
        <f ca="1">IFERROR(__xludf.dummyfunction("""COMPUTED_VALUE"""),"(62) 994131299")</f>
        <v>(62) 994131299</v>
      </c>
      <c r="H398" s="11" t="str">
        <f ca="1">IFERROR(__xludf.dummyfunction("""COMPUTED_VALUE"""),"SUPERIOR")</f>
        <v>SUPERIOR</v>
      </c>
      <c r="I398" s="10" t="str">
        <f ca="1">IFERROR(__xludf.dummyfunction("""COMPUTED_VALUE"""),"ENFERMAGEM")</f>
        <v>ENFERMAGEM</v>
      </c>
      <c r="J398" s="10" t="str">
        <f ca="1">IFERROR(__xludf.dummyfunction("""COMPUTED_VALUE"""),"NOITE")</f>
        <v>NOITE</v>
      </c>
      <c r="K398" s="10" t="str">
        <f ca="1">IFERROR(__xludf.dummyfunction("""COMPUTED_VALUE"""),"TARDE")</f>
        <v>TARDE</v>
      </c>
      <c r="L398" s="10" t="str">
        <f ca="1">IFERROR(__xludf.dummyfunction("""COMPUTED_VALUE"""),"GOIÂNIA - GO")</f>
        <v>GOIÂNIA - GO</v>
      </c>
      <c r="M398" s="10">
        <f ca="1">IFERROR(__xludf.dummyfunction("""COMPUTED_VALUE"""),6)</f>
        <v>6</v>
      </c>
      <c r="N398" s="10" t="str">
        <f ca="1">IFERROR(__xludf.dummyfunction("""COMPUTED_VALUE"""),"DISPONÍVEL")</f>
        <v>DISPONÍVEL</v>
      </c>
      <c r="O398" s="12">
        <f ca="1">IFERROR(__xludf.dummyfunction("""COMPUTED_VALUE"""),45327)</f>
        <v>45327</v>
      </c>
      <c r="P398" s="11"/>
      <c r="Q398" s="11"/>
      <c r="R398" s="11"/>
    </row>
    <row r="399" spans="1:18">
      <c r="A399" s="10">
        <f ca="1">IFERROR(__xludf.dummyfunction("""COMPUTED_VALUE"""),14)</f>
        <v>14</v>
      </c>
      <c r="B399" s="11" t="str">
        <f ca="1">IFERROR(__xludf.dummyfunction("""COMPUTED_VALUE"""),"STHEFANY PEREIRA CAETANO")</f>
        <v>STHEFANY PEREIRA CAETANO</v>
      </c>
      <c r="C399" s="11"/>
      <c r="D399" s="11" t="str">
        <f ca="1">IFERROR(__xludf.dummyfunction("""COMPUTED_VALUE"""),"70607889136")</f>
        <v>70607889136</v>
      </c>
      <c r="E399" s="11" t="str">
        <f ca="1">IFERROR(__xludf.dummyfunction("""COMPUTED_VALUE"""),"STHEFANYPEREIRACAETANO@GMAIL.COM")</f>
        <v>STHEFANYPEREIRACAETANO@GMAIL.COM</v>
      </c>
      <c r="F399" s="11"/>
      <c r="G399" s="11" t="str">
        <f ca="1">IFERROR(__xludf.dummyfunction("""COMPUTED_VALUE"""),"(62) 995096424")</f>
        <v>(62) 995096424</v>
      </c>
      <c r="H399" s="11" t="str">
        <f ca="1">IFERROR(__xludf.dummyfunction("""COMPUTED_VALUE"""),"SUPERIOR")</f>
        <v>SUPERIOR</v>
      </c>
      <c r="I399" s="10" t="str">
        <f ca="1">IFERROR(__xludf.dummyfunction("""COMPUTED_VALUE"""),"ENFERMAGEM")</f>
        <v>ENFERMAGEM</v>
      </c>
      <c r="J399" s="10" t="str">
        <f ca="1">IFERROR(__xludf.dummyfunction("""COMPUTED_VALUE"""),"NOITE")</f>
        <v>NOITE</v>
      </c>
      <c r="K399" s="10" t="str">
        <f ca="1">IFERROR(__xludf.dummyfunction("""COMPUTED_VALUE"""),"TARDE")</f>
        <v>TARDE</v>
      </c>
      <c r="L399" s="10" t="str">
        <f ca="1">IFERROR(__xludf.dummyfunction("""COMPUTED_VALUE"""),"GOIÂNIA - GO")</f>
        <v>GOIÂNIA - GO</v>
      </c>
      <c r="M399" s="10">
        <f ca="1">IFERROR(__xludf.dummyfunction("""COMPUTED_VALUE"""),6)</f>
        <v>6</v>
      </c>
      <c r="N399" s="10" t="str">
        <f ca="1">IFERROR(__xludf.dummyfunction("""COMPUTED_VALUE"""),"DISPONÍVEL")</f>
        <v>DISPONÍVEL</v>
      </c>
      <c r="O399" s="12"/>
      <c r="P399" s="11"/>
      <c r="Q399" s="11"/>
      <c r="R399" s="11"/>
    </row>
    <row r="400" spans="1:18">
      <c r="A400" s="10">
        <f ca="1">IFERROR(__xludf.dummyfunction("""COMPUTED_VALUE"""),15)</f>
        <v>15</v>
      </c>
      <c r="B400" s="11" t="str">
        <f ca="1">IFERROR(__xludf.dummyfunction("""COMPUTED_VALUE"""),"ITALO ALVES DE ARAÚJO")</f>
        <v>ITALO ALVES DE ARAÚJO</v>
      </c>
      <c r="C400" s="11"/>
      <c r="D400" s="11" t="str">
        <f ca="1">IFERROR(__xludf.dummyfunction("""COMPUTED_VALUE"""),"05237430171")</f>
        <v>05237430171</v>
      </c>
      <c r="E400" s="11" t="str">
        <f ca="1">IFERROR(__xludf.dummyfunction("""COMPUTED_VALUE"""),"ISSAB5484@GMAIL.COM")</f>
        <v>ISSAB5484@GMAIL.COM</v>
      </c>
      <c r="F400" s="11" t="str">
        <f ca="1">IFERROR(__xludf.dummyfunction("""COMPUTED_VALUE"""),"(61) 99919304")</f>
        <v>(61) 99919304</v>
      </c>
      <c r="G400" s="11" t="str">
        <f ca="1">IFERROR(__xludf.dummyfunction("""COMPUTED_VALUE"""),"(61) 981234201")</f>
        <v>(61) 981234201</v>
      </c>
      <c r="H400" s="11" t="str">
        <f ca="1">IFERROR(__xludf.dummyfunction("""COMPUTED_VALUE"""),"SUPERIOR")</f>
        <v>SUPERIOR</v>
      </c>
      <c r="I400" s="10" t="str">
        <f ca="1">IFERROR(__xludf.dummyfunction("""COMPUTED_VALUE"""),"ENFERMAGEM")</f>
        <v>ENFERMAGEM</v>
      </c>
      <c r="J400" s="10" t="str">
        <f ca="1">IFERROR(__xludf.dummyfunction("""COMPUTED_VALUE"""),"NOITE")</f>
        <v>NOITE</v>
      </c>
      <c r="K400" s="10" t="str">
        <f ca="1">IFERROR(__xludf.dummyfunction("""COMPUTED_VALUE"""),"TARDE")</f>
        <v>TARDE</v>
      </c>
      <c r="L400" s="10" t="str">
        <f ca="1">IFERROR(__xludf.dummyfunction("""COMPUTED_VALUE"""),"GOIÂNIA - GO")</f>
        <v>GOIÂNIA - GO</v>
      </c>
      <c r="M400" s="10">
        <f ca="1">IFERROR(__xludf.dummyfunction("""COMPUTED_VALUE"""),5)</f>
        <v>5</v>
      </c>
      <c r="N400" s="10" t="str">
        <f ca="1">IFERROR(__xludf.dummyfunction("""COMPUTED_VALUE"""),"DISPONÍVEL")</f>
        <v>DISPONÍVEL</v>
      </c>
      <c r="O400" s="12">
        <f ca="1">IFERROR(__xludf.dummyfunction("""COMPUTED_VALUE"""),45327)</f>
        <v>45327</v>
      </c>
      <c r="P400" s="11"/>
      <c r="Q400" s="11"/>
      <c r="R400" s="11"/>
    </row>
    <row r="401" spans="1:18">
      <c r="A401" s="10">
        <f ca="1">IFERROR(__xludf.dummyfunction("""COMPUTED_VALUE"""),16)</f>
        <v>16</v>
      </c>
      <c r="B401" s="11" t="str">
        <f ca="1">IFERROR(__xludf.dummyfunction("""COMPUTED_VALUE"""),"RAFAELLA ALVES DE SOUZA")</f>
        <v>RAFAELLA ALVES DE SOUZA</v>
      </c>
      <c r="C401" s="11" t="str">
        <f ca="1">IFERROR(__xludf.dummyfunction("""COMPUTED_VALUE"""),"6256588")</f>
        <v>6256588</v>
      </c>
      <c r="D401" s="11" t="str">
        <f ca="1">IFERROR(__xludf.dummyfunction("""COMPUTED_VALUE"""),"70326567143")</f>
        <v>70326567143</v>
      </c>
      <c r="E401" s="11" t="str">
        <f ca="1">IFERROR(__xludf.dummyfunction("""COMPUTED_VALUE"""),"RAFAELLAALVES04@HOTMAIL.COM")</f>
        <v>RAFAELLAALVES04@HOTMAIL.COM</v>
      </c>
      <c r="F401" s="11"/>
      <c r="G401" s="11" t="str">
        <f ca="1">IFERROR(__xludf.dummyfunction("""COMPUTED_VALUE"""),"(62) 982612815")</f>
        <v>(62) 982612815</v>
      </c>
      <c r="H401" s="11" t="str">
        <f ca="1">IFERROR(__xludf.dummyfunction("""COMPUTED_VALUE"""),"SUPERIOR")</f>
        <v>SUPERIOR</v>
      </c>
      <c r="I401" s="10" t="str">
        <f ca="1">IFERROR(__xludf.dummyfunction("""COMPUTED_VALUE"""),"ENFERMAGEM")</f>
        <v>ENFERMAGEM</v>
      </c>
      <c r="J401" s="10" t="str">
        <f ca="1">IFERROR(__xludf.dummyfunction("""COMPUTED_VALUE"""),"VARIÁVEL")</f>
        <v>VARIÁVEL</v>
      </c>
      <c r="K401" s="10" t="str">
        <f ca="1">IFERROR(__xludf.dummyfunction("""COMPUTED_VALUE"""),"TARDE")</f>
        <v>TARDE</v>
      </c>
      <c r="L401" s="10" t="str">
        <f ca="1">IFERROR(__xludf.dummyfunction("""COMPUTED_VALUE"""),"GOIÂNIA - GO")</f>
        <v>GOIÂNIA - GO</v>
      </c>
      <c r="M401" s="10">
        <f ca="1">IFERROR(__xludf.dummyfunction("""COMPUTED_VALUE"""),9)</f>
        <v>9</v>
      </c>
      <c r="N401" s="10" t="str">
        <f ca="1">IFERROR(__xludf.dummyfunction("""COMPUTED_VALUE"""),"DISPONÍVEL")</f>
        <v>DISPONÍVEL</v>
      </c>
      <c r="O401" s="12"/>
      <c r="P401" s="11"/>
      <c r="Q401" s="11"/>
      <c r="R401" s="11"/>
    </row>
    <row r="402" spans="1:18">
      <c r="A402" s="10">
        <f ca="1">IFERROR(__xludf.dummyfunction("""COMPUTED_VALUE"""),17)</f>
        <v>17</v>
      </c>
      <c r="B402" s="11" t="str">
        <f ca="1">IFERROR(__xludf.dummyfunction("""COMPUTED_VALUE"""),"VITORIA KELLEN ARAÚJO")</f>
        <v>VITORIA KELLEN ARAÚJO</v>
      </c>
      <c r="C402" s="11" t="str">
        <f ca="1">IFERROR(__xludf.dummyfunction("""COMPUTED_VALUE"""),"101010")</f>
        <v>101010</v>
      </c>
      <c r="D402" s="11" t="str">
        <f ca="1">IFERROR(__xludf.dummyfunction("""COMPUTED_VALUE"""),"06794274574")</f>
        <v>06794274574</v>
      </c>
      <c r="E402" s="11" t="str">
        <f ca="1">IFERROR(__xludf.dummyfunction("""COMPUTED_VALUE"""),"VITORIAKELLENARAUJO@GMAIL.COM")</f>
        <v>VITORIAKELLENARAUJO@GMAIL.COM</v>
      </c>
      <c r="F402" s="11" t="str">
        <f ca="1">IFERROR(__xludf.dummyfunction("""COMPUTED_VALUE"""),"(62) 98673129")</f>
        <v>(62) 98673129</v>
      </c>
      <c r="G402" s="11" t="str">
        <f ca="1">IFERROR(__xludf.dummyfunction("""COMPUTED_VALUE"""),"(62) 998673129")</f>
        <v>(62) 998673129</v>
      </c>
      <c r="H402" s="11" t="str">
        <f ca="1">IFERROR(__xludf.dummyfunction("""COMPUTED_VALUE"""),"SUPERIOR")</f>
        <v>SUPERIOR</v>
      </c>
      <c r="I402" s="10" t="str">
        <f ca="1">IFERROR(__xludf.dummyfunction("""COMPUTED_VALUE"""),"ENFERMAGEM")</f>
        <v>ENFERMAGEM</v>
      </c>
      <c r="J402" s="10" t="str">
        <f ca="1">IFERROR(__xludf.dummyfunction("""COMPUTED_VALUE"""),"MANHÃ")</f>
        <v>MANHÃ</v>
      </c>
      <c r="K402" s="10" t="str">
        <f ca="1">IFERROR(__xludf.dummyfunction("""COMPUTED_VALUE"""),"TARDE")</f>
        <v>TARDE</v>
      </c>
      <c r="L402" s="10" t="str">
        <f ca="1">IFERROR(__xludf.dummyfunction("""COMPUTED_VALUE"""),"GOIÂNIA - GO")</f>
        <v>GOIÂNIA - GO</v>
      </c>
      <c r="M402" s="10">
        <f ca="1">IFERROR(__xludf.dummyfunction("""COMPUTED_VALUE"""),6)</f>
        <v>6</v>
      </c>
      <c r="N402" s="10" t="str">
        <f ca="1">IFERROR(__xludf.dummyfunction("""COMPUTED_VALUE"""),"DISPONÍVEL")</f>
        <v>DISPONÍVEL</v>
      </c>
      <c r="O402" s="12"/>
      <c r="P402" s="11"/>
      <c r="Q402" s="11"/>
      <c r="R402" s="11"/>
    </row>
    <row r="403" spans="1:18">
      <c r="A403" s="10">
        <f ca="1">IFERROR(__xludf.dummyfunction("""COMPUTED_VALUE"""),1)</f>
        <v>1</v>
      </c>
      <c r="B403" s="11" t="str">
        <f ca="1">IFERROR(__xludf.dummyfunction("""COMPUTED_VALUE"""),"MARIA CAROLINA SILVA ARANTES")</f>
        <v>MARIA CAROLINA SILVA ARANTES</v>
      </c>
      <c r="C403" s="11"/>
      <c r="D403" s="11" t="str">
        <f ca="1">IFERROR(__xludf.dummyfunction("""COMPUTED_VALUE"""),"07236660167")</f>
        <v>07236660167</v>
      </c>
      <c r="E403" s="11" t="str">
        <f ca="1">IFERROR(__xludf.dummyfunction("""COMPUTED_VALUE"""),"CAROLINAALEX1416@GMAIL.COM")</f>
        <v>CAROLINAALEX1416@GMAIL.COM</v>
      </c>
      <c r="F403" s="11"/>
      <c r="G403" s="11" t="str">
        <f ca="1">IFERROR(__xludf.dummyfunction("""COMPUTED_VALUE"""),"(62) 986310033")</f>
        <v>(62) 986310033</v>
      </c>
      <c r="H403" s="11" t="str">
        <f ca="1">IFERROR(__xludf.dummyfunction("""COMPUTED_VALUE"""),"SUPERIOR")</f>
        <v>SUPERIOR</v>
      </c>
      <c r="I403" s="10" t="str">
        <f ca="1">IFERROR(__xludf.dummyfunction("""COMPUTED_VALUE"""),"ENGENHARIA CIVIL")</f>
        <v>ENGENHARIA CIVIL</v>
      </c>
      <c r="J403" s="10" t="str">
        <f ca="1">IFERROR(__xludf.dummyfunction("""COMPUTED_VALUE"""),"NOITE")</f>
        <v>NOITE</v>
      </c>
      <c r="K403" s="10" t="str">
        <f ca="1">IFERROR(__xludf.dummyfunction("""COMPUTED_VALUE"""),"TARDE")</f>
        <v>TARDE</v>
      </c>
      <c r="L403" s="10" t="str">
        <f ca="1">IFERROR(__xludf.dummyfunction("""COMPUTED_VALUE"""),"GOIÂNIA - GO")</f>
        <v>GOIÂNIA - GO</v>
      </c>
      <c r="M403" s="10">
        <f ca="1">IFERROR(__xludf.dummyfunction("""COMPUTED_VALUE"""),4)</f>
        <v>4</v>
      </c>
      <c r="N403" s="10" t="str">
        <f ca="1">IFERROR(__xludf.dummyfunction("""COMPUTED_VALUE"""),"NÃO ATENDE/AGUARDANDO RETORNO")</f>
        <v>NÃO ATENDE/AGUARDANDO RETORNO</v>
      </c>
      <c r="O403" s="12"/>
      <c r="P403" s="11"/>
      <c r="Q403" s="11"/>
      <c r="R403" s="11"/>
    </row>
    <row r="404" spans="1:18">
      <c r="A404" s="10">
        <f ca="1">IFERROR(__xludf.dummyfunction("""COMPUTED_VALUE"""),2)</f>
        <v>2</v>
      </c>
      <c r="B404" s="11" t="str">
        <f ca="1">IFERROR(__xludf.dummyfunction("""COMPUTED_VALUE"""),"RHAIRA PONTES RODRIGUES")</f>
        <v>RHAIRA PONTES RODRIGUES</v>
      </c>
      <c r="C404" s="11"/>
      <c r="D404" s="11" t="str">
        <f ca="1">IFERROR(__xludf.dummyfunction("""COMPUTED_VALUE"""),"03749174180")</f>
        <v>03749174180</v>
      </c>
      <c r="E404" s="11" t="str">
        <f ca="1">IFERROR(__xludf.dummyfunction("""COMPUTED_VALUE"""),"RHAIRAPRODRIGUES25@OUTLOOK.COM")</f>
        <v>RHAIRAPRODRIGUES25@OUTLOOK.COM</v>
      </c>
      <c r="F404" s="11" t="str">
        <f ca="1">IFERROR(__xludf.dummyfunction("""COMPUTED_VALUE"""),"(64) 34055074")</f>
        <v>(64) 34055074</v>
      </c>
      <c r="G404" s="11" t="str">
        <f ca="1">IFERROR(__xludf.dummyfunction("""COMPUTED_VALUE"""),"(64) 992133632")</f>
        <v>(64) 992133632</v>
      </c>
      <c r="H404" s="11" t="str">
        <f ca="1">IFERROR(__xludf.dummyfunction("""COMPUTED_VALUE"""),"SUPERIOR")</f>
        <v>SUPERIOR</v>
      </c>
      <c r="I404" s="10" t="str">
        <f ca="1">IFERROR(__xludf.dummyfunction("""COMPUTED_VALUE"""),"ENGENHARIA CIVIL")</f>
        <v>ENGENHARIA CIVIL</v>
      </c>
      <c r="J404" s="10" t="str">
        <f ca="1">IFERROR(__xludf.dummyfunction("""COMPUTED_VALUE"""),"INTEGRAL")</f>
        <v>INTEGRAL</v>
      </c>
      <c r="K404" s="10" t="str">
        <f ca="1">IFERROR(__xludf.dummyfunction("""COMPUTED_VALUE"""),"TARDE")</f>
        <v>TARDE</v>
      </c>
      <c r="L404" s="10" t="str">
        <f ca="1">IFERROR(__xludf.dummyfunction("""COMPUTED_VALUE"""),"GOIÂNIA - GO")</f>
        <v>GOIÂNIA - GO</v>
      </c>
      <c r="M404" s="10">
        <f ca="1">IFERROR(__xludf.dummyfunction("""COMPUTED_VALUE"""),8)</f>
        <v>8</v>
      </c>
      <c r="N404" s="10" t="str">
        <f ca="1">IFERROR(__xludf.dummyfunction("""COMPUTED_VALUE"""),"NÃO ATENDE/AGUARDANDO RETORNO")</f>
        <v>NÃO ATENDE/AGUARDANDO RETORNO</v>
      </c>
      <c r="O404" s="12"/>
      <c r="P404" s="11"/>
      <c r="Q404" s="11"/>
      <c r="R404" s="11"/>
    </row>
    <row r="405" spans="1:18">
      <c r="A405" s="10">
        <f ca="1">IFERROR(__xludf.dummyfunction("""COMPUTED_VALUE"""),3)</f>
        <v>3</v>
      </c>
      <c r="B405" s="11" t="str">
        <f ca="1">IFERROR(__xludf.dummyfunction("""COMPUTED_VALUE"""),"ALLAN DA COSTA RAMALHO")</f>
        <v>ALLAN DA COSTA RAMALHO</v>
      </c>
      <c r="C405" s="11" t="str">
        <f ca="1">IFERROR(__xludf.dummyfunction("""COMPUTED_VALUE"""),"5357091")</f>
        <v>5357091</v>
      </c>
      <c r="D405" s="11" t="str">
        <f ca="1">IFERROR(__xludf.dummyfunction("""COMPUTED_VALUE"""),"03629021190")</f>
        <v>03629021190</v>
      </c>
      <c r="E405" s="11" t="str">
        <f ca="1">IFERROR(__xludf.dummyfunction("""COMPUTED_VALUE"""),"ALLANRAMALHO@GMAIL.COM")</f>
        <v>ALLANRAMALHO@GMAIL.COM</v>
      </c>
      <c r="F405" s="11" t="str">
        <f ca="1">IFERROR(__xludf.dummyfunction("""COMPUTED_VALUE"""),"(62) 95532224")</f>
        <v>(62) 95532224</v>
      </c>
      <c r="G405" s="11" t="str">
        <f ca="1">IFERROR(__xludf.dummyfunction("""COMPUTED_VALUE"""),"(62) 982399367")</f>
        <v>(62) 982399367</v>
      </c>
      <c r="H405" s="11" t="str">
        <f ca="1">IFERROR(__xludf.dummyfunction("""COMPUTED_VALUE"""),"SUPERIOR")</f>
        <v>SUPERIOR</v>
      </c>
      <c r="I405" s="10" t="str">
        <f ca="1">IFERROR(__xludf.dummyfunction("""COMPUTED_VALUE"""),"ENGENHARIA CIVIL")</f>
        <v>ENGENHARIA CIVIL</v>
      </c>
      <c r="J405" s="10" t="str">
        <f ca="1">IFERROR(__xludf.dummyfunction("""COMPUTED_VALUE"""),"NOITE")</f>
        <v>NOITE</v>
      </c>
      <c r="K405" s="10" t="str">
        <f ca="1">IFERROR(__xludf.dummyfunction("""COMPUTED_VALUE"""),"TARDE")</f>
        <v>TARDE</v>
      </c>
      <c r="L405" s="10" t="str">
        <f ca="1">IFERROR(__xludf.dummyfunction("""COMPUTED_VALUE"""),"GOIÂNIA - GO")</f>
        <v>GOIÂNIA - GO</v>
      </c>
      <c r="M405" s="10">
        <f ca="1">IFERROR(__xludf.dummyfunction("""COMPUTED_VALUE"""),6)</f>
        <v>6</v>
      </c>
      <c r="N405" s="10" t="str">
        <f ca="1">IFERROR(__xludf.dummyfunction("""COMPUTED_VALUE"""),"DISPONÍVEL")</f>
        <v>DISPONÍVEL</v>
      </c>
      <c r="O405" s="12"/>
      <c r="P405" s="11"/>
      <c r="Q405" s="11"/>
      <c r="R405" s="11"/>
    </row>
    <row r="406" spans="1:18">
      <c r="A406" s="10">
        <f ca="1">IFERROR(__xludf.dummyfunction("""COMPUTED_VALUE"""),4)</f>
        <v>4</v>
      </c>
      <c r="B406" s="11" t="str">
        <f ca="1">IFERROR(__xludf.dummyfunction("""COMPUTED_VALUE"""),"LINDOMAR ANTONIO BARRETO")</f>
        <v>LINDOMAR ANTONIO BARRETO</v>
      </c>
      <c r="C406" s="11" t="str">
        <f ca="1">IFERROR(__xludf.dummyfunction("""COMPUTED_VALUE"""),"3622927")</f>
        <v>3622927</v>
      </c>
      <c r="D406" s="11" t="str">
        <f ca="1">IFERROR(__xludf.dummyfunction("""COMPUTED_VALUE"""),"82949514120")</f>
        <v>82949514120</v>
      </c>
      <c r="E406" s="11" t="str">
        <f ca="1">IFERROR(__xludf.dummyfunction("""COMPUTED_VALUE"""),"BARRETOADM@YAHOO.COM.BR")</f>
        <v>BARRETOADM@YAHOO.COM.BR</v>
      </c>
      <c r="F406" s="11" t="str">
        <f ca="1">IFERROR(__xludf.dummyfunction("""COMPUTED_VALUE"""),"(62) 84563520")</f>
        <v>(62) 84563520</v>
      </c>
      <c r="G406" s="11" t="str">
        <f ca="1">IFERROR(__xludf.dummyfunction("""COMPUTED_VALUE"""),"(62) 981704095")</f>
        <v>(62) 981704095</v>
      </c>
      <c r="H406" s="11" t="str">
        <f ca="1">IFERROR(__xludf.dummyfunction("""COMPUTED_VALUE"""),"SUPERIOR")</f>
        <v>SUPERIOR</v>
      </c>
      <c r="I406" s="10" t="str">
        <f ca="1">IFERROR(__xludf.dummyfunction("""COMPUTED_VALUE"""),"ENGENHARIA CIVIL")</f>
        <v>ENGENHARIA CIVIL</v>
      </c>
      <c r="J406" s="10" t="str">
        <f ca="1">IFERROR(__xludf.dummyfunction("""COMPUTED_VALUE"""),"NOITE")</f>
        <v>NOITE</v>
      </c>
      <c r="K406" s="10" t="str">
        <f ca="1">IFERROR(__xludf.dummyfunction("""COMPUTED_VALUE"""),"TARDE")</f>
        <v>TARDE</v>
      </c>
      <c r="L406" s="10" t="str">
        <f ca="1">IFERROR(__xludf.dummyfunction("""COMPUTED_VALUE"""),"GOIÂNIA - GO")</f>
        <v>GOIÂNIA - GO</v>
      </c>
      <c r="M406" s="10">
        <f ca="1">IFERROR(__xludf.dummyfunction("""COMPUTED_VALUE"""),9)</f>
        <v>9</v>
      </c>
      <c r="N406" s="10" t="str">
        <f ca="1">IFERROR(__xludf.dummyfunction("""COMPUTED_VALUE"""),"NÃO ATENDE/AGUARDANDO RETORNO")</f>
        <v>NÃO ATENDE/AGUARDANDO RETORNO</v>
      </c>
      <c r="O406" s="12"/>
      <c r="P406" s="11"/>
      <c r="Q406" s="11"/>
      <c r="R406" s="11"/>
    </row>
    <row r="407" spans="1:18">
      <c r="A407" s="10">
        <f ca="1">IFERROR(__xludf.dummyfunction("""COMPUTED_VALUE"""),1)</f>
        <v>1</v>
      </c>
      <c r="B407" s="11" t="str">
        <f ca="1">IFERROR(__xludf.dummyfunction("""COMPUTED_VALUE"""),"BRUNO MIGUEL MELO")</f>
        <v>BRUNO MIGUEL MELO</v>
      </c>
      <c r="C407" s="11" t="str">
        <f ca="1">IFERROR(__xludf.dummyfunction("""COMPUTED_VALUE"""),"54464420")</f>
        <v>54464420</v>
      </c>
      <c r="D407" s="11" t="str">
        <f ca="1">IFERROR(__xludf.dummyfunction("""COMPUTED_VALUE"""),"03138228160")</f>
        <v>03138228160</v>
      </c>
      <c r="E407" s="11" t="str">
        <f ca="1">IFERROR(__xludf.dummyfunction("""COMPUTED_VALUE"""),"BRUNOMIGUEL@DISCENTE.UFG.BR")</f>
        <v>BRUNOMIGUEL@DISCENTE.UFG.BR</v>
      </c>
      <c r="F407" s="11"/>
      <c r="G407" s="11" t="str">
        <f ca="1">IFERROR(__xludf.dummyfunction("""COMPUTED_VALUE"""),"(62) 985373388")</f>
        <v>(62) 985373388</v>
      </c>
      <c r="H407" s="11" t="str">
        <f ca="1">IFERROR(__xludf.dummyfunction("""COMPUTED_VALUE"""),"SUPERIOR")</f>
        <v>SUPERIOR</v>
      </c>
      <c r="I407" s="10" t="str">
        <f ca="1">IFERROR(__xludf.dummyfunction("""COMPUTED_VALUE"""),"ENGENHARIA ELÉTRICA")</f>
        <v>ENGENHARIA ELÉTRICA</v>
      </c>
      <c r="J407" s="10" t="str">
        <f ca="1">IFERROR(__xludf.dummyfunction("""COMPUTED_VALUE"""),"VARIÁVEL")</f>
        <v>VARIÁVEL</v>
      </c>
      <c r="K407" s="10" t="str">
        <f ca="1">IFERROR(__xludf.dummyfunction("""COMPUTED_VALUE"""),"TARDE")</f>
        <v>TARDE</v>
      </c>
      <c r="L407" s="10" t="str">
        <f ca="1">IFERROR(__xludf.dummyfunction("""COMPUTED_VALUE"""),"GOIÂNIA - GO")</f>
        <v>GOIÂNIA - GO</v>
      </c>
      <c r="M407" s="10">
        <f ca="1">IFERROR(__xludf.dummyfunction("""COMPUTED_VALUE"""),9)</f>
        <v>9</v>
      </c>
      <c r="N407" s="10" t="str">
        <f ca="1">IFERROR(__xludf.dummyfunction("""COMPUTED_VALUE"""),"DISPONÍVEL")</f>
        <v>DISPONÍVEL</v>
      </c>
      <c r="O407" s="12"/>
      <c r="P407" s="11"/>
      <c r="Q407" s="11"/>
      <c r="R407" s="11"/>
    </row>
    <row r="408" spans="1:18">
      <c r="A408" s="10">
        <f ca="1">IFERROR(__xludf.dummyfunction("""COMPUTED_VALUE"""),2)</f>
        <v>2</v>
      </c>
      <c r="B408" s="11" t="str">
        <f ca="1">IFERROR(__xludf.dummyfunction("""COMPUTED_VALUE"""),"ALEX ABRAÃO SIQUEIRA")</f>
        <v>ALEX ABRAÃO SIQUEIRA</v>
      </c>
      <c r="C408" s="11" t="str">
        <f ca="1">IFERROR(__xludf.dummyfunction("""COMPUTED_VALUE"""),"4992533")</f>
        <v>4992533</v>
      </c>
      <c r="D408" s="11" t="str">
        <f ca="1">IFERROR(__xludf.dummyfunction("""COMPUTED_VALUE"""),"03949097120")</f>
        <v>03949097120</v>
      </c>
      <c r="E408" s="11" t="str">
        <f ca="1">IFERROR(__xludf.dummyfunction("""COMPUTED_VALUE"""),"ALXABR@DISCENTE.UFG.BR")</f>
        <v>ALXABR@DISCENTE.UFG.BR</v>
      </c>
      <c r="F408" s="11"/>
      <c r="G408" s="11" t="str">
        <f ca="1">IFERROR(__xludf.dummyfunction("""COMPUTED_VALUE"""),"(62) 985283213")</f>
        <v>(62) 985283213</v>
      </c>
      <c r="H408" s="11" t="str">
        <f ca="1">IFERROR(__xludf.dummyfunction("""COMPUTED_VALUE"""),"SUPERIOR")</f>
        <v>SUPERIOR</v>
      </c>
      <c r="I408" s="10" t="str">
        <f ca="1">IFERROR(__xludf.dummyfunction("""COMPUTED_VALUE"""),"ENGENHARIA ELÉTRICA")</f>
        <v>ENGENHARIA ELÉTRICA</v>
      </c>
      <c r="J408" s="10" t="str">
        <f ca="1">IFERROR(__xludf.dummyfunction("""COMPUTED_VALUE"""),"VARIÁVEL")</f>
        <v>VARIÁVEL</v>
      </c>
      <c r="K408" s="10" t="str">
        <f ca="1">IFERROR(__xludf.dummyfunction("""COMPUTED_VALUE"""),"TARDE")</f>
        <v>TARDE</v>
      </c>
      <c r="L408" s="10" t="str">
        <f ca="1">IFERROR(__xludf.dummyfunction("""COMPUTED_VALUE"""),"GOIÂNIA - GO")</f>
        <v>GOIÂNIA - GO</v>
      </c>
      <c r="M408" s="10">
        <f ca="1">IFERROR(__xludf.dummyfunction("""COMPUTED_VALUE"""),9)</f>
        <v>9</v>
      </c>
      <c r="N408" s="10" t="str">
        <f ca="1">IFERROR(__xludf.dummyfunction("""COMPUTED_VALUE"""),"DISPONÍVEL")</f>
        <v>DISPONÍVEL</v>
      </c>
      <c r="O408" s="12"/>
      <c r="P408" s="11"/>
      <c r="Q408" s="11"/>
      <c r="R408" s="11"/>
    </row>
    <row r="409" spans="1:18">
      <c r="A409" s="10">
        <f ca="1">IFERROR(__xludf.dummyfunction("""COMPUTED_VALUE"""),3)</f>
        <v>3</v>
      </c>
      <c r="B409" s="11" t="str">
        <f ca="1">IFERROR(__xludf.dummyfunction("""COMPUTED_VALUE"""),"KLAYTON ABREU DE CARVALHO")</f>
        <v>KLAYTON ABREU DE CARVALHO</v>
      </c>
      <c r="C409" s="11" t="str">
        <f ca="1">IFERROR(__xludf.dummyfunction("""COMPUTED_VALUE"""),"6566000")</f>
        <v>6566000</v>
      </c>
      <c r="D409" s="11" t="str">
        <f ca="1">IFERROR(__xludf.dummyfunction("""COMPUTED_VALUE"""),"06913211163")</f>
        <v>06913211163</v>
      </c>
      <c r="E409" s="11" t="str">
        <f ca="1">IFERROR(__xludf.dummyfunction("""COMPUTED_VALUE"""),"KLAYTONABREU@DISCENTE.UFG.BR")</f>
        <v>KLAYTONABREU@DISCENTE.UFG.BR</v>
      </c>
      <c r="F409" s="11" t="str">
        <f ca="1">IFERROR(__xludf.dummyfunction("""COMPUTED_VALUE"""),"(62) 99849077")</f>
        <v>(62) 99849077</v>
      </c>
      <c r="G409" s="11" t="str">
        <f ca="1">IFERROR(__xludf.dummyfunction("""COMPUTED_VALUE"""),"(62) 998490779")</f>
        <v>(62) 998490779</v>
      </c>
      <c r="H409" s="11" t="str">
        <f ca="1">IFERROR(__xludf.dummyfunction("""COMPUTED_VALUE"""),"SUPERIOR")</f>
        <v>SUPERIOR</v>
      </c>
      <c r="I409" s="10" t="str">
        <f ca="1">IFERROR(__xludf.dummyfunction("""COMPUTED_VALUE"""),"ENGENHARIA ELÉTRICA")</f>
        <v>ENGENHARIA ELÉTRICA</v>
      </c>
      <c r="J409" s="10" t="str">
        <f ca="1">IFERROR(__xludf.dummyfunction("""COMPUTED_VALUE"""),"INTEGRAL")</f>
        <v>INTEGRAL</v>
      </c>
      <c r="K409" s="10" t="str">
        <f ca="1">IFERROR(__xludf.dummyfunction("""COMPUTED_VALUE"""),"TARDE")</f>
        <v>TARDE</v>
      </c>
      <c r="L409" s="10" t="str">
        <f ca="1">IFERROR(__xludf.dummyfunction("""COMPUTED_VALUE"""),"GOIÂNIA - GO")</f>
        <v>GOIÂNIA - GO</v>
      </c>
      <c r="M409" s="10">
        <f ca="1">IFERROR(__xludf.dummyfunction("""COMPUTED_VALUE"""),6)</f>
        <v>6</v>
      </c>
      <c r="N409" s="10" t="str">
        <f ca="1">IFERROR(__xludf.dummyfunction("""COMPUTED_VALUE"""),"DISPONÍVEL")</f>
        <v>DISPONÍVEL</v>
      </c>
      <c r="O409" s="12"/>
      <c r="P409" s="11"/>
      <c r="Q409" s="11"/>
      <c r="R409" s="11"/>
    </row>
    <row r="410" spans="1:18">
      <c r="A410" s="10">
        <f ca="1">IFERROR(__xludf.dummyfunction("""COMPUTED_VALUE"""),4)</f>
        <v>4</v>
      </c>
      <c r="B410" s="11" t="str">
        <f ca="1">IFERROR(__xludf.dummyfunction("""COMPUTED_VALUE"""),"THIAGO HENRIQUE DE OLIVEIRA MACEDO")</f>
        <v>THIAGO HENRIQUE DE OLIVEIRA MACEDO</v>
      </c>
      <c r="C410" s="11"/>
      <c r="D410" s="11" t="str">
        <f ca="1">IFERROR(__xludf.dummyfunction("""COMPUTED_VALUE"""),"75053195153")</f>
        <v>75053195153</v>
      </c>
      <c r="E410" s="11" t="str">
        <f ca="1">IFERROR(__xludf.dummyfunction("""COMPUTED_VALUE"""),"MACEDOTHIAGO062@GMAIL.COM")</f>
        <v>MACEDOTHIAGO062@GMAIL.COM</v>
      </c>
      <c r="F410" s="11"/>
      <c r="G410" s="11" t="str">
        <f ca="1">IFERROR(__xludf.dummyfunction("""COMPUTED_VALUE"""),"(62) 991960337")</f>
        <v>(62) 991960337</v>
      </c>
      <c r="H410" s="11" t="str">
        <f ca="1">IFERROR(__xludf.dummyfunction("""COMPUTED_VALUE"""),"SUPERIOR")</f>
        <v>SUPERIOR</v>
      </c>
      <c r="I410" s="10" t="str">
        <f ca="1">IFERROR(__xludf.dummyfunction("""COMPUTED_VALUE"""),"ENGENHARIA ELÉTRICA")</f>
        <v>ENGENHARIA ELÉTRICA</v>
      </c>
      <c r="J410" s="10" t="str">
        <f ca="1">IFERROR(__xludf.dummyfunction("""COMPUTED_VALUE"""),"INTEGRAL")</f>
        <v>INTEGRAL</v>
      </c>
      <c r="K410" s="10" t="str">
        <f ca="1">IFERROR(__xludf.dummyfunction("""COMPUTED_VALUE"""),"TARDE")</f>
        <v>TARDE</v>
      </c>
      <c r="L410" s="10" t="str">
        <f ca="1">IFERROR(__xludf.dummyfunction("""COMPUTED_VALUE"""),"GOIÂNIA - GO")</f>
        <v>GOIÂNIA - GO</v>
      </c>
      <c r="M410" s="10">
        <f ca="1">IFERROR(__xludf.dummyfunction("""COMPUTED_VALUE"""),3)</f>
        <v>3</v>
      </c>
      <c r="N410" s="10" t="str">
        <f ca="1">IFERROR(__xludf.dummyfunction("""COMPUTED_VALUE"""),"DISPONÍVEL")</f>
        <v>DISPONÍVEL</v>
      </c>
      <c r="O410" s="12"/>
      <c r="P410" s="11"/>
      <c r="Q410" s="11"/>
      <c r="R410" s="11"/>
    </row>
    <row r="411" spans="1:18">
      <c r="A411" s="10">
        <f ca="1">IFERROR(__xludf.dummyfunction("""COMPUTED_VALUE"""),5)</f>
        <v>5</v>
      </c>
      <c r="B411" s="11" t="str">
        <f ca="1">IFERROR(__xludf.dummyfunction("""COMPUTED_VALUE"""),"LAERCIO DA CRUZ SANTOS")</f>
        <v>LAERCIO DA CRUZ SANTOS</v>
      </c>
      <c r="C411" s="11" t="str">
        <f ca="1">IFERROR(__xludf.dummyfunction("""COMPUTED_VALUE"""),"0940165180")</f>
        <v>0940165180</v>
      </c>
      <c r="D411" s="11" t="str">
        <f ca="1">IFERROR(__xludf.dummyfunction("""COMPUTED_VALUE"""),"02421199565")</f>
        <v>02421199565</v>
      </c>
      <c r="E411" s="11" t="str">
        <f ca="1">IFERROR(__xludf.dummyfunction("""COMPUTED_VALUE"""),"LAERCIO.CRUZ@OUTLOOK.COM.BR")</f>
        <v>LAERCIO.CRUZ@OUTLOOK.COM.BR</v>
      </c>
      <c r="F411" s="11"/>
      <c r="G411" s="11" t="str">
        <f ca="1">IFERROR(__xludf.dummyfunction("""COMPUTED_VALUE"""),"(71) 992249280")</f>
        <v>(71) 992249280</v>
      </c>
      <c r="H411" s="11" t="str">
        <f ca="1">IFERROR(__xludf.dummyfunction("""COMPUTED_VALUE"""),"SUPERIOR")</f>
        <v>SUPERIOR</v>
      </c>
      <c r="I411" s="10" t="str">
        <f ca="1">IFERROR(__xludf.dummyfunction("""COMPUTED_VALUE"""),"ENGENHARIA ELÉTRICA")</f>
        <v>ENGENHARIA ELÉTRICA</v>
      </c>
      <c r="J411" s="10" t="str">
        <f ca="1">IFERROR(__xludf.dummyfunction("""COMPUTED_VALUE"""),"NOITE")</f>
        <v>NOITE</v>
      </c>
      <c r="K411" s="10" t="str">
        <f ca="1">IFERROR(__xludf.dummyfunction("""COMPUTED_VALUE"""),"TARDE")</f>
        <v>TARDE</v>
      </c>
      <c r="L411" s="10" t="str">
        <f ca="1">IFERROR(__xludf.dummyfunction("""COMPUTED_VALUE"""),"GOIÂNIA - GO")</f>
        <v>GOIÂNIA - GO</v>
      </c>
      <c r="M411" s="10">
        <f ca="1">IFERROR(__xludf.dummyfunction("""COMPUTED_VALUE"""),3)</f>
        <v>3</v>
      </c>
      <c r="N411" s="10" t="str">
        <f ca="1">IFERROR(__xludf.dummyfunction("""COMPUTED_VALUE"""),"DISPONÍVEL")</f>
        <v>DISPONÍVEL</v>
      </c>
      <c r="O411" s="12"/>
      <c r="P411" s="11"/>
      <c r="Q411" s="11"/>
      <c r="R411" s="11"/>
    </row>
    <row r="412" spans="1:18">
      <c r="A412" s="10">
        <f ca="1">IFERROR(__xludf.dummyfunction("""COMPUTED_VALUE"""),1)</f>
        <v>1</v>
      </c>
      <c r="B412" s="11" t="str">
        <f ca="1">IFERROR(__xludf.dummyfunction("""COMPUTED_VALUE"""),"PEDRO LUCAS PIMENTA DE ALMEIDA")</f>
        <v>PEDRO LUCAS PIMENTA DE ALMEIDA</v>
      </c>
      <c r="C412" s="11" t="str">
        <f ca="1">IFERROR(__xludf.dummyfunction("""COMPUTED_VALUE"""),"6297976")</f>
        <v>6297976</v>
      </c>
      <c r="D412" s="11" t="str">
        <f ca="1">IFERROR(__xludf.dummyfunction("""COMPUTED_VALUE"""),"03742467182")</f>
        <v>03742467182</v>
      </c>
      <c r="E412" s="11" t="str">
        <f ca="1">IFERROR(__xludf.dummyfunction("""COMPUTED_VALUE"""),"PIMENTAALMEIDA@DISCENTE.UFG.BR")</f>
        <v>PIMENTAALMEIDA@DISCENTE.UFG.BR</v>
      </c>
      <c r="F412" s="11"/>
      <c r="G412" s="11" t="str">
        <f ca="1">IFERROR(__xludf.dummyfunction("""COMPUTED_VALUE"""),"(62) 991684542")</f>
        <v>(62) 991684542</v>
      </c>
      <c r="H412" s="11" t="str">
        <f ca="1">IFERROR(__xludf.dummyfunction("""COMPUTED_VALUE"""),"SUPERIOR")</f>
        <v>SUPERIOR</v>
      </c>
      <c r="I412" s="10" t="str">
        <f ca="1">IFERROR(__xludf.dummyfunction("""COMPUTED_VALUE"""),"ENGENHARIA MECÂNICA")</f>
        <v>ENGENHARIA MECÂNICA</v>
      </c>
      <c r="J412" s="10" t="str">
        <f ca="1">IFERROR(__xludf.dummyfunction("""COMPUTED_VALUE"""),"VARIÁVEL")</f>
        <v>VARIÁVEL</v>
      </c>
      <c r="K412" s="10" t="str">
        <f ca="1">IFERROR(__xludf.dummyfunction("""COMPUTED_VALUE"""),"TARDE")</f>
        <v>TARDE</v>
      </c>
      <c r="L412" s="10" t="str">
        <f ca="1">IFERROR(__xludf.dummyfunction("""COMPUTED_VALUE"""),"GOIÂNIA - GO")</f>
        <v>GOIÂNIA - GO</v>
      </c>
      <c r="M412" s="10">
        <f ca="1">IFERROR(__xludf.dummyfunction("""COMPUTED_VALUE"""),5)</f>
        <v>5</v>
      </c>
      <c r="N412" s="10" t="str">
        <f ca="1">IFERROR(__xludf.dummyfunction("""COMPUTED_VALUE"""),"DISPONÍVEL")</f>
        <v>DISPONÍVEL</v>
      </c>
      <c r="O412" s="12"/>
      <c r="P412" s="11"/>
      <c r="Q412" s="11"/>
      <c r="R412" s="11"/>
    </row>
    <row r="413" spans="1:18">
      <c r="A413" s="10">
        <f ca="1">IFERROR(__xludf.dummyfunction("""COMPUTED_VALUE"""),2)</f>
        <v>2</v>
      </c>
      <c r="B413" s="11" t="str">
        <f ca="1">IFERROR(__xludf.dummyfunction("""COMPUTED_VALUE"""),"RAFAEL SCHERER DA SILVA BASSO")</f>
        <v>RAFAEL SCHERER DA SILVA BASSO</v>
      </c>
      <c r="C413" s="11"/>
      <c r="D413" s="11" t="str">
        <f ca="1">IFERROR(__xludf.dummyfunction("""COMPUTED_VALUE"""),"07724696101")</f>
        <v>07724696101</v>
      </c>
      <c r="E413" s="11" t="str">
        <f ca="1">IFERROR(__xludf.dummyfunction("""COMPUTED_VALUE"""),"RAFAELSSB06@GMAIL.COM")</f>
        <v>RAFAELSSB06@GMAIL.COM</v>
      </c>
      <c r="F413" s="11" t="str">
        <f ca="1">IFERROR(__xludf.dummyfunction("""COMPUTED_VALUE"""),"(62) 92000475")</f>
        <v>(62) 92000475</v>
      </c>
      <c r="G413" s="11" t="str">
        <f ca="1">IFERROR(__xludf.dummyfunction("""COMPUTED_VALUE"""),"(62) 920004751")</f>
        <v>(62) 920004751</v>
      </c>
      <c r="H413" s="11" t="str">
        <f ca="1">IFERROR(__xludf.dummyfunction("""COMPUTED_VALUE"""),"SUPERIOR")</f>
        <v>SUPERIOR</v>
      </c>
      <c r="I413" s="10" t="str">
        <f ca="1">IFERROR(__xludf.dummyfunction("""COMPUTED_VALUE"""),"ENGENHARIA MECÂNICA")</f>
        <v>ENGENHARIA MECÂNICA</v>
      </c>
      <c r="J413" s="10" t="str">
        <f ca="1">IFERROR(__xludf.dummyfunction("""COMPUTED_VALUE"""),"MANHÃ")</f>
        <v>MANHÃ</v>
      </c>
      <c r="K413" s="10" t="str">
        <f ca="1">IFERROR(__xludf.dummyfunction("""COMPUTED_VALUE"""),"TARDE")</f>
        <v>TARDE</v>
      </c>
      <c r="L413" s="10" t="str">
        <f ca="1">IFERROR(__xludf.dummyfunction("""COMPUTED_VALUE"""),"GOIÂNIA - GO")</f>
        <v>GOIÂNIA - GO</v>
      </c>
      <c r="M413" s="10">
        <f ca="1">IFERROR(__xludf.dummyfunction("""COMPUTED_VALUE"""),6)</f>
        <v>6</v>
      </c>
      <c r="N413" s="10" t="str">
        <f ca="1">IFERROR(__xludf.dummyfunction("""COMPUTED_VALUE"""),"DISPONÍVEL")</f>
        <v>DISPONÍVEL</v>
      </c>
      <c r="O413" s="12"/>
      <c r="P413" s="11"/>
      <c r="Q413" s="11"/>
      <c r="R413" s="11"/>
    </row>
    <row r="414" spans="1:18">
      <c r="A414" s="10">
        <f ca="1">IFERROR(__xludf.dummyfunction("""COMPUTED_VALUE"""),3)</f>
        <v>3</v>
      </c>
      <c r="B414" s="11" t="str">
        <f ca="1">IFERROR(__xludf.dummyfunction("""COMPUTED_VALUE"""),"LUIZ EDUARDO FELIX DA CUNHA")</f>
        <v>LUIZ EDUARDO FELIX DA CUNHA</v>
      </c>
      <c r="C414" s="11"/>
      <c r="D414" s="11" t="str">
        <f ca="1">IFERROR(__xludf.dummyfunction("""COMPUTED_VALUE"""),"07516539180")</f>
        <v>07516539180</v>
      </c>
      <c r="E414" s="11" t="str">
        <f ca="1">IFERROR(__xludf.dummyfunction("""COMPUTED_VALUE"""),"LUIZEDUARDOFELIX599@GMAIL.COM")</f>
        <v>LUIZEDUARDOFELIX599@GMAIL.COM</v>
      </c>
      <c r="F414" s="11" t="str">
        <f ca="1">IFERROR(__xludf.dummyfunction("""COMPUTED_VALUE"""),"(62) 98285163")</f>
        <v>(62) 98285163</v>
      </c>
      <c r="G414" s="11" t="str">
        <f ca="1">IFERROR(__xludf.dummyfunction("""COMPUTED_VALUE"""),"(62) 998285163")</f>
        <v>(62) 998285163</v>
      </c>
      <c r="H414" s="11" t="str">
        <f ca="1">IFERROR(__xludf.dummyfunction("""COMPUTED_VALUE"""),"SUPERIOR")</f>
        <v>SUPERIOR</v>
      </c>
      <c r="I414" s="10" t="str">
        <f ca="1">IFERROR(__xludf.dummyfunction("""COMPUTED_VALUE"""),"ENGENHARIA MECÂNICA")</f>
        <v>ENGENHARIA MECÂNICA</v>
      </c>
      <c r="J414" s="10" t="str">
        <f ca="1">IFERROR(__xludf.dummyfunction("""COMPUTED_VALUE"""),"NOITE")</f>
        <v>NOITE</v>
      </c>
      <c r="K414" s="10" t="str">
        <f ca="1">IFERROR(__xludf.dummyfunction("""COMPUTED_VALUE"""),"TARDE")</f>
        <v>TARDE</v>
      </c>
      <c r="L414" s="10" t="str">
        <f ca="1">IFERROR(__xludf.dummyfunction("""COMPUTED_VALUE"""),"GOIÂNIA - GO")</f>
        <v>GOIÂNIA - GO</v>
      </c>
      <c r="M414" s="10">
        <f ca="1">IFERROR(__xludf.dummyfunction("""COMPUTED_VALUE"""),7)</f>
        <v>7</v>
      </c>
      <c r="N414" s="10" t="str">
        <f ca="1">IFERROR(__xludf.dummyfunction("""COMPUTED_VALUE"""),"DISPONÍVEL")</f>
        <v>DISPONÍVEL</v>
      </c>
      <c r="O414" s="12"/>
      <c r="P414" s="11"/>
      <c r="Q414" s="11"/>
      <c r="R414" s="11"/>
    </row>
    <row r="415" spans="1:18">
      <c r="A415" s="10">
        <f ca="1">IFERROR(__xludf.dummyfunction("""COMPUTED_VALUE"""),1)</f>
        <v>1</v>
      </c>
      <c r="B415" s="11" t="str">
        <f ca="1">IFERROR(__xludf.dummyfunction("""COMPUTED_VALUE"""),"ERIKA SANTOS SOUZA")</f>
        <v>ERIKA SANTOS SOUZA</v>
      </c>
      <c r="C415" s="11"/>
      <c r="D415" s="11" t="str">
        <f ca="1">IFERROR(__xludf.dummyfunction("""COMPUTED_VALUE"""),"07720557182")</f>
        <v>07720557182</v>
      </c>
      <c r="E415" s="11" t="str">
        <f ca="1">IFERROR(__xludf.dummyfunction("""COMPUTED_VALUE"""),"ERIKASANTOS0023@GMAIL.COM")</f>
        <v>ERIKASANTOS0023@GMAIL.COM</v>
      </c>
      <c r="F415" s="11"/>
      <c r="G415" s="11" t="str">
        <f ca="1">IFERROR(__xludf.dummyfunction("""COMPUTED_VALUE"""),"(62) 983429700")</f>
        <v>(62) 983429700</v>
      </c>
      <c r="H415" s="11" t="str">
        <f ca="1">IFERROR(__xludf.dummyfunction("""COMPUTED_VALUE"""),"SUPERIOR")</f>
        <v>SUPERIOR</v>
      </c>
      <c r="I415" s="10" t="str">
        <f ca="1">IFERROR(__xludf.dummyfunction("""COMPUTED_VALUE""")," GESTÃO DE RECURSOS HUMANOS")</f>
        <v xml:space="preserve"> GESTÃO DE RECURSOS HUMANOS</v>
      </c>
      <c r="J415" s="10" t="str">
        <f ca="1">IFERROR(__xludf.dummyfunction("""COMPUTED_VALUE"""),"VARIÁVEL")</f>
        <v>VARIÁVEL</v>
      </c>
      <c r="K415" s="10" t="str">
        <f ca="1">IFERROR(__xludf.dummyfunction("""COMPUTED_VALUE"""),"TARDE")</f>
        <v>TARDE</v>
      </c>
      <c r="L415" s="10" t="str">
        <f ca="1">IFERROR(__xludf.dummyfunction("""COMPUTED_VALUE"""),"GOIÂNIA - GO")</f>
        <v>GOIÂNIA - GO</v>
      </c>
      <c r="M415" s="10">
        <f ca="1">IFERROR(__xludf.dummyfunction("""COMPUTED_VALUE"""),3)</f>
        <v>3</v>
      </c>
      <c r="N415" s="10" t="str">
        <f ca="1">IFERROR(__xludf.dummyfunction("""COMPUTED_VALUE"""),"DISPONÍVEL")</f>
        <v>DISPONÍVEL</v>
      </c>
      <c r="O415" s="12"/>
      <c r="P415" s="11"/>
      <c r="Q415" s="11"/>
      <c r="R415" s="11"/>
    </row>
    <row r="416" spans="1:18">
      <c r="A416" s="10">
        <f ca="1">IFERROR(__xludf.dummyfunction("""COMPUTED_VALUE"""),2)</f>
        <v>2</v>
      </c>
      <c r="B416" s="11" t="str">
        <f ca="1">IFERROR(__xludf.dummyfunction("""COMPUTED_VALUE"""),"DEBORAH JOYCE ALVES DA SILVA OLIVEIRA ")</f>
        <v xml:space="preserve">DEBORAH JOYCE ALVES DA SILVA OLIVEIRA </v>
      </c>
      <c r="C416" s="11"/>
      <c r="D416" s="11" t="str">
        <f ca="1">IFERROR(__xludf.dummyfunction("""COMPUTED_VALUE"""),"05043262109")</f>
        <v>05043262109</v>
      </c>
      <c r="E416" s="11" t="str">
        <f ca="1">IFERROR(__xludf.dummyfunction("""COMPUTED_VALUE"""),"ESPACODIVAS25@GMAIL.COM")</f>
        <v>ESPACODIVAS25@GMAIL.COM</v>
      </c>
      <c r="F416" s="11" t="str">
        <f ca="1">IFERROR(__xludf.dummyfunction("""COMPUTED_VALUE"""),"(62) 94474879")</f>
        <v>(62) 94474879</v>
      </c>
      <c r="G416" s="11" t="str">
        <f ca="1">IFERROR(__xludf.dummyfunction("""COMPUTED_VALUE"""),"(62) 994474879")</f>
        <v>(62) 994474879</v>
      </c>
      <c r="H416" s="11" t="str">
        <f ca="1">IFERROR(__xludf.dummyfunction("""COMPUTED_VALUE"""),"SUPERIOR")</f>
        <v>SUPERIOR</v>
      </c>
      <c r="I416" s="10" t="str">
        <f ca="1">IFERROR(__xludf.dummyfunction("""COMPUTED_VALUE""")," GESTÃO DE RECURSOS HUMANOS")</f>
        <v xml:space="preserve"> GESTÃO DE RECURSOS HUMANOS</v>
      </c>
      <c r="J416" s="10" t="str">
        <f ca="1">IFERROR(__xludf.dummyfunction("""COMPUTED_VALUE"""),"NOITE")</f>
        <v>NOITE</v>
      </c>
      <c r="K416" s="10" t="str">
        <f ca="1">IFERROR(__xludf.dummyfunction("""COMPUTED_VALUE"""),"TARDE")</f>
        <v>TARDE</v>
      </c>
      <c r="L416" s="10" t="str">
        <f ca="1">IFERROR(__xludf.dummyfunction("""COMPUTED_VALUE"""),"GOIÂNIA - GO")</f>
        <v>GOIÂNIA - GO</v>
      </c>
      <c r="M416" s="10">
        <f ca="1">IFERROR(__xludf.dummyfunction("""COMPUTED_VALUE"""),2)</f>
        <v>2</v>
      </c>
      <c r="N416" s="10" t="str">
        <f ca="1">IFERROR(__xludf.dummyfunction("""COMPUTED_VALUE"""),"DISPONÍVEL")</f>
        <v>DISPONÍVEL</v>
      </c>
      <c r="O416" s="12"/>
      <c r="P416" s="11"/>
      <c r="Q416" s="11"/>
      <c r="R416" s="11"/>
    </row>
    <row r="417" spans="1:18">
      <c r="A417" s="10">
        <f ca="1">IFERROR(__xludf.dummyfunction("""COMPUTED_VALUE"""),3)</f>
        <v>3</v>
      </c>
      <c r="B417" s="11" t="str">
        <f ca="1">IFERROR(__xludf.dummyfunction("""COMPUTED_VALUE"""),"KADIMIEL SANTOS NOVAIS")</f>
        <v>KADIMIEL SANTOS NOVAIS</v>
      </c>
      <c r="C417" s="11"/>
      <c r="D417" s="11" t="str">
        <f ca="1">IFERROR(__xludf.dummyfunction("""COMPUTED_VALUE"""),"70045532133")</f>
        <v>70045532133</v>
      </c>
      <c r="E417" s="11" t="str">
        <f ca="1">IFERROR(__xludf.dummyfunction("""COMPUTED_VALUE"""),"KADIMIELSANTO@GMAIL.COM")</f>
        <v>KADIMIELSANTO@GMAIL.COM</v>
      </c>
      <c r="F417" s="11" t="str">
        <f ca="1">IFERROR(__xludf.dummyfunction("""COMPUTED_VALUE"""),"(62) 99270095")</f>
        <v>(62) 99270095</v>
      </c>
      <c r="G417" s="11" t="str">
        <f ca="1">IFERROR(__xludf.dummyfunction("""COMPUTED_VALUE"""),"(62) 992700957")</f>
        <v>(62) 992700957</v>
      </c>
      <c r="H417" s="11" t="str">
        <f ca="1">IFERROR(__xludf.dummyfunction("""COMPUTED_VALUE"""),"SUPERIOR")</f>
        <v>SUPERIOR</v>
      </c>
      <c r="I417" s="10" t="str">
        <f ca="1">IFERROR(__xludf.dummyfunction("""COMPUTED_VALUE""")," GESTÃO DE RECURSOS HUMANOS")</f>
        <v xml:space="preserve"> GESTÃO DE RECURSOS HUMANOS</v>
      </c>
      <c r="J417" s="10" t="str">
        <f ca="1">IFERROR(__xludf.dummyfunction("""COMPUTED_VALUE"""),"INTEGRAL")</f>
        <v>INTEGRAL</v>
      </c>
      <c r="K417" s="10" t="str">
        <f ca="1">IFERROR(__xludf.dummyfunction("""COMPUTED_VALUE"""),"TARDE")</f>
        <v>TARDE</v>
      </c>
      <c r="L417" s="10" t="str">
        <f ca="1">IFERROR(__xludf.dummyfunction("""COMPUTED_VALUE"""),"GOIÂNIA - GO")</f>
        <v>GOIÂNIA - GO</v>
      </c>
      <c r="M417" s="10">
        <f ca="1">IFERROR(__xludf.dummyfunction("""COMPUTED_VALUE"""),4)</f>
        <v>4</v>
      </c>
      <c r="N417" s="10" t="str">
        <f ca="1">IFERROR(__xludf.dummyfunction("""COMPUTED_VALUE"""),"DISPONÍVEL")</f>
        <v>DISPONÍVEL</v>
      </c>
      <c r="O417" s="12"/>
      <c r="P417" s="11"/>
      <c r="Q417" s="11"/>
      <c r="R417" s="11"/>
    </row>
    <row r="418" spans="1:18">
      <c r="A418" s="10">
        <f ca="1">IFERROR(__xludf.dummyfunction("""COMPUTED_VALUE"""),1)</f>
        <v>1</v>
      </c>
      <c r="B418" s="11" t="str">
        <f ca="1">IFERROR(__xludf.dummyfunction("""COMPUTED_VALUE"""),"PAULA SILVA PORFÍRIO")</f>
        <v>PAULA SILVA PORFÍRIO</v>
      </c>
      <c r="C418" s="11"/>
      <c r="D418" s="11" t="str">
        <f ca="1">IFERROR(__xludf.dummyfunction("""COMPUTED_VALUE"""),"03559680107")</f>
        <v>03559680107</v>
      </c>
      <c r="E418" s="11" t="str">
        <f ca="1">IFERROR(__xludf.dummyfunction("""COMPUTED_VALUE"""),"PAULAPORFIRIO076@GMAIL.COM")</f>
        <v>PAULAPORFIRIO076@GMAIL.COM</v>
      </c>
      <c r="F418" s="11"/>
      <c r="G418" s="11" t="str">
        <f ca="1">IFERROR(__xludf.dummyfunction("""COMPUTED_VALUE"""),"(62) 999968844")</f>
        <v>(62) 999968844</v>
      </c>
      <c r="H418" s="11" t="str">
        <f ca="1">IFERROR(__xludf.dummyfunction("""COMPUTED_VALUE"""),"SUPERIOR")</f>
        <v>SUPERIOR</v>
      </c>
      <c r="I418" s="10" t="str">
        <f ca="1">IFERROR(__xludf.dummyfunction("""COMPUTED_VALUE"""),"HISTÓRIA")</f>
        <v>HISTÓRIA</v>
      </c>
      <c r="J418" s="10" t="str">
        <f ca="1">IFERROR(__xludf.dummyfunction("""COMPUTED_VALUE"""),"VARIÁVEL")</f>
        <v>VARIÁVEL</v>
      </c>
      <c r="K418" s="10" t="str">
        <f ca="1">IFERROR(__xludf.dummyfunction("""COMPUTED_VALUE"""),"TARDE")</f>
        <v>TARDE</v>
      </c>
      <c r="L418" s="10" t="str">
        <f ca="1">IFERROR(__xludf.dummyfunction("""COMPUTED_VALUE"""),"GOIÂNIA - GO")</f>
        <v>GOIÂNIA - GO</v>
      </c>
      <c r="M418" s="10">
        <f ca="1">IFERROR(__xludf.dummyfunction("""COMPUTED_VALUE"""),8)</f>
        <v>8</v>
      </c>
      <c r="N418" s="10" t="str">
        <f ca="1">IFERROR(__xludf.dummyfunction("""COMPUTED_VALUE"""),"DISPONÍVEL")</f>
        <v>DISPONÍVEL</v>
      </c>
      <c r="O418" s="12"/>
      <c r="P418" s="11"/>
      <c r="Q418" s="11"/>
      <c r="R418" s="11"/>
    </row>
    <row r="419" spans="1:18">
      <c r="A419" s="10">
        <f ca="1">IFERROR(__xludf.dummyfunction("""COMPUTED_VALUE"""),1)</f>
        <v>1</v>
      </c>
      <c r="B419" s="11" t="str">
        <f ca="1">IFERROR(__xludf.dummyfunction("""COMPUTED_VALUE"""),"JOÃO PEDRO GONÇALVES FERREIRA")</f>
        <v>JOÃO PEDRO GONÇALVES FERREIRA</v>
      </c>
      <c r="C419" s="11" t="str">
        <f ca="1">IFERROR(__xludf.dummyfunction("""COMPUTED_VALUE"""),"6656511")</f>
        <v>6656511</v>
      </c>
      <c r="D419" s="11" t="str">
        <f ca="1">IFERROR(__xludf.dummyfunction("""COMPUTED_VALUE"""),"70714898155")</f>
        <v>70714898155</v>
      </c>
      <c r="E419" s="11" t="str">
        <f ca="1">IFERROR(__xludf.dummyfunction("""COMPUTED_VALUE"""),"JG412284@GMAIL.COM")</f>
        <v>JG412284@GMAIL.COM</v>
      </c>
      <c r="F419" s="11" t="str">
        <f ca="1">IFERROR(__xludf.dummyfunction("""COMPUTED_VALUE"""),"(62) 98160329")</f>
        <v>(62) 98160329</v>
      </c>
      <c r="G419" s="11" t="str">
        <f ca="1">IFERROR(__xludf.dummyfunction("""COMPUTED_VALUE"""),"(62) 981603294")</f>
        <v>(62) 981603294</v>
      </c>
      <c r="H419" s="11" t="str">
        <f ca="1">IFERROR(__xludf.dummyfunction("""COMPUTED_VALUE"""),"SUPERIOR")</f>
        <v>SUPERIOR</v>
      </c>
      <c r="I419" s="10" t="str">
        <f ca="1">IFERROR(__xludf.dummyfunction("""COMPUTED_VALUE"""),"INFORMÁTICA")</f>
        <v>INFORMÁTICA</v>
      </c>
      <c r="J419" s="10" t="str">
        <f ca="1">IFERROR(__xludf.dummyfunction("""COMPUTED_VALUE"""),"MANHÃ")</f>
        <v>MANHÃ</v>
      </c>
      <c r="K419" s="10" t="str">
        <f ca="1">IFERROR(__xludf.dummyfunction("""COMPUTED_VALUE"""),"TARDE")</f>
        <v>TARDE</v>
      </c>
      <c r="L419" s="10" t="str">
        <f ca="1">IFERROR(__xludf.dummyfunction("""COMPUTED_VALUE"""),"GOIÂNIA - GO")</f>
        <v>GOIÂNIA - GO</v>
      </c>
      <c r="M419" s="10">
        <f ca="1">IFERROR(__xludf.dummyfunction("""COMPUTED_VALUE"""),4)</f>
        <v>4</v>
      </c>
      <c r="N419" s="10" t="str">
        <f ca="1">IFERROR(__xludf.dummyfunction("""COMPUTED_VALUE"""),"CONTRATADO")</f>
        <v>CONTRATADO</v>
      </c>
      <c r="O419" s="12"/>
      <c r="P419" s="11"/>
      <c r="Q419" s="11"/>
      <c r="R419" s="11"/>
    </row>
    <row r="420" spans="1:18">
      <c r="A420" s="10">
        <f ca="1">IFERROR(__xludf.dummyfunction("""COMPUTED_VALUE"""),2)</f>
        <v>2</v>
      </c>
      <c r="B420" s="11" t="str">
        <f ca="1">IFERROR(__xludf.dummyfunction("""COMPUTED_VALUE"""),"CHRISTIAN MATHEUS")</f>
        <v>CHRISTIAN MATHEUS</v>
      </c>
      <c r="C420" s="11"/>
      <c r="D420" s="11" t="str">
        <f ca="1">IFERROR(__xludf.dummyfunction("""COMPUTED_VALUE"""),"03196630196")</f>
        <v>03196630196</v>
      </c>
      <c r="E420" s="11" t="str">
        <f ca="1">IFERROR(__xludf.dummyfunction("""COMPUTED_VALUE"""),"CHRISTIAN_MPMS@HOTMAIL.COM")</f>
        <v>CHRISTIAN_MPMS@HOTMAIL.COM</v>
      </c>
      <c r="F420" s="11"/>
      <c r="G420" s="11" t="str">
        <f ca="1">IFERROR(__xludf.dummyfunction("""COMPUTED_VALUE"""),"(62) 999830610")</f>
        <v>(62) 999830610</v>
      </c>
      <c r="H420" s="11" t="str">
        <f ca="1">IFERROR(__xludf.dummyfunction("""COMPUTED_VALUE"""),"SUPERIOR")</f>
        <v>SUPERIOR</v>
      </c>
      <c r="I420" s="10" t="str">
        <f ca="1">IFERROR(__xludf.dummyfunction("""COMPUTED_VALUE"""),"INFORMÁTICA")</f>
        <v>INFORMÁTICA</v>
      </c>
      <c r="J420" s="10" t="str">
        <f ca="1">IFERROR(__xludf.dummyfunction("""COMPUTED_VALUE"""),"NOITE")</f>
        <v>NOITE</v>
      </c>
      <c r="K420" s="10" t="str">
        <f ca="1">IFERROR(__xludf.dummyfunction("""COMPUTED_VALUE"""),"TARDE")</f>
        <v>TARDE</v>
      </c>
      <c r="L420" s="10" t="str">
        <f ca="1">IFERROR(__xludf.dummyfunction("""COMPUTED_VALUE"""),"GOIÂNIA - GO")</f>
        <v>GOIÂNIA - GO</v>
      </c>
      <c r="M420" s="10">
        <f ca="1">IFERROR(__xludf.dummyfunction("""COMPUTED_VALUE"""),3)</f>
        <v>3</v>
      </c>
      <c r="N420" s="10" t="str">
        <f ca="1">IFERROR(__xludf.dummyfunction("""COMPUTED_VALUE"""),"DISPONÍVEL")</f>
        <v>DISPONÍVEL</v>
      </c>
      <c r="O420" s="12"/>
      <c r="P420" s="11"/>
      <c r="Q420" s="11"/>
      <c r="R420" s="11"/>
    </row>
    <row r="421" spans="1:18">
      <c r="A421" s="10">
        <f ca="1">IFERROR(__xludf.dummyfunction("""COMPUTED_VALUE"""),3)</f>
        <v>3</v>
      </c>
      <c r="B421" s="11" t="str">
        <f ca="1">IFERROR(__xludf.dummyfunction("""COMPUTED_VALUE"""),"AMANDA ALMEIDA DOS SANTOS")</f>
        <v>AMANDA ALMEIDA DOS SANTOS</v>
      </c>
      <c r="C421" s="11" t="str">
        <f ca="1">IFERROR(__xludf.dummyfunction("""COMPUTED_VALUE"""),"1227358")</f>
        <v>1227358</v>
      </c>
      <c r="D421" s="11" t="str">
        <f ca="1">IFERROR(__xludf.dummyfunction("""COMPUTED_VALUE"""),"04751115162")</f>
        <v>04751115162</v>
      </c>
      <c r="E421" s="11" t="str">
        <f ca="1">IFERROR(__xludf.dummyfunction("""COMPUTED_VALUE"""),"AA.SANTOSCONTATO@GMAIL.COM")</f>
        <v>AA.SANTOSCONTATO@GMAIL.COM</v>
      </c>
      <c r="F421" s="11"/>
      <c r="G421" s="11" t="str">
        <f ca="1">IFERROR(__xludf.dummyfunction("""COMPUTED_VALUE"""),"(62) 991122425")</f>
        <v>(62) 991122425</v>
      </c>
      <c r="H421" s="11" t="str">
        <f ca="1">IFERROR(__xludf.dummyfunction("""COMPUTED_VALUE"""),"SUPERIOR")</f>
        <v>SUPERIOR</v>
      </c>
      <c r="I421" s="10" t="str">
        <f ca="1">IFERROR(__xludf.dummyfunction("""COMPUTED_VALUE"""),"INFORMÁTICA")</f>
        <v>INFORMÁTICA</v>
      </c>
      <c r="J421" s="10" t="str">
        <f ca="1">IFERROR(__xludf.dummyfunction("""COMPUTED_VALUE"""),"NOITE")</f>
        <v>NOITE</v>
      </c>
      <c r="K421" s="10" t="str">
        <f ca="1">IFERROR(__xludf.dummyfunction("""COMPUTED_VALUE"""),"TARDE")</f>
        <v>TARDE</v>
      </c>
      <c r="L421" s="10" t="str">
        <f ca="1">IFERROR(__xludf.dummyfunction("""COMPUTED_VALUE"""),"GOIÂNIA - GO")</f>
        <v>GOIÂNIA - GO</v>
      </c>
      <c r="M421" s="10">
        <f ca="1">IFERROR(__xludf.dummyfunction("""COMPUTED_VALUE"""),3)</f>
        <v>3</v>
      </c>
      <c r="N421" s="10" t="str">
        <f ca="1">IFERROR(__xludf.dummyfunction("""COMPUTED_VALUE"""),"DISPONÍVEL")</f>
        <v>DISPONÍVEL</v>
      </c>
      <c r="O421" s="12"/>
      <c r="P421" s="11"/>
      <c r="Q421" s="11"/>
      <c r="R421" s="11"/>
    </row>
    <row r="422" spans="1:18">
      <c r="A422" s="10">
        <f ca="1">IFERROR(__xludf.dummyfunction("""COMPUTED_VALUE"""),4)</f>
        <v>4</v>
      </c>
      <c r="B422" s="11" t="str">
        <f ca="1">IFERROR(__xludf.dummyfunction("""COMPUTED_VALUE"""),"PHILIPPE AUGUSTO MONTEIRO SILVA")</f>
        <v>PHILIPPE AUGUSTO MONTEIRO SILVA</v>
      </c>
      <c r="C422" s="11" t="str">
        <f ca="1">IFERROR(__xludf.dummyfunction("""COMPUTED_VALUE"""),"7535889")</f>
        <v>7535889</v>
      </c>
      <c r="D422" s="11" t="str">
        <f ca="1">IFERROR(__xludf.dummyfunction("""COMPUTED_VALUE"""),"70443135150")</f>
        <v>70443135150</v>
      </c>
      <c r="E422" s="11" t="str">
        <f ca="1">IFERROR(__xludf.dummyfunction("""COMPUTED_VALUE"""),"GYN.PHILIPPE@GMAIL.COM")</f>
        <v>GYN.PHILIPPE@GMAIL.COM</v>
      </c>
      <c r="F422" s="11"/>
      <c r="G422" s="11" t="str">
        <f ca="1">IFERROR(__xludf.dummyfunction("""COMPUTED_VALUE"""),"(62) 985131854")</f>
        <v>(62) 985131854</v>
      </c>
      <c r="H422" s="11" t="str">
        <f ca="1">IFERROR(__xludf.dummyfunction("""COMPUTED_VALUE"""),"SUPERIOR")</f>
        <v>SUPERIOR</v>
      </c>
      <c r="I422" s="10" t="str">
        <f ca="1">IFERROR(__xludf.dummyfunction("""COMPUTED_VALUE"""),"INFORMÁTICA")</f>
        <v>INFORMÁTICA</v>
      </c>
      <c r="J422" s="10" t="str">
        <f ca="1">IFERROR(__xludf.dummyfunction("""COMPUTED_VALUE"""),"NOITE")</f>
        <v>NOITE</v>
      </c>
      <c r="K422" s="10" t="str">
        <f ca="1">IFERROR(__xludf.dummyfunction("""COMPUTED_VALUE"""),"TARDE")</f>
        <v>TARDE</v>
      </c>
      <c r="L422" s="10" t="str">
        <f ca="1">IFERROR(__xludf.dummyfunction("""COMPUTED_VALUE"""),"GOIÂNIA - GO")</f>
        <v>GOIÂNIA - GO</v>
      </c>
      <c r="M422" s="10">
        <f ca="1">IFERROR(__xludf.dummyfunction("""COMPUTED_VALUE"""),3)</f>
        <v>3</v>
      </c>
      <c r="N422" s="10" t="str">
        <f ca="1">IFERROR(__xludf.dummyfunction("""COMPUTED_VALUE"""),"DISPONÍVEL")</f>
        <v>DISPONÍVEL</v>
      </c>
      <c r="O422" s="12"/>
      <c r="P422" s="11"/>
      <c r="Q422" s="11"/>
      <c r="R422" s="11"/>
    </row>
    <row r="423" spans="1:18">
      <c r="A423" s="10">
        <f ca="1">IFERROR(__xludf.dummyfunction("""COMPUTED_VALUE"""),5)</f>
        <v>5</v>
      </c>
      <c r="B423" s="11" t="str">
        <f ca="1">IFERROR(__xludf.dummyfunction("""COMPUTED_VALUE"""),"KARISMA SOUSA ALVES")</f>
        <v>KARISMA SOUSA ALVES</v>
      </c>
      <c r="C423" s="11" t="str">
        <f ca="1">IFERROR(__xludf.dummyfunction("""COMPUTED_VALUE"""),"8120557")</f>
        <v>8120557</v>
      </c>
      <c r="D423" s="11" t="str">
        <f ca="1">IFERROR(__xludf.dummyfunction("""COMPUTED_VALUE"""),"01944153250")</f>
        <v>01944153250</v>
      </c>
      <c r="E423" s="11" t="str">
        <f ca="1">IFERROR(__xludf.dummyfunction("""COMPUTED_VALUE"""),"SOUSAKARISMA@GMAIL.COM")</f>
        <v>SOUSAKARISMA@GMAIL.COM</v>
      </c>
      <c r="F423" s="11" t="str">
        <f ca="1">IFERROR(__xludf.dummyfunction("""COMPUTED_VALUE"""),"(62) 83224176")</f>
        <v>(62) 83224176</v>
      </c>
      <c r="G423" s="11" t="str">
        <f ca="1">IFERROR(__xludf.dummyfunction("""COMPUTED_VALUE"""),"(62) 983224176")</f>
        <v>(62) 983224176</v>
      </c>
      <c r="H423" s="11" t="str">
        <f ca="1">IFERROR(__xludf.dummyfunction("""COMPUTED_VALUE"""),"SUPERIOR")</f>
        <v>SUPERIOR</v>
      </c>
      <c r="I423" s="10" t="str">
        <f ca="1">IFERROR(__xludf.dummyfunction("""COMPUTED_VALUE"""),"INFORMÁTICA")</f>
        <v>INFORMÁTICA</v>
      </c>
      <c r="J423" s="10" t="str">
        <f ca="1">IFERROR(__xludf.dummyfunction("""COMPUTED_VALUE"""),"VARIÁVEL")</f>
        <v>VARIÁVEL</v>
      </c>
      <c r="K423" s="10" t="str">
        <f ca="1">IFERROR(__xludf.dummyfunction("""COMPUTED_VALUE"""),"TARDE")</f>
        <v>TARDE</v>
      </c>
      <c r="L423" s="10" t="str">
        <f ca="1">IFERROR(__xludf.dummyfunction("""COMPUTED_VALUE"""),"GOIÂNIA - GO")</f>
        <v>GOIÂNIA - GO</v>
      </c>
      <c r="M423" s="10">
        <f ca="1">IFERROR(__xludf.dummyfunction("""COMPUTED_VALUE"""),3)</f>
        <v>3</v>
      </c>
      <c r="N423" s="10" t="str">
        <f ca="1">IFERROR(__xludf.dummyfunction("""COMPUTED_VALUE"""),"DESCLASSIFICADO")</f>
        <v>DESCLASSIFICADO</v>
      </c>
      <c r="O423" s="12"/>
      <c r="P423" s="11"/>
      <c r="Q423" s="11"/>
      <c r="R423" s="11"/>
    </row>
    <row r="424" spans="1:18">
      <c r="A424" s="10">
        <f ca="1">IFERROR(__xludf.dummyfunction("""COMPUTED_VALUE"""),6)</f>
        <v>6</v>
      </c>
      <c r="B424" s="11" t="str">
        <f ca="1">IFERROR(__xludf.dummyfunction("""COMPUTED_VALUE"""),"CAIO GOMES DA MOTTA")</f>
        <v>CAIO GOMES DA MOTTA</v>
      </c>
      <c r="C424" s="11"/>
      <c r="D424" s="11" t="str">
        <f ca="1">IFERROR(__xludf.dummyfunction("""COMPUTED_VALUE"""),"70014340194")</f>
        <v>70014340194</v>
      </c>
      <c r="E424" s="11" t="str">
        <f ca="1">IFERROR(__xludf.dummyfunction("""COMPUTED_VALUE"""),"CAIOMOTTA007@GMAIL.COM")</f>
        <v>CAIOMOTTA007@GMAIL.COM</v>
      </c>
      <c r="F424" s="11"/>
      <c r="G424" s="11" t="str">
        <f ca="1">IFERROR(__xludf.dummyfunction("""COMPUTED_VALUE"""),"(62) 998323362")</f>
        <v>(62) 998323362</v>
      </c>
      <c r="H424" s="11" t="str">
        <f ca="1">IFERROR(__xludf.dummyfunction("""COMPUTED_VALUE"""),"SUPERIOR")</f>
        <v>SUPERIOR</v>
      </c>
      <c r="I424" s="10" t="str">
        <f ca="1">IFERROR(__xludf.dummyfunction("""COMPUTED_VALUE"""),"INFORMÁTICA")</f>
        <v>INFORMÁTICA</v>
      </c>
      <c r="J424" s="10" t="str">
        <f ca="1">IFERROR(__xludf.dummyfunction("""COMPUTED_VALUE"""),"NOITE")</f>
        <v>NOITE</v>
      </c>
      <c r="K424" s="10" t="str">
        <f ca="1">IFERROR(__xludf.dummyfunction("""COMPUTED_VALUE"""),"TARDE")</f>
        <v>TARDE</v>
      </c>
      <c r="L424" s="10" t="str">
        <f ca="1">IFERROR(__xludf.dummyfunction("""COMPUTED_VALUE"""),"GOIÂNIA - GO")</f>
        <v>GOIÂNIA - GO</v>
      </c>
      <c r="M424" s="10">
        <f ca="1">IFERROR(__xludf.dummyfunction("""COMPUTED_VALUE"""),4)</f>
        <v>4</v>
      </c>
      <c r="N424" s="10" t="str">
        <f ca="1">IFERROR(__xludf.dummyfunction("""COMPUTED_VALUE"""),"DISPONÍVEL")</f>
        <v>DISPONÍVEL</v>
      </c>
      <c r="O424" s="12"/>
      <c r="P424" s="11"/>
      <c r="Q424" s="11"/>
      <c r="R424" s="11"/>
    </row>
    <row r="425" spans="1:18">
      <c r="A425" s="10">
        <f ca="1">IFERROR(__xludf.dummyfunction("""COMPUTED_VALUE"""),7)</f>
        <v>7</v>
      </c>
      <c r="B425" s="11" t="str">
        <f ca="1">IFERROR(__xludf.dummyfunction("""COMPUTED_VALUE"""),"MARYANA MIGUEL GOMES")</f>
        <v>MARYANA MIGUEL GOMES</v>
      </c>
      <c r="C425" s="11"/>
      <c r="D425" s="11" t="str">
        <f ca="1">IFERROR(__xludf.dummyfunction("""COMPUTED_VALUE"""),"70096150122")</f>
        <v>70096150122</v>
      </c>
      <c r="E425" s="11" t="str">
        <f ca="1">IFERROR(__xludf.dummyfunction("""COMPUTED_VALUE"""),"MARYANAMIGUEL79@GMAIL.COM")</f>
        <v>MARYANAMIGUEL79@GMAIL.COM</v>
      </c>
      <c r="F425" s="11" t="str">
        <f ca="1">IFERROR(__xludf.dummyfunction("""COMPUTED_VALUE"""),"(62) 30927049")</f>
        <v>(62) 30927049</v>
      </c>
      <c r="G425" s="11" t="str">
        <f ca="1">IFERROR(__xludf.dummyfunction("""COMPUTED_VALUE"""),"(62) 994310201")</f>
        <v>(62) 994310201</v>
      </c>
      <c r="H425" s="11" t="str">
        <f ca="1">IFERROR(__xludf.dummyfunction("""COMPUTED_VALUE"""),"SUPERIOR")</f>
        <v>SUPERIOR</v>
      </c>
      <c r="I425" s="10" t="str">
        <f ca="1">IFERROR(__xludf.dummyfunction("""COMPUTED_VALUE"""),"INFORMÁTICA")</f>
        <v>INFORMÁTICA</v>
      </c>
      <c r="J425" s="10" t="str">
        <f ca="1">IFERROR(__xludf.dummyfunction("""COMPUTED_VALUE"""),"VARIÁVEL")</f>
        <v>VARIÁVEL</v>
      </c>
      <c r="K425" s="10" t="str">
        <f ca="1">IFERROR(__xludf.dummyfunction("""COMPUTED_VALUE"""),"TARDE")</f>
        <v>TARDE</v>
      </c>
      <c r="L425" s="10" t="str">
        <f ca="1">IFERROR(__xludf.dummyfunction("""COMPUTED_VALUE"""),"GOIÂNIA - GO")</f>
        <v>GOIÂNIA - GO</v>
      </c>
      <c r="M425" s="10">
        <f ca="1">IFERROR(__xludf.dummyfunction("""COMPUTED_VALUE"""),5)</f>
        <v>5</v>
      </c>
      <c r="N425" s="10" t="str">
        <f ca="1">IFERROR(__xludf.dummyfunction("""COMPUTED_VALUE"""),"DISPONÍVEL")</f>
        <v>DISPONÍVEL</v>
      </c>
      <c r="O425" s="12"/>
      <c r="P425" s="11"/>
      <c r="Q425" s="11"/>
      <c r="R425" s="11"/>
    </row>
    <row r="426" spans="1:18">
      <c r="A426" s="10">
        <f ca="1">IFERROR(__xludf.dummyfunction("""COMPUTED_VALUE"""),8)</f>
        <v>8</v>
      </c>
      <c r="B426" s="11" t="str">
        <f ca="1">IFERROR(__xludf.dummyfunction("""COMPUTED_VALUE"""),"MARIA FERNANDA PEIXOTO DE CASTRO")</f>
        <v>MARIA FERNANDA PEIXOTO DE CASTRO</v>
      </c>
      <c r="C426" s="11"/>
      <c r="D426" s="11" t="str">
        <f ca="1">IFERROR(__xludf.dummyfunction("""COMPUTED_VALUE"""),"70173266100")</f>
        <v>70173266100</v>
      </c>
      <c r="E426" s="11" t="str">
        <f ca="1">IFERROR(__xludf.dummyfunction("""COMPUTED_VALUE"""),"MF.PEIXOTO74@GMAIL.COM")</f>
        <v>MF.PEIXOTO74@GMAIL.COM</v>
      </c>
      <c r="F426" s="11"/>
      <c r="G426" s="11" t="str">
        <f ca="1">IFERROR(__xludf.dummyfunction("""COMPUTED_VALUE"""),"(62) 982118455")</f>
        <v>(62) 982118455</v>
      </c>
      <c r="H426" s="11" t="str">
        <f ca="1">IFERROR(__xludf.dummyfunction("""COMPUTED_VALUE"""),"SUPERIOR")</f>
        <v>SUPERIOR</v>
      </c>
      <c r="I426" s="10" t="str">
        <f ca="1">IFERROR(__xludf.dummyfunction("""COMPUTED_VALUE"""),"INFORMÁTICA")</f>
        <v>INFORMÁTICA</v>
      </c>
      <c r="J426" s="10" t="str">
        <f ca="1">IFERROR(__xludf.dummyfunction("""COMPUTED_VALUE"""),"NOITE")</f>
        <v>NOITE</v>
      </c>
      <c r="K426" s="10" t="str">
        <f ca="1">IFERROR(__xludf.dummyfunction("""COMPUTED_VALUE"""),"TARDE")</f>
        <v>TARDE</v>
      </c>
      <c r="L426" s="10" t="str">
        <f ca="1">IFERROR(__xludf.dummyfunction("""COMPUTED_VALUE"""),"GOIÂNIA - GO")</f>
        <v>GOIÂNIA - GO</v>
      </c>
      <c r="M426" s="10">
        <f ca="1">IFERROR(__xludf.dummyfunction("""COMPUTED_VALUE"""),3)</f>
        <v>3</v>
      </c>
      <c r="N426" s="10" t="str">
        <f ca="1">IFERROR(__xludf.dummyfunction("""COMPUTED_VALUE"""),"DISPONÍVEL")</f>
        <v>DISPONÍVEL</v>
      </c>
      <c r="O426" s="12"/>
      <c r="P426" s="11"/>
      <c r="Q426" s="11"/>
      <c r="R426" s="11"/>
    </row>
    <row r="427" spans="1:18">
      <c r="A427" s="10">
        <f ca="1">IFERROR(__xludf.dummyfunction("""COMPUTED_VALUE"""),9)</f>
        <v>9</v>
      </c>
      <c r="B427" s="11" t="str">
        <f ca="1">IFERROR(__xludf.dummyfunction("""COMPUTED_VALUE"""),"IGOR PEREIRA LOBO")</f>
        <v>IGOR PEREIRA LOBO</v>
      </c>
      <c r="C427" s="11"/>
      <c r="D427" s="11" t="str">
        <f ca="1">IFERROR(__xludf.dummyfunction("""COMPUTED_VALUE"""),"03724309104")</f>
        <v>03724309104</v>
      </c>
      <c r="E427" s="11" t="str">
        <f ca="1">IFERROR(__xludf.dummyfunction("""COMPUTED_VALUE"""),"IGORPLOBO@GMAIL.COM")</f>
        <v>IGORPLOBO@GMAIL.COM</v>
      </c>
      <c r="F427" s="11" t="str">
        <f ca="1">IFERROR(__xludf.dummyfunction("""COMPUTED_VALUE"""),"(62) 98540885")</f>
        <v>(62) 98540885</v>
      </c>
      <c r="G427" s="11" t="str">
        <f ca="1">IFERROR(__xludf.dummyfunction("""COMPUTED_VALUE"""),"(62) 985408854")</f>
        <v>(62) 985408854</v>
      </c>
      <c r="H427" s="11" t="str">
        <f ca="1">IFERROR(__xludf.dummyfunction("""COMPUTED_VALUE"""),"SUPERIOR")</f>
        <v>SUPERIOR</v>
      </c>
      <c r="I427" s="10" t="str">
        <f ca="1">IFERROR(__xludf.dummyfunction("""COMPUTED_VALUE"""),"INFORMÁTICA")</f>
        <v>INFORMÁTICA</v>
      </c>
      <c r="J427" s="10" t="str">
        <f ca="1">IFERROR(__xludf.dummyfunction("""COMPUTED_VALUE"""),"NOITE")</f>
        <v>NOITE</v>
      </c>
      <c r="K427" s="10" t="str">
        <f ca="1">IFERROR(__xludf.dummyfunction("""COMPUTED_VALUE"""),"TARDE")</f>
        <v>TARDE</v>
      </c>
      <c r="L427" s="10" t="str">
        <f ca="1">IFERROR(__xludf.dummyfunction("""COMPUTED_VALUE"""),"GOIÂNIA - GO")</f>
        <v>GOIÂNIA - GO</v>
      </c>
      <c r="M427" s="10">
        <f ca="1">IFERROR(__xludf.dummyfunction("""COMPUTED_VALUE"""),3)</f>
        <v>3</v>
      </c>
      <c r="N427" s="10" t="str">
        <f ca="1">IFERROR(__xludf.dummyfunction("""COMPUTED_VALUE"""),"DISPONÍVEL")</f>
        <v>DISPONÍVEL</v>
      </c>
      <c r="O427" s="12"/>
      <c r="P427" s="11"/>
      <c r="Q427" s="11"/>
      <c r="R427" s="11"/>
    </row>
    <row r="428" spans="1:18">
      <c r="A428" s="10">
        <f ca="1">IFERROR(__xludf.dummyfunction("""COMPUTED_VALUE"""),10)</f>
        <v>10</v>
      </c>
      <c r="B428" s="11" t="str">
        <f ca="1">IFERROR(__xludf.dummyfunction("""COMPUTED_VALUE"""),"MATEUS PERIS RIBEIRO")</f>
        <v>MATEUS PERIS RIBEIRO</v>
      </c>
      <c r="C428" s="11"/>
      <c r="D428" s="11" t="str">
        <f ca="1">IFERROR(__xludf.dummyfunction("""COMPUTED_VALUE"""),"04189924105")</f>
        <v>04189924105</v>
      </c>
      <c r="E428" s="11" t="str">
        <f ca="1">IFERROR(__xludf.dummyfunction("""COMPUTED_VALUE"""),"MATEUSPR03@GMAIL.COM")</f>
        <v>MATEUSPR03@GMAIL.COM</v>
      </c>
      <c r="F428" s="11"/>
      <c r="G428" s="11" t="str">
        <f ca="1">IFERROR(__xludf.dummyfunction("""COMPUTED_VALUE"""),"(62) 992588787")</f>
        <v>(62) 992588787</v>
      </c>
      <c r="H428" s="11" t="str">
        <f ca="1">IFERROR(__xludf.dummyfunction("""COMPUTED_VALUE"""),"SUPERIOR")</f>
        <v>SUPERIOR</v>
      </c>
      <c r="I428" s="10" t="str">
        <f ca="1">IFERROR(__xludf.dummyfunction("""COMPUTED_VALUE"""),"INFORMÁTICA")</f>
        <v>INFORMÁTICA</v>
      </c>
      <c r="J428" s="10" t="str">
        <f ca="1">IFERROR(__xludf.dummyfunction("""COMPUTED_VALUE"""),"MANHÃ")</f>
        <v>MANHÃ</v>
      </c>
      <c r="K428" s="10" t="str">
        <f ca="1">IFERROR(__xludf.dummyfunction("""COMPUTED_VALUE"""),"TARDE")</f>
        <v>TARDE</v>
      </c>
      <c r="L428" s="10" t="str">
        <f ca="1">IFERROR(__xludf.dummyfunction("""COMPUTED_VALUE"""),"GOIÂNIA - GO")</f>
        <v>GOIÂNIA - GO</v>
      </c>
      <c r="M428" s="10">
        <f ca="1">IFERROR(__xludf.dummyfunction("""COMPUTED_VALUE"""),4)</f>
        <v>4</v>
      </c>
      <c r="N428" s="10" t="str">
        <f ca="1">IFERROR(__xludf.dummyfunction("""COMPUTED_VALUE"""),"DISPONÍVEL")</f>
        <v>DISPONÍVEL</v>
      </c>
      <c r="O428" s="12"/>
      <c r="P428" s="11"/>
      <c r="Q428" s="11"/>
      <c r="R428" s="11"/>
    </row>
    <row r="429" spans="1:18">
      <c r="A429" s="10">
        <f ca="1">IFERROR(__xludf.dummyfunction("""COMPUTED_VALUE"""),11)</f>
        <v>11</v>
      </c>
      <c r="B429" s="11" t="str">
        <f ca="1">IFERROR(__xludf.dummyfunction("""COMPUTED_VALUE"""),"JOÃO GABRIEL SOARES PEREIRA DA SILVA")</f>
        <v>JOÃO GABRIEL SOARES PEREIRA DA SILVA</v>
      </c>
      <c r="C429" s="11"/>
      <c r="D429" s="11" t="str">
        <f ca="1">IFERROR(__xludf.dummyfunction("""COMPUTED_VALUE"""),"06744432176")</f>
        <v>06744432176</v>
      </c>
      <c r="E429" s="11" t="str">
        <f ca="1">IFERROR(__xludf.dummyfunction("""COMPUTED_VALUE"""),"THHAGOYS@GMAIL.COM")</f>
        <v>THHAGOYS@GMAIL.COM</v>
      </c>
      <c r="F429" s="11" t="str">
        <f ca="1">IFERROR(__xludf.dummyfunction("""COMPUTED_VALUE"""),"(62) 32076582")</f>
        <v>(62) 32076582</v>
      </c>
      <c r="G429" s="11" t="str">
        <f ca="1">IFERROR(__xludf.dummyfunction("""COMPUTED_VALUE"""),"(62) 984922775")</f>
        <v>(62) 984922775</v>
      </c>
      <c r="H429" s="11" t="str">
        <f ca="1">IFERROR(__xludf.dummyfunction("""COMPUTED_VALUE"""),"SUPERIOR")</f>
        <v>SUPERIOR</v>
      </c>
      <c r="I429" s="10" t="str">
        <f ca="1">IFERROR(__xludf.dummyfunction("""COMPUTED_VALUE"""),"INFORMÁTICA")</f>
        <v>INFORMÁTICA</v>
      </c>
      <c r="J429" s="10" t="str">
        <f ca="1">IFERROR(__xludf.dummyfunction("""COMPUTED_VALUE"""),"MANHÃ")</f>
        <v>MANHÃ</v>
      </c>
      <c r="K429" s="10" t="str">
        <f ca="1">IFERROR(__xludf.dummyfunction("""COMPUTED_VALUE"""),"TARDE")</f>
        <v>TARDE</v>
      </c>
      <c r="L429" s="10" t="str">
        <f ca="1">IFERROR(__xludf.dummyfunction("""COMPUTED_VALUE"""),"GOIÂNIA - GO")</f>
        <v>GOIÂNIA - GO</v>
      </c>
      <c r="M429" s="10">
        <f ca="1">IFERROR(__xludf.dummyfunction("""COMPUTED_VALUE"""),4)</f>
        <v>4</v>
      </c>
      <c r="N429" s="10" t="str">
        <f ca="1">IFERROR(__xludf.dummyfunction("""COMPUTED_VALUE"""),"DISPONÍVEL")</f>
        <v>DISPONÍVEL</v>
      </c>
      <c r="O429" s="12"/>
      <c r="P429" s="11"/>
      <c r="Q429" s="11"/>
      <c r="R429" s="11"/>
    </row>
    <row r="430" spans="1:18">
      <c r="A430" s="10">
        <f ca="1">IFERROR(__xludf.dummyfunction("""COMPUTED_VALUE"""),12)</f>
        <v>12</v>
      </c>
      <c r="B430" s="11" t="str">
        <f ca="1">IFERROR(__xludf.dummyfunction("""COMPUTED_VALUE"""),"WELLINGTON FELIPE DE OLIVEIRA FILHO")</f>
        <v>WELLINGTON FELIPE DE OLIVEIRA FILHO</v>
      </c>
      <c r="C430" s="11"/>
      <c r="D430" s="11" t="str">
        <f ca="1">IFERROR(__xludf.dummyfunction("""COMPUTED_VALUE"""),"11045832162")</f>
        <v>11045832162</v>
      </c>
      <c r="E430" s="11" t="str">
        <f ca="1">IFERROR(__xludf.dummyfunction("""COMPUTED_VALUE"""),"WELL.FEFE@OUTLOOK.COM")</f>
        <v>WELL.FEFE@OUTLOOK.COM</v>
      </c>
      <c r="F430" s="11"/>
      <c r="G430" s="11" t="str">
        <f ca="1">IFERROR(__xludf.dummyfunction("""COMPUTED_VALUE"""),"(62) 998451642")</f>
        <v>(62) 998451642</v>
      </c>
      <c r="H430" s="11" t="str">
        <f ca="1">IFERROR(__xludf.dummyfunction("""COMPUTED_VALUE"""),"SUPERIOR")</f>
        <v>SUPERIOR</v>
      </c>
      <c r="I430" s="10" t="str">
        <f ca="1">IFERROR(__xludf.dummyfunction("""COMPUTED_VALUE"""),"INFORMÁTICA")</f>
        <v>INFORMÁTICA</v>
      </c>
      <c r="J430" s="10" t="str">
        <f ca="1">IFERROR(__xludf.dummyfunction("""COMPUTED_VALUE"""),"MANHÃ")</f>
        <v>MANHÃ</v>
      </c>
      <c r="K430" s="10" t="str">
        <f ca="1">IFERROR(__xludf.dummyfunction("""COMPUTED_VALUE"""),"TARDE")</f>
        <v>TARDE</v>
      </c>
      <c r="L430" s="10" t="str">
        <f ca="1">IFERROR(__xludf.dummyfunction("""COMPUTED_VALUE"""),"GOIÂNIA - GO")</f>
        <v>GOIÂNIA - GO</v>
      </c>
      <c r="M430" s="10">
        <f ca="1">IFERROR(__xludf.dummyfunction("""COMPUTED_VALUE"""),3)</f>
        <v>3</v>
      </c>
      <c r="N430" s="10" t="str">
        <f ca="1">IFERROR(__xludf.dummyfunction("""COMPUTED_VALUE"""),"DISPONÍVEL")</f>
        <v>DISPONÍVEL</v>
      </c>
      <c r="O430" s="12"/>
      <c r="P430" s="11"/>
      <c r="Q430" s="11"/>
      <c r="R430" s="11"/>
    </row>
    <row r="431" spans="1:18">
      <c r="A431" s="10">
        <f ca="1">IFERROR(__xludf.dummyfunction("""COMPUTED_VALUE"""),13)</f>
        <v>13</v>
      </c>
      <c r="B431" s="11" t="str">
        <f ca="1">IFERROR(__xludf.dummyfunction("""COMPUTED_VALUE"""),"LUIZA MARTINS DE FREITAS CINTRA")</f>
        <v>LUIZA MARTINS DE FREITAS CINTRA</v>
      </c>
      <c r="C431" s="11"/>
      <c r="D431" s="11" t="str">
        <f ca="1">IFERROR(__xludf.dummyfunction("""COMPUTED_VALUE"""),"07421327142")</f>
        <v>07421327142</v>
      </c>
      <c r="E431" s="11" t="str">
        <f ca="1">IFERROR(__xludf.dummyfunction("""COMPUTED_VALUE"""),"LMFCINTRA22@GMAIL.COM")</f>
        <v>LMFCINTRA22@GMAIL.COM</v>
      </c>
      <c r="F431" s="11"/>
      <c r="G431" s="11" t="str">
        <f ca="1">IFERROR(__xludf.dummyfunction("""COMPUTED_VALUE"""),"(62) 991086402")</f>
        <v>(62) 991086402</v>
      </c>
      <c r="H431" s="11" t="str">
        <f ca="1">IFERROR(__xludf.dummyfunction("""COMPUTED_VALUE"""),"SUPERIOR")</f>
        <v>SUPERIOR</v>
      </c>
      <c r="I431" s="10" t="str">
        <f ca="1">IFERROR(__xludf.dummyfunction("""COMPUTED_VALUE"""),"INFORMÁTICA")</f>
        <v>INFORMÁTICA</v>
      </c>
      <c r="J431" s="10" t="str">
        <f ca="1">IFERROR(__xludf.dummyfunction("""COMPUTED_VALUE"""),"NOITE")</f>
        <v>NOITE</v>
      </c>
      <c r="K431" s="10" t="str">
        <f ca="1">IFERROR(__xludf.dummyfunction("""COMPUTED_VALUE"""),"TARDE")</f>
        <v>TARDE</v>
      </c>
      <c r="L431" s="10" t="str">
        <f ca="1">IFERROR(__xludf.dummyfunction("""COMPUTED_VALUE"""),"GOIÂNIA - GO")</f>
        <v>GOIÂNIA - GO</v>
      </c>
      <c r="M431" s="10">
        <f ca="1">IFERROR(__xludf.dummyfunction("""COMPUTED_VALUE"""),3)</f>
        <v>3</v>
      </c>
      <c r="N431" s="10" t="str">
        <f ca="1">IFERROR(__xludf.dummyfunction("""COMPUTED_VALUE"""),"DISPONÍVEL")</f>
        <v>DISPONÍVEL</v>
      </c>
      <c r="O431" s="12"/>
      <c r="P431" s="11"/>
      <c r="Q431" s="11"/>
      <c r="R431" s="11"/>
    </row>
    <row r="432" spans="1:18">
      <c r="A432" s="10">
        <f ca="1">IFERROR(__xludf.dummyfunction("""COMPUTED_VALUE"""),14)</f>
        <v>14</v>
      </c>
      <c r="B432" s="11" t="str">
        <f ca="1">IFERROR(__xludf.dummyfunction("""COMPUTED_VALUE"""),"LUCAS DE PAULA CARVALHO MEDOLLA")</f>
        <v>LUCAS DE PAULA CARVALHO MEDOLLA</v>
      </c>
      <c r="C432" s="11"/>
      <c r="D432" s="11" t="str">
        <f ca="1">IFERROR(__xludf.dummyfunction("""COMPUTED_VALUE"""),"70478645120")</f>
        <v>70478645120</v>
      </c>
      <c r="E432" s="11" t="str">
        <f ca="1">IFERROR(__xludf.dummyfunction("""COMPUTED_VALUE"""),"LLUCASMEDOLLA@GMAIL.COM")</f>
        <v>LLUCASMEDOLLA@GMAIL.COM</v>
      </c>
      <c r="F432" s="11" t="str">
        <f ca="1">IFERROR(__xludf.dummyfunction("""COMPUTED_VALUE"""),"(62) 98499237")</f>
        <v>(62) 98499237</v>
      </c>
      <c r="G432" s="11" t="str">
        <f ca="1">IFERROR(__xludf.dummyfunction("""COMPUTED_VALUE"""),"(62) 984992379")</f>
        <v>(62) 984992379</v>
      </c>
      <c r="H432" s="11" t="str">
        <f ca="1">IFERROR(__xludf.dummyfunction("""COMPUTED_VALUE"""),"SUPERIOR")</f>
        <v>SUPERIOR</v>
      </c>
      <c r="I432" s="10" t="str">
        <f ca="1">IFERROR(__xludf.dummyfunction("""COMPUTED_VALUE"""),"INFORMÁTICA")</f>
        <v>INFORMÁTICA</v>
      </c>
      <c r="J432" s="10" t="str">
        <f ca="1">IFERROR(__xludf.dummyfunction("""COMPUTED_VALUE"""),"MANHÃ")</f>
        <v>MANHÃ</v>
      </c>
      <c r="K432" s="10" t="str">
        <f ca="1">IFERROR(__xludf.dummyfunction("""COMPUTED_VALUE"""),"TARDE")</f>
        <v>TARDE</v>
      </c>
      <c r="L432" s="10" t="str">
        <f ca="1">IFERROR(__xludf.dummyfunction("""COMPUTED_VALUE"""),"GOIÂNIA - GO")</f>
        <v>GOIÂNIA - GO</v>
      </c>
      <c r="M432" s="10">
        <f ca="1">IFERROR(__xludf.dummyfunction("""COMPUTED_VALUE"""),3)</f>
        <v>3</v>
      </c>
      <c r="N432" s="10" t="str">
        <f ca="1">IFERROR(__xludf.dummyfunction("""COMPUTED_VALUE"""),"DISPONÍVEL")</f>
        <v>DISPONÍVEL</v>
      </c>
      <c r="O432" s="12"/>
      <c r="P432" s="11"/>
      <c r="Q432" s="11"/>
      <c r="R432" s="11"/>
    </row>
    <row r="433" spans="1:18">
      <c r="A433" s="10">
        <f ca="1">IFERROR(__xludf.dummyfunction("""COMPUTED_VALUE"""),15)</f>
        <v>15</v>
      </c>
      <c r="B433" s="11" t="str">
        <f ca="1">IFERROR(__xludf.dummyfunction("""COMPUTED_VALUE"""),"ALEXANDRE MIRANDA FILHO")</f>
        <v>ALEXANDRE MIRANDA FILHO</v>
      </c>
      <c r="C433" s="11" t="str">
        <f ca="1">IFERROR(__xludf.dummyfunction("""COMPUTED_VALUE"""),"6803743")</f>
        <v>6803743</v>
      </c>
      <c r="D433" s="11" t="str">
        <f ca="1">IFERROR(__xludf.dummyfunction("""COMPUTED_VALUE"""),"07245141126")</f>
        <v>07245141126</v>
      </c>
      <c r="E433" s="11" t="str">
        <f ca="1">IFERROR(__xludf.dummyfunction("""COMPUTED_VALUE"""),"ALEXANDREMFILHO2003@HOTMAIL.COM")</f>
        <v>ALEXANDREMFILHO2003@HOTMAIL.COM</v>
      </c>
      <c r="F433" s="11" t="str">
        <f ca="1">IFERROR(__xludf.dummyfunction("""COMPUTED_VALUE"""),"(62) 32828784")</f>
        <v>(62) 32828784</v>
      </c>
      <c r="G433" s="11" t="str">
        <f ca="1">IFERROR(__xludf.dummyfunction("""COMPUTED_VALUE"""),"(62) 986422429")</f>
        <v>(62) 986422429</v>
      </c>
      <c r="H433" s="11" t="str">
        <f ca="1">IFERROR(__xludf.dummyfunction("""COMPUTED_VALUE"""),"SUPERIOR")</f>
        <v>SUPERIOR</v>
      </c>
      <c r="I433" s="10" t="str">
        <f ca="1">IFERROR(__xludf.dummyfunction("""COMPUTED_VALUE"""),"INFORMÁTICA")</f>
        <v>INFORMÁTICA</v>
      </c>
      <c r="J433" s="10" t="str">
        <f ca="1">IFERROR(__xludf.dummyfunction("""COMPUTED_VALUE"""),"MANHÃ")</f>
        <v>MANHÃ</v>
      </c>
      <c r="K433" s="10" t="str">
        <f ca="1">IFERROR(__xludf.dummyfunction("""COMPUTED_VALUE"""),"TARDE")</f>
        <v>TARDE</v>
      </c>
      <c r="L433" s="10" t="str">
        <f ca="1">IFERROR(__xludf.dummyfunction("""COMPUTED_VALUE"""),"GOIÂNIA - GO")</f>
        <v>GOIÂNIA - GO</v>
      </c>
      <c r="M433" s="10">
        <f ca="1">IFERROR(__xludf.dummyfunction("""COMPUTED_VALUE"""),3)</f>
        <v>3</v>
      </c>
      <c r="N433" s="10" t="str">
        <f ca="1">IFERROR(__xludf.dummyfunction("""COMPUTED_VALUE"""),"DISPONÍVEL")</f>
        <v>DISPONÍVEL</v>
      </c>
      <c r="O433" s="12"/>
      <c r="P433" s="11"/>
      <c r="Q433" s="11"/>
      <c r="R433" s="11"/>
    </row>
    <row r="434" spans="1:18">
      <c r="A434" s="10">
        <f ca="1">IFERROR(__xludf.dummyfunction("""COMPUTED_VALUE"""),16)</f>
        <v>16</v>
      </c>
      <c r="B434" s="11" t="str">
        <f ca="1">IFERROR(__xludf.dummyfunction("""COMPUTED_VALUE"""),"LUCAS ALMEIDA DE JESUS")</f>
        <v>LUCAS ALMEIDA DE JESUS</v>
      </c>
      <c r="C434" s="11" t="str">
        <f ca="1">IFERROR(__xludf.dummyfunction("""COMPUTED_VALUE"""),"7001429")</f>
        <v>7001429</v>
      </c>
      <c r="D434" s="11" t="str">
        <f ca="1">IFERROR(__xludf.dummyfunction("""COMPUTED_VALUE"""),"04362562150")</f>
        <v>04362562150</v>
      </c>
      <c r="E434" s="11" t="str">
        <f ca="1">IFERROR(__xludf.dummyfunction("""COMPUTED_VALUE"""),"LUSKA.ALMEIDA@OUTLOOK.COM")</f>
        <v>LUSKA.ALMEIDA@OUTLOOK.COM</v>
      </c>
      <c r="F434" s="11"/>
      <c r="G434" s="11" t="str">
        <f ca="1">IFERROR(__xludf.dummyfunction("""COMPUTED_VALUE"""),"(62) 981331882")</f>
        <v>(62) 981331882</v>
      </c>
      <c r="H434" s="11" t="str">
        <f ca="1">IFERROR(__xludf.dummyfunction("""COMPUTED_VALUE"""),"SUPERIOR")</f>
        <v>SUPERIOR</v>
      </c>
      <c r="I434" s="10" t="str">
        <f ca="1">IFERROR(__xludf.dummyfunction("""COMPUTED_VALUE"""),"INFORMÁTICA")</f>
        <v>INFORMÁTICA</v>
      </c>
      <c r="J434" s="10" t="str">
        <f ca="1">IFERROR(__xludf.dummyfunction("""COMPUTED_VALUE"""),"VARIÁVEL")</f>
        <v>VARIÁVEL</v>
      </c>
      <c r="K434" s="10" t="str">
        <f ca="1">IFERROR(__xludf.dummyfunction("""COMPUTED_VALUE"""),"TARDE")</f>
        <v>TARDE</v>
      </c>
      <c r="L434" s="10" t="str">
        <f ca="1">IFERROR(__xludf.dummyfunction("""COMPUTED_VALUE"""),"GOIÂNIA - GO")</f>
        <v>GOIÂNIA - GO</v>
      </c>
      <c r="M434" s="10">
        <f ca="1">IFERROR(__xludf.dummyfunction("""COMPUTED_VALUE"""),3)</f>
        <v>3</v>
      </c>
      <c r="N434" s="10" t="str">
        <f ca="1">IFERROR(__xludf.dummyfunction("""COMPUTED_VALUE"""),"DISPONÍVEL")</f>
        <v>DISPONÍVEL</v>
      </c>
      <c r="O434" s="12"/>
      <c r="P434" s="11"/>
      <c r="Q434" s="11"/>
      <c r="R434" s="11"/>
    </row>
    <row r="435" spans="1:18">
      <c r="A435" s="10">
        <f ca="1">IFERROR(__xludf.dummyfunction("""COMPUTED_VALUE"""),17)</f>
        <v>17</v>
      </c>
      <c r="B435" s="11" t="str">
        <f ca="1">IFERROR(__xludf.dummyfunction("""COMPUTED_VALUE"""),"GABRIEL AGUIAR DE CASTRO M. REZENDE")</f>
        <v>GABRIEL AGUIAR DE CASTRO M. REZENDE</v>
      </c>
      <c r="C435" s="11" t="str">
        <f ca="1">IFERROR(__xludf.dummyfunction("""COMPUTED_VALUE"""),"5929817")</f>
        <v>5929817</v>
      </c>
      <c r="D435" s="11" t="str">
        <f ca="1">IFERROR(__xludf.dummyfunction("""COMPUTED_VALUE"""),"70069938148")</f>
        <v>70069938148</v>
      </c>
      <c r="E435" s="11" t="str">
        <f ca="1">IFERROR(__xludf.dummyfunction("""COMPUTED_VALUE"""),"GA.ZENDE@HOTMAIL.COM")</f>
        <v>GA.ZENDE@HOTMAIL.COM</v>
      </c>
      <c r="F435" s="11"/>
      <c r="G435" s="11" t="str">
        <f ca="1">IFERROR(__xludf.dummyfunction("""COMPUTED_VALUE"""),"(62) 981731487")</f>
        <v>(62) 981731487</v>
      </c>
      <c r="H435" s="11" t="str">
        <f ca="1">IFERROR(__xludf.dummyfunction("""COMPUTED_VALUE"""),"SUPERIOR")</f>
        <v>SUPERIOR</v>
      </c>
      <c r="I435" s="10" t="str">
        <f ca="1">IFERROR(__xludf.dummyfunction("""COMPUTED_VALUE"""),"INFORMÁTICA")</f>
        <v>INFORMÁTICA</v>
      </c>
      <c r="J435" s="10" t="str">
        <f ca="1">IFERROR(__xludf.dummyfunction("""COMPUTED_VALUE"""),"NOITE")</f>
        <v>NOITE</v>
      </c>
      <c r="K435" s="10" t="str">
        <f ca="1">IFERROR(__xludf.dummyfunction("""COMPUTED_VALUE"""),"TARDE")</f>
        <v>TARDE</v>
      </c>
      <c r="L435" s="10" t="str">
        <f ca="1">IFERROR(__xludf.dummyfunction("""COMPUTED_VALUE"""),"GOIÂNIA - GO")</f>
        <v>GOIÂNIA - GO</v>
      </c>
      <c r="M435" s="10">
        <f ca="1">IFERROR(__xludf.dummyfunction("""COMPUTED_VALUE"""),6)</f>
        <v>6</v>
      </c>
      <c r="N435" s="10" t="str">
        <f ca="1">IFERROR(__xludf.dummyfunction("""COMPUTED_VALUE"""),"DISPONÍVEL")</f>
        <v>DISPONÍVEL</v>
      </c>
      <c r="O435" s="12"/>
      <c r="P435" s="11"/>
      <c r="Q435" s="11"/>
      <c r="R435" s="11"/>
    </row>
    <row r="436" spans="1:18">
      <c r="A436" s="10">
        <f ca="1">IFERROR(__xludf.dummyfunction("""COMPUTED_VALUE"""),18)</f>
        <v>18</v>
      </c>
      <c r="B436" s="11" t="str">
        <f ca="1">IFERROR(__xludf.dummyfunction("""COMPUTED_VALUE"""),"JEAN LUIZ SILVA LIMA")</f>
        <v>JEAN LUIZ SILVA LIMA</v>
      </c>
      <c r="C436" s="11"/>
      <c r="D436" s="11" t="str">
        <f ca="1">IFERROR(__xludf.dummyfunction("""COMPUTED_VALUE"""),"06551198171")</f>
        <v>06551198171</v>
      </c>
      <c r="E436" s="11" t="str">
        <f ca="1">IFERROR(__xludf.dummyfunction("""COMPUTED_VALUE"""),"JEAN.LUIZLIMA37@GMAIL.COM")</f>
        <v>JEAN.LUIZLIMA37@GMAIL.COM</v>
      </c>
      <c r="F436" s="11" t="str">
        <f ca="1">IFERROR(__xludf.dummyfunction("""COMPUTED_VALUE"""),"(66) 34782158")</f>
        <v>(66) 34782158</v>
      </c>
      <c r="G436" s="11" t="str">
        <f ca="1">IFERROR(__xludf.dummyfunction("""COMPUTED_VALUE"""),"(66) 996047500")</f>
        <v>(66) 996047500</v>
      </c>
      <c r="H436" s="11" t="str">
        <f ca="1">IFERROR(__xludf.dummyfunction("""COMPUTED_VALUE"""),"SUPERIOR")</f>
        <v>SUPERIOR</v>
      </c>
      <c r="I436" s="10" t="str">
        <f ca="1">IFERROR(__xludf.dummyfunction("""COMPUTED_VALUE"""),"INFORMÁTICA")</f>
        <v>INFORMÁTICA</v>
      </c>
      <c r="J436" s="10" t="str">
        <f ca="1">IFERROR(__xludf.dummyfunction("""COMPUTED_VALUE"""),"MANHÃ")</f>
        <v>MANHÃ</v>
      </c>
      <c r="K436" s="10" t="str">
        <f ca="1">IFERROR(__xludf.dummyfunction("""COMPUTED_VALUE"""),"TARDE")</f>
        <v>TARDE</v>
      </c>
      <c r="L436" s="10" t="str">
        <f ca="1">IFERROR(__xludf.dummyfunction("""COMPUTED_VALUE"""),"GOIÂNIA - GO")</f>
        <v>GOIÂNIA - GO</v>
      </c>
      <c r="M436" s="10">
        <f ca="1">IFERROR(__xludf.dummyfunction("""COMPUTED_VALUE"""),3)</f>
        <v>3</v>
      </c>
      <c r="N436" s="10" t="str">
        <f ca="1">IFERROR(__xludf.dummyfunction("""COMPUTED_VALUE"""),"DISPONÍVEL")</f>
        <v>DISPONÍVEL</v>
      </c>
      <c r="O436" s="12"/>
      <c r="P436" s="11"/>
      <c r="Q436" s="11"/>
      <c r="R436" s="11"/>
    </row>
    <row r="437" spans="1:18">
      <c r="A437" s="10">
        <f ca="1">IFERROR(__xludf.dummyfunction("""COMPUTED_VALUE"""),19)</f>
        <v>19</v>
      </c>
      <c r="B437" s="11" t="str">
        <f ca="1">IFERROR(__xludf.dummyfunction("""COMPUTED_VALUE"""),"RODRIGO FERNANDES NOGUEIRA VIEIRA")</f>
        <v>RODRIGO FERNANDES NOGUEIRA VIEIRA</v>
      </c>
      <c r="C437" s="11"/>
      <c r="D437" s="11" t="str">
        <f ca="1">IFERROR(__xludf.dummyfunction("""COMPUTED_VALUE"""),"02274672130")</f>
        <v>02274672130</v>
      </c>
      <c r="E437" s="11" t="str">
        <f ca="1">IFERROR(__xludf.dummyfunction("""COMPUTED_VALUE"""),"DIDIGO.GOIAS@GMAIL.COM")</f>
        <v>DIDIGO.GOIAS@GMAIL.COM</v>
      </c>
      <c r="F437" s="11"/>
      <c r="G437" s="11" t="str">
        <f ca="1">IFERROR(__xludf.dummyfunction("""COMPUTED_VALUE"""),"(62) 996392169")</f>
        <v>(62) 996392169</v>
      </c>
      <c r="H437" s="11" t="str">
        <f ca="1">IFERROR(__xludf.dummyfunction("""COMPUTED_VALUE"""),"SUPERIOR")</f>
        <v>SUPERIOR</v>
      </c>
      <c r="I437" s="10" t="str">
        <f ca="1">IFERROR(__xludf.dummyfunction("""COMPUTED_VALUE"""),"INFORMÁTICA")</f>
        <v>INFORMÁTICA</v>
      </c>
      <c r="J437" s="10" t="str">
        <f ca="1">IFERROR(__xludf.dummyfunction("""COMPUTED_VALUE"""),"MANHÃ")</f>
        <v>MANHÃ</v>
      </c>
      <c r="K437" s="10" t="str">
        <f ca="1">IFERROR(__xludf.dummyfunction("""COMPUTED_VALUE"""),"TARDE")</f>
        <v>TARDE</v>
      </c>
      <c r="L437" s="10" t="str">
        <f ca="1">IFERROR(__xludf.dummyfunction("""COMPUTED_VALUE"""),"GOIÂNIA - GO")</f>
        <v>GOIÂNIA - GO</v>
      </c>
      <c r="M437" s="10">
        <f ca="1">IFERROR(__xludf.dummyfunction("""COMPUTED_VALUE"""),4)</f>
        <v>4</v>
      </c>
      <c r="N437" s="10" t="str">
        <f ca="1">IFERROR(__xludf.dummyfunction("""COMPUTED_VALUE"""),"DISPONÍVEL")</f>
        <v>DISPONÍVEL</v>
      </c>
      <c r="O437" s="12"/>
      <c r="P437" s="11"/>
      <c r="Q437" s="11"/>
      <c r="R437" s="11"/>
    </row>
    <row r="438" spans="1:18">
      <c r="A438" s="10">
        <f ca="1">IFERROR(__xludf.dummyfunction("""COMPUTED_VALUE"""),20)</f>
        <v>20</v>
      </c>
      <c r="B438" s="11" t="str">
        <f ca="1">IFERROR(__xludf.dummyfunction("""COMPUTED_VALUE"""),"VICTOR TAVARES PONTES")</f>
        <v>VICTOR TAVARES PONTES</v>
      </c>
      <c r="C438" s="11"/>
      <c r="D438" s="11" t="str">
        <f ca="1">IFERROR(__xludf.dummyfunction("""COMPUTED_VALUE"""),"70283747188")</f>
        <v>70283747188</v>
      </c>
      <c r="E438" s="11" t="str">
        <f ca="1">IFERROR(__xludf.dummyfunction("""COMPUTED_VALUE"""),"VICTORTAVARES1000@GMAIL.COM")</f>
        <v>VICTORTAVARES1000@GMAIL.COM</v>
      </c>
      <c r="F438" s="11" t="str">
        <f ca="1">IFERROR(__xludf.dummyfunction("""COMPUTED_VALUE"""),"(62) 35455186")</f>
        <v>(62) 35455186</v>
      </c>
      <c r="G438" s="11" t="str">
        <f ca="1">IFERROR(__xludf.dummyfunction("""COMPUTED_VALUE"""),"(62) 986269118")</f>
        <v>(62) 986269118</v>
      </c>
      <c r="H438" s="11" t="str">
        <f ca="1">IFERROR(__xludf.dummyfunction("""COMPUTED_VALUE"""),"SUPERIOR")</f>
        <v>SUPERIOR</v>
      </c>
      <c r="I438" s="10" t="str">
        <f ca="1">IFERROR(__xludf.dummyfunction("""COMPUTED_VALUE"""),"INFORMÁTICA")</f>
        <v>INFORMÁTICA</v>
      </c>
      <c r="J438" s="10" t="str">
        <f ca="1">IFERROR(__xludf.dummyfunction("""COMPUTED_VALUE"""),"MANHÃ")</f>
        <v>MANHÃ</v>
      </c>
      <c r="K438" s="10" t="str">
        <f ca="1">IFERROR(__xludf.dummyfunction("""COMPUTED_VALUE"""),"TARDE")</f>
        <v>TARDE</v>
      </c>
      <c r="L438" s="10" t="str">
        <f ca="1">IFERROR(__xludf.dummyfunction("""COMPUTED_VALUE"""),"GOIÂNIA - GO")</f>
        <v>GOIÂNIA - GO</v>
      </c>
      <c r="M438" s="10">
        <f ca="1">IFERROR(__xludf.dummyfunction("""COMPUTED_VALUE"""),7)</f>
        <v>7</v>
      </c>
      <c r="N438" s="10" t="str">
        <f ca="1">IFERROR(__xludf.dummyfunction("""COMPUTED_VALUE"""),"DISPONÍVEL")</f>
        <v>DISPONÍVEL</v>
      </c>
      <c r="O438" s="12"/>
      <c r="P438" s="11"/>
      <c r="Q438" s="11"/>
      <c r="R438" s="11"/>
    </row>
    <row r="439" spans="1:18">
      <c r="A439" s="10">
        <f ca="1">IFERROR(__xludf.dummyfunction("""COMPUTED_VALUE"""),21)</f>
        <v>21</v>
      </c>
      <c r="B439" s="11" t="str">
        <f ca="1">IFERROR(__xludf.dummyfunction("""COMPUTED_VALUE"""),"GABRIEL VICTOR BARBOSA ALVES")</f>
        <v>GABRIEL VICTOR BARBOSA ALVES</v>
      </c>
      <c r="C439" s="11" t="str">
        <f ca="1">IFERROR(__xludf.dummyfunction("""COMPUTED_VALUE"""),"7431594")</f>
        <v>7431594</v>
      </c>
      <c r="D439" s="11" t="str">
        <f ca="1">IFERROR(__xludf.dummyfunction("""COMPUTED_VALUE"""),"71019990180")</f>
        <v>71019990180</v>
      </c>
      <c r="E439" s="11" t="str">
        <f ca="1">IFERROR(__xludf.dummyfunction("""COMPUTED_VALUE"""),"GABRIELVICTORBARBOSA153@GMAIL.COM")</f>
        <v>GABRIELVICTORBARBOSA153@GMAIL.COM</v>
      </c>
      <c r="F439" s="11"/>
      <c r="G439" s="11" t="str">
        <f ca="1">IFERROR(__xludf.dummyfunction("""COMPUTED_VALUE"""),"(62) 985446652")</f>
        <v>(62) 985446652</v>
      </c>
      <c r="H439" s="11" t="str">
        <f ca="1">IFERROR(__xludf.dummyfunction("""COMPUTED_VALUE"""),"SUPERIOR")</f>
        <v>SUPERIOR</v>
      </c>
      <c r="I439" s="10" t="str">
        <f ca="1">IFERROR(__xludf.dummyfunction("""COMPUTED_VALUE"""),"INFORMÁTICA")</f>
        <v>INFORMÁTICA</v>
      </c>
      <c r="J439" s="10" t="str">
        <f ca="1">IFERROR(__xludf.dummyfunction("""COMPUTED_VALUE"""),"NOITE")</f>
        <v>NOITE</v>
      </c>
      <c r="K439" s="10" t="str">
        <f ca="1">IFERROR(__xludf.dummyfunction("""COMPUTED_VALUE"""),"TARDE")</f>
        <v>TARDE</v>
      </c>
      <c r="L439" s="10" t="str">
        <f ca="1">IFERROR(__xludf.dummyfunction("""COMPUTED_VALUE"""),"GOIÂNIA - GO")</f>
        <v>GOIÂNIA - GO</v>
      </c>
      <c r="M439" s="10">
        <f ca="1">IFERROR(__xludf.dummyfunction("""COMPUTED_VALUE"""),8)</f>
        <v>8</v>
      </c>
      <c r="N439" s="10" t="str">
        <f ca="1">IFERROR(__xludf.dummyfunction("""COMPUTED_VALUE"""),"DISPONÍVEL")</f>
        <v>DISPONÍVEL</v>
      </c>
      <c r="O439" s="12"/>
      <c r="P439" s="11"/>
      <c r="Q439" s="11"/>
      <c r="R439" s="11"/>
    </row>
    <row r="440" spans="1:18">
      <c r="A440" s="10">
        <f ca="1">IFERROR(__xludf.dummyfunction("""COMPUTED_VALUE"""),22)</f>
        <v>22</v>
      </c>
      <c r="B440" s="11" t="str">
        <f ca="1">IFERROR(__xludf.dummyfunction("""COMPUTED_VALUE"""),"FELIPE BUENO ROCHA")</f>
        <v>FELIPE BUENO ROCHA</v>
      </c>
      <c r="C440" s="11" t="str">
        <f ca="1">IFERROR(__xludf.dummyfunction("""COMPUTED_VALUE"""),"6647529")</f>
        <v>6647529</v>
      </c>
      <c r="D440" s="11" t="str">
        <f ca="1">IFERROR(__xludf.dummyfunction("""COMPUTED_VALUE"""),"04495996126")</f>
        <v>04495996126</v>
      </c>
      <c r="E440" s="11" t="str">
        <f ca="1">IFERROR(__xludf.dummyfunction("""COMPUTED_VALUE"""),"FELIPEBUENOROCHA48@GMAIL.COM")</f>
        <v>FELIPEBUENOROCHA48@GMAIL.COM</v>
      </c>
      <c r="F440" s="11" t="str">
        <f ca="1">IFERROR(__xludf.dummyfunction("""COMPUTED_VALUE"""),"(62) 32822497")</f>
        <v>(62) 32822497</v>
      </c>
      <c r="G440" s="11" t="str">
        <f ca="1">IFERROR(__xludf.dummyfunction("""COMPUTED_VALUE"""),"(62) 982518931")</f>
        <v>(62) 982518931</v>
      </c>
      <c r="H440" s="11" t="str">
        <f ca="1">IFERROR(__xludf.dummyfunction("""COMPUTED_VALUE"""),"SUPERIOR")</f>
        <v>SUPERIOR</v>
      </c>
      <c r="I440" s="10" t="str">
        <f ca="1">IFERROR(__xludf.dummyfunction("""COMPUTED_VALUE"""),"INFORMÁTICA")</f>
        <v>INFORMÁTICA</v>
      </c>
      <c r="J440" s="10" t="str">
        <f ca="1">IFERROR(__xludf.dummyfunction("""COMPUTED_VALUE"""),"NOITE")</f>
        <v>NOITE</v>
      </c>
      <c r="K440" s="10" t="str">
        <f ca="1">IFERROR(__xludf.dummyfunction("""COMPUTED_VALUE"""),"TARDE")</f>
        <v>TARDE</v>
      </c>
      <c r="L440" s="10" t="str">
        <f ca="1">IFERROR(__xludf.dummyfunction("""COMPUTED_VALUE"""),"GOIÂNIA - GO")</f>
        <v>GOIÂNIA - GO</v>
      </c>
      <c r="M440" s="10">
        <f ca="1">IFERROR(__xludf.dummyfunction("""COMPUTED_VALUE"""),4)</f>
        <v>4</v>
      </c>
      <c r="N440" s="10" t="str">
        <f ca="1">IFERROR(__xludf.dummyfunction("""COMPUTED_VALUE"""),"DISPONÍVEL")</f>
        <v>DISPONÍVEL</v>
      </c>
      <c r="O440" s="12"/>
      <c r="P440" s="11"/>
      <c r="Q440" s="11"/>
      <c r="R440" s="11"/>
    </row>
    <row r="441" spans="1:18">
      <c r="A441" s="10">
        <f ca="1">IFERROR(__xludf.dummyfunction("""COMPUTED_VALUE"""),23)</f>
        <v>23</v>
      </c>
      <c r="B441" s="11" t="str">
        <f ca="1">IFERROR(__xludf.dummyfunction("""COMPUTED_VALUE"""),"RAFAEL GREGORIO DE SOUZA")</f>
        <v>RAFAEL GREGORIO DE SOUZA</v>
      </c>
      <c r="C441" s="11"/>
      <c r="D441" s="11" t="str">
        <f ca="1">IFERROR(__xludf.dummyfunction("""COMPUTED_VALUE"""),"06617338154")</f>
        <v>06617338154</v>
      </c>
      <c r="E441" s="11" t="str">
        <f ca="1">IFERROR(__xludf.dummyfunction("""COMPUTED_VALUE"""),"RAFAELG15SOUZA@GMAIL.COM")</f>
        <v>RAFAELG15SOUZA@GMAIL.COM</v>
      </c>
      <c r="F441" s="11" t="str">
        <f ca="1">IFERROR(__xludf.dummyfunction("""COMPUTED_VALUE"""),"(62) 32731750")</f>
        <v>(62) 32731750</v>
      </c>
      <c r="G441" s="11" t="str">
        <f ca="1">IFERROR(__xludf.dummyfunction("""COMPUTED_VALUE"""),"(62) 992860211")</f>
        <v>(62) 992860211</v>
      </c>
      <c r="H441" s="11" t="str">
        <f ca="1">IFERROR(__xludf.dummyfunction("""COMPUTED_VALUE"""),"SUPERIOR")</f>
        <v>SUPERIOR</v>
      </c>
      <c r="I441" s="10" t="str">
        <f ca="1">IFERROR(__xludf.dummyfunction("""COMPUTED_VALUE"""),"INFORMÁTICA")</f>
        <v>INFORMÁTICA</v>
      </c>
      <c r="J441" s="10" t="str">
        <f ca="1">IFERROR(__xludf.dummyfunction("""COMPUTED_VALUE"""),"NOITE")</f>
        <v>NOITE</v>
      </c>
      <c r="K441" s="10" t="str">
        <f ca="1">IFERROR(__xludf.dummyfunction("""COMPUTED_VALUE"""),"TARDE")</f>
        <v>TARDE</v>
      </c>
      <c r="L441" s="10" t="str">
        <f ca="1">IFERROR(__xludf.dummyfunction("""COMPUTED_VALUE"""),"GOIÂNIA - GO")</f>
        <v>GOIÂNIA - GO</v>
      </c>
      <c r="M441" s="10">
        <f ca="1">IFERROR(__xludf.dummyfunction("""COMPUTED_VALUE"""),4)</f>
        <v>4</v>
      </c>
      <c r="N441" s="10" t="str">
        <f ca="1">IFERROR(__xludf.dummyfunction("""COMPUTED_VALUE"""),"DISPONÍVEL")</f>
        <v>DISPONÍVEL</v>
      </c>
      <c r="O441" s="12"/>
      <c r="P441" s="11"/>
      <c r="Q441" s="11"/>
      <c r="R441" s="11"/>
    </row>
    <row r="442" spans="1:18">
      <c r="A442" s="10">
        <f ca="1">IFERROR(__xludf.dummyfunction("""COMPUTED_VALUE"""),24)</f>
        <v>24</v>
      </c>
      <c r="B442" s="11" t="str">
        <f ca="1">IFERROR(__xludf.dummyfunction("""COMPUTED_VALUE"""),"ANDERSON BUENO MARQUES")</f>
        <v>ANDERSON BUENO MARQUES</v>
      </c>
      <c r="C442" s="11"/>
      <c r="D442" s="11" t="str">
        <f ca="1">IFERROR(__xludf.dummyfunction("""COMPUTED_VALUE"""),"75378540178")</f>
        <v>75378540178</v>
      </c>
      <c r="E442" s="11" t="str">
        <f ca="1">IFERROR(__xludf.dummyfunction("""COMPUTED_VALUE"""),"ANDERSONBMARQUES@HOTMAIL.COM")</f>
        <v>ANDERSONBMARQUES@HOTMAIL.COM</v>
      </c>
      <c r="F442" s="11"/>
      <c r="G442" s="11" t="str">
        <f ca="1">IFERROR(__xludf.dummyfunction("""COMPUTED_VALUE"""),"(62) 991758099")</f>
        <v>(62) 991758099</v>
      </c>
      <c r="H442" s="11" t="str">
        <f ca="1">IFERROR(__xludf.dummyfunction("""COMPUTED_VALUE"""),"SUPERIOR")</f>
        <v>SUPERIOR</v>
      </c>
      <c r="I442" s="10" t="str">
        <f ca="1">IFERROR(__xludf.dummyfunction("""COMPUTED_VALUE"""),"INFORMÁTICA")</f>
        <v>INFORMÁTICA</v>
      </c>
      <c r="J442" s="10" t="str">
        <f ca="1">IFERROR(__xludf.dummyfunction("""COMPUTED_VALUE"""),"NOITE")</f>
        <v>NOITE</v>
      </c>
      <c r="K442" s="10" t="str">
        <f ca="1">IFERROR(__xludf.dummyfunction("""COMPUTED_VALUE"""),"TARDE")</f>
        <v>TARDE</v>
      </c>
      <c r="L442" s="10" t="str">
        <f ca="1">IFERROR(__xludf.dummyfunction("""COMPUTED_VALUE"""),"GOIÂNIA - GO")</f>
        <v>GOIÂNIA - GO</v>
      </c>
      <c r="M442" s="10">
        <f ca="1">IFERROR(__xludf.dummyfunction("""COMPUTED_VALUE"""),4)</f>
        <v>4</v>
      </c>
      <c r="N442" s="10" t="str">
        <f ca="1">IFERROR(__xludf.dummyfunction("""COMPUTED_VALUE"""),"DISPONÍVEL")</f>
        <v>DISPONÍVEL</v>
      </c>
      <c r="O442" s="12"/>
      <c r="P442" s="11"/>
      <c r="Q442" s="11"/>
      <c r="R442" s="11"/>
    </row>
    <row r="443" spans="1:18">
      <c r="A443" s="10">
        <f ca="1">IFERROR(__xludf.dummyfunction("""COMPUTED_VALUE"""),25)</f>
        <v>25</v>
      </c>
      <c r="B443" s="11" t="str">
        <f ca="1">IFERROR(__xludf.dummyfunction("""COMPUTED_VALUE"""),"DANIEL ASHER SANTANA DE FREITAS")</f>
        <v>DANIEL ASHER SANTANA DE FREITAS</v>
      </c>
      <c r="C443" s="11"/>
      <c r="D443" s="11" t="str">
        <f ca="1">IFERROR(__xludf.dummyfunction("""COMPUTED_VALUE"""),"70099450127")</f>
        <v>70099450127</v>
      </c>
      <c r="E443" s="11" t="str">
        <f ca="1">IFERROR(__xludf.dummyfunction("""COMPUTED_VALUE"""),"SUPORTEVILLANSTORE@GMAIL.COM")</f>
        <v>SUPORTEVILLANSTORE@GMAIL.COM</v>
      </c>
      <c r="F443" s="11" t="str">
        <f ca="1">IFERROR(__xludf.dummyfunction("""COMPUTED_VALUE"""),"(62) 98168796")</f>
        <v>(62) 98168796</v>
      </c>
      <c r="G443" s="11" t="str">
        <f ca="1">IFERROR(__xludf.dummyfunction("""COMPUTED_VALUE"""),"(62) 981687966")</f>
        <v>(62) 981687966</v>
      </c>
      <c r="H443" s="11" t="str">
        <f ca="1">IFERROR(__xludf.dummyfunction("""COMPUTED_VALUE"""),"SUPERIOR")</f>
        <v>SUPERIOR</v>
      </c>
      <c r="I443" s="10" t="str">
        <f ca="1">IFERROR(__xludf.dummyfunction("""COMPUTED_VALUE"""),"INFORMÁTICA")</f>
        <v>INFORMÁTICA</v>
      </c>
      <c r="J443" s="10" t="str">
        <f ca="1">IFERROR(__xludf.dummyfunction("""COMPUTED_VALUE"""),"MANHÃ")</f>
        <v>MANHÃ</v>
      </c>
      <c r="K443" s="10" t="str">
        <f ca="1">IFERROR(__xludf.dummyfunction("""COMPUTED_VALUE"""),"TARDE")</f>
        <v>TARDE</v>
      </c>
      <c r="L443" s="10" t="str">
        <f ca="1">IFERROR(__xludf.dummyfunction("""COMPUTED_VALUE"""),"GOIÂNIA - GO")</f>
        <v>GOIÂNIA - GO</v>
      </c>
      <c r="M443" s="10">
        <f ca="1">IFERROR(__xludf.dummyfunction("""COMPUTED_VALUE"""),4)</f>
        <v>4</v>
      </c>
      <c r="N443" s="10" t="str">
        <f ca="1">IFERROR(__xludf.dummyfunction("""COMPUTED_VALUE"""),"DISPONÍVEL")</f>
        <v>DISPONÍVEL</v>
      </c>
      <c r="O443" s="12"/>
      <c r="P443" s="11"/>
      <c r="Q443" s="11"/>
      <c r="R443" s="11"/>
    </row>
    <row r="444" spans="1:18">
      <c r="A444" s="10">
        <f ca="1">IFERROR(__xludf.dummyfunction("""COMPUTED_VALUE"""),26)</f>
        <v>26</v>
      </c>
      <c r="B444" s="11" t="str">
        <f ca="1">IFERROR(__xludf.dummyfunction("""COMPUTED_VALUE"""),"ALDOARDO ALVES PEREIRA NETO")</f>
        <v>ALDOARDO ALVES PEREIRA NETO</v>
      </c>
      <c r="C444" s="11"/>
      <c r="D444" s="11" t="str">
        <f ca="1">IFERROR(__xludf.dummyfunction("""COMPUTED_VALUE"""),"02988179182")</f>
        <v>02988179182</v>
      </c>
      <c r="E444" s="11" t="str">
        <f ca="1">IFERROR(__xludf.dummyfunction("""COMPUTED_VALUE"""),"ALDOARDOALVES@GMAIL.COM")</f>
        <v>ALDOARDOALVES@GMAIL.COM</v>
      </c>
      <c r="F444" s="11"/>
      <c r="G444" s="11" t="str">
        <f ca="1">IFERROR(__xludf.dummyfunction("""COMPUTED_VALUE"""),"(62) 982332948")</f>
        <v>(62) 982332948</v>
      </c>
      <c r="H444" s="11" t="str">
        <f ca="1">IFERROR(__xludf.dummyfunction("""COMPUTED_VALUE"""),"SUPERIOR")</f>
        <v>SUPERIOR</v>
      </c>
      <c r="I444" s="10" t="str">
        <f ca="1">IFERROR(__xludf.dummyfunction("""COMPUTED_VALUE"""),"INFORMÁTICA")</f>
        <v>INFORMÁTICA</v>
      </c>
      <c r="J444" s="10" t="str">
        <f ca="1">IFERROR(__xludf.dummyfunction("""COMPUTED_VALUE"""),"MANHÃ")</f>
        <v>MANHÃ</v>
      </c>
      <c r="K444" s="10" t="str">
        <f ca="1">IFERROR(__xludf.dummyfunction("""COMPUTED_VALUE"""),"TARDE")</f>
        <v>TARDE</v>
      </c>
      <c r="L444" s="10" t="str">
        <f ca="1">IFERROR(__xludf.dummyfunction("""COMPUTED_VALUE"""),"GOIÂNIA - GO")</f>
        <v>GOIÂNIA - GO</v>
      </c>
      <c r="M444" s="10">
        <f ca="1">IFERROR(__xludf.dummyfunction("""COMPUTED_VALUE"""),4)</f>
        <v>4</v>
      </c>
      <c r="N444" s="10" t="str">
        <f ca="1">IFERROR(__xludf.dummyfunction("""COMPUTED_VALUE"""),"DISPONÍVEL")</f>
        <v>DISPONÍVEL</v>
      </c>
      <c r="O444" s="12"/>
      <c r="P444" s="11"/>
      <c r="Q444" s="11"/>
      <c r="R444" s="11"/>
    </row>
    <row r="445" spans="1:18">
      <c r="A445" s="10">
        <f ca="1">IFERROR(__xludf.dummyfunction("""COMPUTED_VALUE"""),27)</f>
        <v>27</v>
      </c>
      <c r="B445" s="11" t="str">
        <f ca="1">IFERROR(__xludf.dummyfunction("""COMPUTED_VALUE"""),"GUSTAVO BRUNO LIMA CRUZ")</f>
        <v>GUSTAVO BRUNO LIMA CRUZ</v>
      </c>
      <c r="C445" s="11"/>
      <c r="D445" s="11" t="str">
        <f ca="1">IFERROR(__xludf.dummyfunction("""COMPUTED_VALUE"""),"07345843181")</f>
        <v>07345843181</v>
      </c>
      <c r="E445" s="11" t="str">
        <f ca="1">IFERROR(__xludf.dummyfunction("""COMPUTED_VALUE"""),"GUSTAVOBRUNOV8@GMAIL.COM")</f>
        <v>GUSTAVOBRUNOV8@GMAIL.COM</v>
      </c>
      <c r="F445" s="11"/>
      <c r="G445" s="11" t="str">
        <f ca="1">IFERROR(__xludf.dummyfunction("""COMPUTED_VALUE"""),"(62) 994990704")</f>
        <v>(62) 994990704</v>
      </c>
      <c r="H445" s="11" t="str">
        <f ca="1">IFERROR(__xludf.dummyfunction("""COMPUTED_VALUE"""),"SUPERIOR")</f>
        <v>SUPERIOR</v>
      </c>
      <c r="I445" s="10" t="str">
        <f ca="1">IFERROR(__xludf.dummyfunction("""COMPUTED_VALUE"""),"INFORMÁTICA")</f>
        <v>INFORMÁTICA</v>
      </c>
      <c r="J445" s="10" t="str">
        <f ca="1">IFERROR(__xludf.dummyfunction("""COMPUTED_VALUE"""),"MANHÃ")</f>
        <v>MANHÃ</v>
      </c>
      <c r="K445" s="10" t="str">
        <f ca="1">IFERROR(__xludf.dummyfunction("""COMPUTED_VALUE"""),"TARDE")</f>
        <v>TARDE</v>
      </c>
      <c r="L445" s="10" t="str">
        <f ca="1">IFERROR(__xludf.dummyfunction("""COMPUTED_VALUE"""),"GOIÂNIA - GO")</f>
        <v>GOIÂNIA - GO</v>
      </c>
      <c r="M445" s="10">
        <f ca="1">IFERROR(__xludf.dummyfunction("""COMPUTED_VALUE"""),5)</f>
        <v>5</v>
      </c>
      <c r="N445" s="10" t="str">
        <f ca="1">IFERROR(__xludf.dummyfunction("""COMPUTED_VALUE"""),"DISPONÍVEL")</f>
        <v>DISPONÍVEL</v>
      </c>
      <c r="O445" s="12"/>
      <c r="P445" s="11"/>
      <c r="Q445" s="11"/>
      <c r="R445" s="11"/>
    </row>
    <row r="446" spans="1:18">
      <c r="A446" s="10">
        <f ca="1">IFERROR(__xludf.dummyfunction("""COMPUTED_VALUE"""),28)</f>
        <v>28</v>
      </c>
      <c r="B446" s="11" t="str">
        <f ca="1">IFERROR(__xludf.dummyfunction("""COMPUTED_VALUE"""),"VICTOR HUGO MOREIRA DA SILVA SOUZA")</f>
        <v>VICTOR HUGO MOREIRA DA SILVA SOUZA</v>
      </c>
      <c r="C446" s="11"/>
      <c r="D446" s="11" t="str">
        <f ca="1">IFERROR(__xludf.dummyfunction("""COMPUTED_VALUE"""),"70138599157")</f>
        <v>70138599157</v>
      </c>
      <c r="E446" s="11" t="str">
        <f ca="1">IFERROR(__xludf.dummyfunction("""COMPUTED_VALUE"""),"VICTORHMDSS@GMAIL.COM")</f>
        <v>VICTORHMDSS@GMAIL.COM</v>
      </c>
      <c r="F446" s="11"/>
      <c r="G446" s="11" t="str">
        <f ca="1">IFERROR(__xludf.dummyfunction("""COMPUTED_VALUE"""),"(62) 981860508")</f>
        <v>(62) 981860508</v>
      </c>
      <c r="H446" s="11" t="str">
        <f ca="1">IFERROR(__xludf.dummyfunction("""COMPUTED_VALUE"""),"SUPERIOR")</f>
        <v>SUPERIOR</v>
      </c>
      <c r="I446" s="10" t="str">
        <f ca="1">IFERROR(__xludf.dummyfunction("""COMPUTED_VALUE"""),"INFORMÁTICA")</f>
        <v>INFORMÁTICA</v>
      </c>
      <c r="J446" s="10" t="str">
        <f ca="1">IFERROR(__xludf.dummyfunction("""COMPUTED_VALUE"""),"NOITE")</f>
        <v>NOITE</v>
      </c>
      <c r="K446" s="10" t="str">
        <f ca="1">IFERROR(__xludf.dummyfunction("""COMPUTED_VALUE"""),"TARDE")</f>
        <v>TARDE</v>
      </c>
      <c r="L446" s="10" t="str">
        <f ca="1">IFERROR(__xludf.dummyfunction("""COMPUTED_VALUE"""),"GOIÂNIA - GO")</f>
        <v>GOIÂNIA - GO</v>
      </c>
      <c r="M446" s="10">
        <f ca="1">IFERROR(__xludf.dummyfunction("""COMPUTED_VALUE"""),3)</f>
        <v>3</v>
      </c>
      <c r="N446" s="10" t="str">
        <f ca="1">IFERROR(__xludf.dummyfunction("""COMPUTED_VALUE"""),"DISPONÍVEL")</f>
        <v>DISPONÍVEL</v>
      </c>
      <c r="O446" s="12"/>
      <c r="P446" s="11"/>
      <c r="Q446" s="11"/>
      <c r="R446" s="11"/>
    </row>
    <row r="447" spans="1:18">
      <c r="A447" s="10">
        <f ca="1">IFERROR(__xludf.dummyfunction("""COMPUTED_VALUE"""),29)</f>
        <v>29</v>
      </c>
      <c r="B447" s="11" t="str">
        <f ca="1">IFERROR(__xludf.dummyfunction("""COMPUTED_VALUE"""),"MATHEUS NOGUEIRA DINIZ AMORIM")</f>
        <v>MATHEUS NOGUEIRA DINIZ AMORIM</v>
      </c>
      <c r="C447" s="11" t="str">
        <f ca="1">IFERROR(__xludf.dummyfunction("""COMPUTED_VALUE"""),"6351379")</f>
        <v>6351379</v>
      </c>
      <c r="D447" s="11" t="str">
        <f ca="1">IFERROR(__xludf.dummyfunction("""COMPUTED_VALUE"""),"70426099133")</f>
        <v>70426099133</v>
      </c>
      <c r="E447" s="11" t="str">
        <f ca="1">IFERROR(__xludf.dummyfunction("""COMPUTED_VALUE"""),"DINIZ_MATT@OUTLOOK.COM")</f>
        <v>DINIZ_MATT@OUTLOOK.COM</v>
      </c>
      <c r="F447" s="11"/>
      <c r="G447" s="11" t="str">
        <f ca="1">IFERROR(__xludf.dummyfunction("""COMPUTED_VALUE"""),"(62) 982154574")</f>
        <v>(62) 982154574</v>
      </c>
      <c r="H447" s="11" t="str">
        <f ca="1">IFERROR(__xludf.dummyfunction("""COMPUTED_VALUE"""),"SUPERIOR")</f>
        <v>SUPERIOR</v>
      </c>
      <c r="I447" s="10" t="str">
        <f ca="1">IFERROR(__xludf.dummyfunction("""COMPUTED_VALUE"""),"INFORMÁTICA")</f>
        <v>INFORMÁTICA</v>
      </c>
      <c r="J447" s="10" t="str">
        <f ca="1">IFERROR(__xludf.dummyfunction("""COMPUTED_VALUE"""),"MANHÃ")</f>
        <v>MANHÃ</v>
      </c>
      <c r="K447" s="10" t="str">
        <f ca="1">IFERROR(__xludf.dummyfunction("""COMPUTED_VALUE"""),"TARDE")</f>
        <v>TARDE</v>
      </c>
      <c r="L447" s="10" t="str">
        <f ca="1">IFERROR(__xludf.dummyfunction("""COMPUTED_VALUE"""),"GOIÂNIA - GO")</f>
        <v>GOIÂNIA - GO</v>
      </c>
      <c r="M447" s="10">
        <f ca="1">IFERROR(__xludf.dummyfunction("""COMPUTED_VALUE"""),6)</f>
        <v>6</v>
      </c>
      <c r="N447" s="10" t="str">
        <f ca="1">IFERROR(__xludf.dummyfunction("""COMPUTED_VALUE"""),"DISPONÍVEL")</f>
        <v>DISPONÍVEL</v>
      </c>
      <c r="O447" s="12"/>
      <c r="P447" s="11"/>
      <c r="Q447" s="11"/>
      <c r="R447" s="11"/>
    </row>
    <row r="448" spans="1:18">
      <c r="A448" s="10">
        <f ca="1">IFERROR(__xludf.dummyfunction("""COMPUTED_VALUE"""),30)</f>
        <v>30</v>
      </c>
      <c r="B448" s="11" t="str">
        <f ca="1">IFERROR(__xludf.dummyfunction("""COMPUTED_VALUE"""),"JOÃO HENRIQUE TELES MARLETTA FERNANDES")</f>
        <v>JOÃO HENRIQUE TELES MARLETTA FERNANDES</v>
      </c>
      <c r="C448" s="11"/>
      <c r="D448" s="11" t="str">
        <f ca="1">IFERROR(__xludf.dummyfunction("""COMPUTED_VALUE"""),"70340408189")</f>
        <v>70340408189</v>
      </c>
      <c r="E448" s="11" t="str">
        <f ca="1">IFERROR(__xludf.dummyfunction("""COMPUTED_VALUE"""),"VANESSATELES.1984@GMAIL.COM")</f>
        <v>VANESSATELES.1984@GMAIL.COM</v>
      </c>
      <c r="F448" s="11"/>
      <c r="G448" s="11" t="str">
        <f ca="1">IFERROR(__xludf.dummyfunction("""COMPUTED_VALUE"""),"(62) 993557978")</f>
        <v>(62) 993557978</v>
      </c>
      <c r="H448" s="11" t="str">
        <f ca="1">IFERROR(__xludf.dummyfunction("""COMPUTED_VALUE"""),"SUPERIOR")</f>
        <v>SUPERIOR</v>
      </c>
      <c r="I448" s="10" t="str">
        <f ca="1">IFERROR(__xludf.dummyfunction("""COMPUTED_VALUE"""),"INFORMÁTICA")</f>
        <v>INFORMÁTICA</v>
      </c>
      <c r="J448" s="10" t="str">
        <f ca="1">IFERROR(__xludf.dummyfunction("""COMPUTED_VALUE"""),"MANHÃ")</f>
        <v>MANHÃ</v>
      </c>
      <c r="K448" s="10" t="str">
        <f ca="1">IFERROR(__xludf.dummyfunction("""COMPUTED_VALUE"""),"TARDE")</f>
        <v>TARDE</v>
      </c>
      <c r="L448" s="10" t="str">
        <f ca="1">IFERROR(__xludf.dummyfunction("""COMPUTED_VALUE"""),"GOIÂNIA - GO")</f>
        <v>GOIÂNIA - GO</v>
      </c>
      <c r="M448" s="10">
        <f ca="1">IFERROR(__xludf.dummyfunction("""COMPUTED_VALUE"""),3)</f>
        <v>3</v>
      </c>
      <c r="N448" s="10" t="str">
        <f ca="1">IFERROR(__xludf.dummyfunction("""COMPUTED_VALUE"""),"DISPONÍVEL")</f>
        <v>DISPONÍVEL</v>
      </c>
      <c r="O448" s="12"/>
      <c r="P448" s="11"/>
      <c r="Q448" s="11"/>
      <c r="R448" s="11"/>
    </row>
    <row r="449" spans="1:18">
      <c r="A449" s="10">
        <f ca="1">IFERROR(__xludf.dummyfunction("""COMPUTED_VALUE"""),31)</f>
        <v>31</v>
      </c>
      <c r="B449" s="11" t="str">
        <f ca="1">IFERROR(__xludf.dummyfunction("""COMPUTED_VALUE"""),"PEDRO FELIPE DE SOUSA")</f>
        <v>PEDRO FELIPE DE SOUSA</v>
      </c>
      <c r="C449" s="11"/>
      <c r="D449" s="11" t="str">
        <f ca="1">IFERROR(__xludf.dummyfunction("""COMPUTED_VALUE"""),"70180921169")</f>
        <v>70180921169</v>
      </c>
      <c r="E449" s="11" t="str">
        <f ca="1">IFERROR(__xludf.dummyfunction("""COMPUTED_VALUE"""),"PEDROCOPOM22@GMAIL.COM")</f>
        <v>PEDROCOPOM22@GMAIL.COM</v>
      </c>
      <c r="F449" s="11" t="str">
        <f ca="1">IFERROR(__xludf.dummyfunction("""COMPUTED_VALUE"""),"(62) 86008422")</f>
        <v>(62) 86008422</v>
      </c>
      <c r="G449" s="11" t="str">
        <f ca="1">IFERROR(__xludf.dummyfunction("""COMPUTED_VALUE"""),"(62) 986008422")</f>
        <v>(62) 986008422</v>
      </c>
      <c r="H449" s="11" t="str">
        <f ca="1">IFERROR(__xludf.dummyfunction("""COMPUTED_VALUE"""),"SUPERIOR")</f>
        <v>SUPERIOR</v>
      </c>
      <c r="I449" s="10" t="str">
        <f ca="1">IFERROR(__xludf.dummyfunction("""COMPUTED_VALUE"""),"INFORMÁTICA")</f>
        <v>INFORMÁTICA</v>
      </c>
      <c r="J449" s="10" t="str">
        <f ca="1">IFERROR(__xludf.dummyfunction("""COMPUTED_VALUE"""),"NOITE")</f>
        <v>NOITE</v>
      </c>
      <c r="K449" s="10" t="str">
        <f ca="1">IFERROR(__xludf.dummyfunction("""COMPUTED_VALUE"""),"TARDE")</f>
        <v>TARDE</v>
      </c>
      <c r="L449" s="10" t="str">
        <f ca="1">IFERROR(__xludf.dummyfunction("""COMPUTED_VALUE"""),"GOIÂNIA - GO")</f>
        <v>GOIÂNIA - GO</v>
      </c>
      <c r="M449" s="10">
        <f ca="1">IFERROR(__xludf.dummyfunction("""COMPUTED_VALUE"""),3)</f>
        <v>3</v>
      </c>
      <c r="N449" s="10" t="str">
        <f ca="1">IFERROR(__xludf.dummyfunction("""COMPUTED_VALUE"""),"DISPONÍVEL")</f>
        <v>DISPONÍVEL</v>
      </c>
      <c r="O449" s="12"/>
      <c r="P449" s="11"/>
      <c r="Q449" s="11"/>
      <c r="R449" s="11"/>
    </row>
    <row r="450" spans="1:18">
      <c r="A450" s="10">
        <f ca="1">IFERROR(__xludf.dummyfunction("""COMPUTED_VALUE"""),32)</f>
        <v>32</v>
      </c>
      <c r="B450" s="11" t="str">
        <f ca="1">IFERROR(__xludf.dummyfunction("""COMPUTED_VALUE"""),"GABRIEL IGOR FERREIRA MARTINS")</f>
        <v>GABRIEL IGOR FERREIRA MARTINS</v>
      </c>
      <c r="C450" s="11" t="str">
        <f ca="1">IFERROR(__xludf.dummyfunction("""COMPUTED_VALUE"""),"3443724")</f>
        <v>3443724</v>
      </c>
      <c r="D450" s="11" t="str">
        <f ca="1">IFERROR(__xludf.dummyfunction("""COMPUTED_VALUE"""),"06252261190")</f>
        <v>06252261190</v>
      </c>
      <c r="E450" s="11" t="str">
        <f ca="1">IFERROR(__xludf.dummyfunction("""COMPUTED_VALUE"""),"GABRIELIGORFERREIRA02@GMAIL.COM")</f>
        <v>GABRIELIGORFERREIRA02@GMAIL.COM</v>
      </c>
      <c r="F450" s="11"/>
      <c r="G450" s="11" t="str">
        <f ca="1">IFERROR(__xludf.dummyfunction("""COMPUTED_VALUE"""),"(61) 986025289")</f>
        <v>(61) 986025289</v>
      </c>
      <c r="H450" s="11" t="str">
        <f ca="1">IFERROR(__xludf.dummyfunction("""COMPUTED_VALUE"""),"SUPERIOR")</f>
        <v>SUPERIOR</v>
      </c>
      <c r="I450" s="10" t="str">
        <f ca="1">IFERROR(__xludf.dummyfunction("""COMPUTED_VALUE"""),"INFORMÁTICA")</f>
        <v>INFORMÁTICA</v>
      </c>
      <c r="J450" s="10" t="str">
        <f ca="1">IFERROR(__xludf.dummyfunction("""COMPUTED_VALUE"""),"NOITE")</f>
        <v>NOITE</v>
      </c>
      <c r="K450" s="10" t="str">
        <f ca="1">IFERROR(__xludf.dummyfunction("""COMPUTED_VALUE"""),"TARDE")</f>
        <v>TARDE</v>
      </c>
      <c r="L450" s="10" t="str">
        <f ca="1">IFERROR(__xludf.dummyfunction("""COMPUTED_VALUE"""),"GOIÂNIA - GO")</f>
        <v>GOIÂNIA - GO</v>
      </c>
      <c r="M450" s="10">
        <f ca="1">IFERROR(__xludf.dummyfunction("""COMPUTED_VALUE"""),5)</f>
        <v>5</v>
      </c>
      <c r="N450" s="10" t="str">
        <f ca="1">IFERROR(__xludf.dummyfunction("""COMPUTED_VALUE"""),"DISPONÍVEL")</f>
        <v>DISPONÍVEL</v>
      </c>
      <c r="O450" s="12"/>
      <c r="P450" s="11"/>
      <c r="Q450" s="11"/>
      <c r="R450" s="11"/>
    </row>
    <row r="451" spans="1:18">
      <c r="A451" s="10">
        <f ca="1">IFERROR(__xludf.dummyfunction("""COMPUTED_VALUE"""),33)</f>
        <v>33</v>
      </c>
      <c r="B451" s="11" t="str">
        <f ca="1">IFERROR(__xludf.dummyfunction("""COMPUTED_VALUE"""),"ISABELA MASCARENHAS ROCHA")</f>
        <v>ISABELA MASCARENHAS ROCHA</v>
      </c>
      <c r="C451" s="11"/>
      <c r="D451" s="11" t="str">
        <f ca="1">IFERROR(__xludf.dummyfunction("""COMPUTED_VALUE"""),"03497231177")</f>
        <v>03497231177</v>
      </c>
      <c r="E451" s="11" t="str">
        <f ca="1">IFERROR(__xludf.dummyfunction("""COMPUTED_VALUE"""),"ISABELAMASCARENHAS2001@HOTMAIL.COM")</f>
        <v>ISABELAMASCARENHAS2001@HOTMAIL.COM</v>
      </c>
      <c r="F451" s="11" t="str">
        <f ca="1">IFERROR(__xludf.dummyfunction("""COMPUTED_VALUE"""),"(62) 85410340")</f>
        <v>(62) 85410340</v>
      </c>
      <c r="G451" s="11" t="str">
        <f ca="1">IFERROR(__xludf.dummyfunction("""COMPUTED_VALUE"""),"(62) 985410340")</f>
        <v>(62) 985410340</v>
      </c>
      <c r="H451" s="11" t="str">
        <f ca="1">IFERROR(__xludf.dummyfunction("""COMPUTED_VALUE"""),"SUPERIOR")</f>
        <v>SUPERIOR</v>
      </c>
      <c r="I451" s="10" t="str">
        <f ca="1">IFERROR(__xludf.dummyfunction("""COMPUTED_VALUE"""),"INFORMÁTICA")</f>
        <v>INFORMÁTICA</v>
      </c>
      <c r="J451" s="10" t="str">
        <f ca="1">IFERROR(__xludf.dummyfunction("""COMPUTED_VALUE"""),"MANHÃ")</f>
        <v>MANHÃ</v>
      </c>
      <c r="K451" s="10" t="str">
        <f ca="1">IFERROR(__xludf.dummyfunction("""COMPUTED_VALUE"""),"TARDE")</f>
        <v>TARDE</v>
      </c>
      <c r="L451" s="10" t="str">
        <f ca="1">IFERROR(__xludf.dummyfunction("""COMPUTED_VALUE"""),"GOIÂNIA - GO")</f>
        <v>GOIÂNIA - GO</v>
      </c>
      <c r="M451" s="10">
        <f ca="1">IFERROR(__xludf.dummyfunction("""COMPUTED_VALUE"""),8)</f>
        <v>8</v>
      </c>
      <c r="N451" s="10" t="str">
        <f ca="1">IFERROR(__xludf.dummyfunction("""COMPUTED_VALUE"""),"DISPONÍVEL")</f>
        <v>DISPONÍVEL</v>
      </c>
      <c r="O451" s="12"/>
      <c r="P451" s="11"/>
      <c r="Q451" s="11"/>
      <c r="R451" s="11"/>
    </row>
    <row r="452" spans="1:18">
      <c r="A452" s="10">
        <f ca="1">IFERROR(__xludf.dummyfunction("""COMPUTED_VALUE"""),34)</f>
        <v>34</v>
      </c>
      <c r="B452" s="11" t="str">
        <f ca="1">IFERROR(__xludf.dummyfunction("""COMPUTED_VALUE"""),"GABRIEL GREGORIO DE SOUZA")</f>
        <v>GABRIEL GREGORIO DE SOUZA</v>
      </c>
      <c r="C452" s="11" t="str">
        <f ca="1">IFERROR(__xludf.dummyfunction("""COMPUTED_VALUE"""),"6496882")</f>
        <v>6496882</v>
      </c>
      <c r="D452" s="11" t="str">
        <f ca="1">IFERROR(__xludf.dummyfunction("""COMPUTED_VALUE"""),"06617342186")</f>
        <v>06617342186</v>
      </c>
      <c r="E452" s="11" t="str">
        <f ca="1">IFERROR(__xludf.dummyfunction("""COMPUTED_VALUE"""),"GAB.GREG2014@GMAIL.COM")</f>
        <v>GAB.GREG2014@GMAIL.COM</v>
      </c>
      <c r="F452" s="11" t="str">
        <f ca="1">IFERROR(__xludf.dummyfunction("""COMPUTED_VALUE"""),"(62) 32731750")</f>
        <v>(62) 32731750</v>
      </c>
      <c r="G452" s="11" t="str">
        <f ca="1">IFERROR(__xludf.dummyfunction("""COMPUTED_VALUE"""),"(62) 994946587")</f>
        <v>(62) 994946587</v>
      </c>
      <c r="H452" s="11" t="str">
        <f ca="1">IFERROR(__xludf.dummyfunction("""COMPUTED_VALUE"""),"SUPERIOR")</f>
        <v>SUPERIOR</v>
      </c>
      <c r="I452" s="10" t="str">
        <f ca="1">IFERROR(__xludf.dummyfunction("""COMPUTED_VALUE"""),"INFORMÁTICA")</f>
        <v>INFORMÁTICA</v>
      </c>
      <c r="J452" s="10" t="str">
        <f ca="1">IFERROR(__xludf.dummyfunction("""COMPUTED_VALUE"""),"NOITE")</f>
        <v>NOITE</v>
      </c>
      <c r="K452" s="10" t="str">
        <f ca="1">IFERROR(__xludf.dummyfunction("""COMPUTED_VALUE"""),"TARDE")</f>
        <v>TARDE</v>
      </c>
      <c r="L452" s="10" t="str">
        <f ca="1">IFERROR(__xludf.dummyfunction("""COMPUTED_VALUE"""),"GOIÂNIA - GO")</f>
        <v>GOIÂNIA - GO</v>
      </c>
      <c r="M452" s="10">
        <f ca="1">IFERROR(__xludf.dummyfunction("""COMPUTED_VALUE"""),7)</f>
        <v>7</v>
      </c>
      <c r="N452" s="10" t="str">
        <f ca="1">IFERROR(__xludf.dummyfunction("""COMPUTED_VALUE"""),"DISPONÍVEL")</f>
        <v>DISPONÍVEL</v>
      </c>
      <c r="O452" s="12"/>
      <c r="P452" s="11"/>
      <c r="Q452" s="11"/>
      <c r="R452" s="11"/>
    </row>
    <row r="453" spans="1:18">
      <c r="A453" s="10">
        <f ca="1">IFERROR(__xludf.dummyfunction("""COMPUTED_VALUE"""),35)</f>
        <v>35</v>
      </c>
      <c r="B453" s="11" t="str">
        <f ca="1">IFERROR(__xludf.dummyfunction("""COMPUTED_VALUE"""),"BRUNNO DOURADO SILVA")</f>
        <v>BRUNNO DOURADO SILVA</v>
      </c>
      <c r="C453" s="11" t="str">
        <f ca="1">IFERROR(__xludf.dummyfunction("""COMPUTED_VALUE"""),"5453237")</f>
        <v>5453237</v>
      </c>
      <c r="D453" s="11" t="str">
        <f ca="1">IFERROR(__xludf.dummyfunction("""COMPUTED_VALUE"""),"05703043182")</f>
        <v>05703043182</v>
      </c>
      <c r="E453" s="11" t="str">
        <f ca="1">IFERROR(__xludf.dummyfunction("""COMPUTED_VALUE"""),"DOURADOBRUNNO@GMAIL.COM")</f>
        <v>DOURADOBRUNNO@GMAIL.COM</v>
      </c>
      <c r="F453" s="11"/>
      <c r="G453" s="11" t="str">
        <f ca="1">IFERROR(__xludf.dummyfunction("""COMPUTED_VALUE"""),"(62) 992903250")</f>
        <v>(62) 992903250</v>
      </c>
      <c r="H453" s="11" t="str">
        <f ca="1">IFERROR(__xludf.dummyfunction("""COMPUTED_VALUE"""),"SUPERIOR")</f>
        <v>SUPERIOR</v>
      </c>
      <c r="I453" s="10" t="str">
        <f ca="1">IFERROR(__xludf.dummyfunction("""COMPUTED_VALUE"""),"INFORMÁTICA")</f>
        <v>INFORMÁTICA</v>
      </c>
      <c r="J453" s="10" t="str">
        <f ca="1">IFERROR(__xludf.dummyfunction("""COMPUTED_VALUE"""),"NOITE")</f>
        <v>NOITE</v>
      </c>
      <c r="K453" s="10" t="str">
        <f ca="1">IFERROR(__xludf.dummyfunction("""COMPUTED_VALUE"""),"TARDE")</f>
        <v>TARDE</v>
      </c>
      <c r="L453" s="10" t="str">
        <f ca="1">IFERROR(__xludf.dummyfunction("""COMPUTED_VALUE"""),"GOIÂNIA - GO")</f>
        <v>GOIÂNIA - GO</v>
      </c>
      <c r="M453" s="10">
        <f ca="1">IFERROR(__xludf.dummyfunction("""COMPUTED_VALUE"""),3)</f>
        <v>3</v>
      </c>
      <c r="N453" s="10" t="str">
        <f ca="1">IFERROR(__xludf.dummyfunction("""COMPUTED_VALUE"""),"DISPONÍVEL")</f>
        <v>DISPONÍVEL</v>
      </c>
      <c r="O453" s="12"/>
      <c r="P453" s="11"/>
      <c r="Q453" s="11"/>
      <c r="R453" s="11"/>
    </row>
    <row r="454" spans="1:18">
      <c r="A454" s="10">
        <f ca="1">IFERROR(__xludf.dummyfunction("""COMPUTED_VALUE"""),1)</f>
        <v>1</v>
      </c>
      <c r="B454" s="11" t="str">
        <f ca="1">IFERROR(__xludf.dummyfunction("""COMPUTED_VALUE"""),"GABRIELA GOMES DINIZ")</f>
        <v>GABRIELA GOMES DINIZ</v>
      </c>
      <c r="C454" s="11"/>
      <c r="D454" s="11" t="str">
        <f ca="1">IFERROR(__xludf.dummyfunction("""COMPUTED_VALUE"""),"08418854197")</f>
        <v>08418854197</v>
      </c>
      <c r="E454" s="11" t="str">
        <f ca="1">IFERROR(__xludf.dummyfunction("""COMPUTED_VALUE"""),"GABRIELA.DINIZ@DISCENTE.UFG.BR")</f>
        <v>GABRIELA.DINIZ@DISCENTE.UFG.BR</v>
      </c>
      <c r="F454" s="11"/>
      <c r="G454" s="11" t="str">
        <f ca="1">IFERROR(__xludf.dummyfunction("""COMPUTED_VALUE"""),"(62) 996919046")</f>
        <v>(62) 996919046</v>
      </c>
      <c r="H454" s="11" t="str">
        <f ca="1">IFERROR(__xludf.dummyfunction("""COMPUTED_VALUE"""),"SUPERIOR")</f>
        <v>SUPERIOR</v>
      </c>
      <c r="I454" s="10" t="str">
        <f ca="1">IFERROR(__xludf.dummyfunction("""COMPUTED_VALUE"""),"JORNALISMO")</f>
        <v>JORNALISMO</v>
      </c>
      <c r="J454" s="10" t="str">
        <f ca="1">IFERROR(__xludf.dummyfunction("""COMPUTED_VALUE"""),"MANHÃ")</f>
        <v>MANHÃ</v>
      </c>
      <c r="K454" s="10" t="str">
        <f ca="1">IFERROR(__xludf.dummyfunction("""COMPUTED_VALUE"""),"TARDE")</f>
        <v>TARDE</v>
      </c>
      <c r="L454" s="10" t="str">
        <f ca="1">IFERROR(__xludf.dummyfunction("""COMPUTED_VALUE"""),"GOIÂNIA - GO")</f>
        <v>GOIÂNIA - GO</v>
      </c>
      <c r="M454" s="10">
        <f ca="1">IFERROR(__xludf.dummyfunction("""COMPUTED_VALUE"""),5)</f>
        <v>5</v>
      </c>
      <c r="N454" s="10" t="str">
        <f ca="1">IFERROR(__xludf.dummyfunction("""COMPUTED_VALUE"""),"DISPONÍVEL")</f>
        <v>DISPONÍVEL</v>
      </c>
      <c r="O454" s="12"/>
      <c r="P454" s="11"/>
      <c r="Q454" s="11"/>
      <c r="R454" s="11"/>
    </row>
    <row r="455" spans="1:18">
      <c r="A455" s="10">
        <f ca="1">IFERROR(__xludf.dummyfunction("""COMPUTED_VALUE"""),2)</f>
        <v>2</v>
      </c>
      <c r="B455" s="11" t="str">
        <f ca="1">IFERROR(__xludf.dummyfunction("""COMPUTED_VALUE"""),"EVANDRO CARLOS FILHO RIBEIRO DE CASTRO")</f>
        <v>EVANDRO CARLOS FILHO RIBEIRO DE CASTRO</v>
      </c>
      <c r="C455" s="11" t="str">
        <f ca="1">IFERROR(__xludf.dummyfunction("""COMPUTED_VALUE"""),"5995440")</f>
        <v>5995440</v>
      </c>
      <c r="D455" s="11" t="str">
        <f ca="1">IFERROR(__xludf.dummyfunction("""COMPUTED_VALUE"""),"02040070117")</f>
        <v>02040070117</v>
      </c>
      <c r="E455" s="11" t="str">
        <f ca="1">IFERROR(__xludf.dummyfunction("""COMPUTED_VALUE"""),"EVANDROCARLOSFILHO@HOTMAIL.COM")</f>
        <v>EVANDROCARLOSFILHO@HOTMAIL.COM</v>
      </c>
      <c r="F455" s="11"/>
      <c r="G455" s="11" t="str">
        <f ca="1">IFERROR(__xludf.dummyfunction("""COMPUTED_VALUE"""),"(62) 984962242")</f>
        <v>(62) 984962242</v>
      </c>
      <c r="H455" s="11" t="str">
        <f ca="1">IFERROR(__xludf.dummyfunction("""COMPUTED_VALUE"""),"SUPERIOR")</f>
        <v>SUPERIOR</v>
      </c>
      <c r="I455" s="10" t="str">
        <f ca="1">IFERROR(__xludf.dummyfunction("""COMPUTED_VALUE"""),"JORNALISMO")</f>
        <v>JORNALISMO</v>
      </c>
      <c r="J455" s="10" t="str">
        <f ca="1">IFERROR(__xludf.dummyfunction("""COMPUTED_VALUE"""),"MANHÃ")</f>
        <v>MANHÃ</v>
      </c>
      <c r="K455" s="10" t="str">
        <f ca="1">IFERROR(__xludf.dummyfunction("""COMPUTED_VALUE"""),"TARDE")</f>
        <v>TARDE</v>
      </c>
      <c r="L455" s="10" t="str">
        <f ca="1">IFERROR(__xludf.dummyfunction("""COMPUTED_VALUE"""),"GOIÂNIA - GO")</f>
        <v>GOIÂNIA - GO</v>
      </c>
      <c r="M455" s="10">
        <f ca="1">IFERROR(__xludf.dummyfunction("""COMPUTED_VALUE"""),6)</f>
        <v>6</v>
      </c>
      <c r="N455" s="10" t="str">
        <f ca="1">IFERROR(__xludf.dummyfunction("""COMPUTED_VALUE"""),"DISPONÍVEL")</f>
        <v>DISPONÍVEL</v>
      </c>
      <c r="O455" s="12"/>
      <c r="P455" s="11"/>
      <c r="Q455" s="11"/>
      <c r="R455" s="11"/>
    </row>
    <row r="456" spans="1:18">
      <c r="A456" s="10">
        <f ca="1">IFERROR(__xludf.dummyfunction("""COMPUTED_VALUE"""),3)</f>
        <v>3</v>
      </c>
      <c r="B456" s="11" t="str">
        <f ca="1">IFERROR(__xludf.dummyfunction("""COMPUTED_VALUE"""),"JHULIE CAROLINE DOS SANTOS PINHO")</f>
        <v>JHULIE CAROLINE DOS SANTOS PINHO</v>
      </c>
      <c r="C456" s="11" t="str">
        <f ca="1">IFERROR(__xludf.dummyfunction("""COMPUTED_VALUE"""),"7030740")</f>
        <v>7030740</v>
      </c>
      <c r="D456" s="11" t="str">
        <f ca="1">IFERROR(__xludf.dummyfunction("""COMPUTED_VALUE"""),"70944625142")</f>
        <v>70944625142</v>
      </c>
      <c r="E456" s="11" t="str">
        <f ca="1">IFERROR(__xludf.dummyfunction("""COMPUTED_VALUE"""),"JHULIECAROLINESANTOS@GMAIL.COM")</f>
        <v>JHULIECAROLINESANTOS@GMAIL.COM</v>
      </c>
      <c r="F456" s="11" t="str">
        <f ca="1">IFERROR(__xludf.dummyfunction("""COMPUTED_VALUE"""),"(62) 99336019")</f>
        <v>(62) 99336019</v>
      </c>
      <c r="G456" s="11" t="str">
        <f ca="1">IFERROR(__xludf.dummyfunction("""COMPUTED_VALUE"""),"(62) 984928840")</f>
        <v>(62) 984928840</v>
      </c>
      <c r="H456" s="11" t="str">
        <f ca="1">IFERROR(__xludf.dummyfunction("""COMPUTED_VALUE"""),"SUPERIOR")</f>
        <v>SUPERIOR</v>
      </c>
      <c r="I456" s="10" t="str">
        <f ca="1">IFERROR(__xludf.dummyfunction("""COMPUTED_VALUE"""),"JORNALISMO")</f>
        <v>JORNALISMO</v>
      </c>
      <c r="J456" s="10" t="str">
        <f ca="1">IFERROR(__xludf.dummyfunction("""COMPUTED_VALUE"""),"NOITE")</f>
        <v>NOITE</v>
      </c>
      <c r="K456" s="10" t="str">
        <f ca="1">IFERROR(__xludf.dummyfunction("""COMPUTED_VALUE"""),"TARDE")</f>
        <v>TARDE</v>
      </c>
      <c r="L456" s="10" t="str">
        <f ca="1">IFERROR(__xludf.dummyfunction("""COMPUTED_VALUE"""),"GOIÂNIA - GO")</f>
        <v>GOIÂNIA - GO</v>
      </c>
      <c r="M456" s="10">
        <f ca="1">IFERROR(__xludf.dummyfunction("""COMPUTED_VALUE"""),6)</f>
        <v>6</v>
      </c>
      <c r="N456" s="10" t="str">
        <f ca="1">IFERROR(__xludf.dummyfunction("""COMPUTED_VALUE"""),"DISPONÍVEL")</f>
        <v>DISPONÍVEL</v>
      </c>
      <c r="O456" s="12"/>
      <c r="P456" s="11"/>
      <c r="Q456" s="11"/>
      <c r="R456" s="11"/>
    </row>
    <row r="457" spans="1:18">
      <c r="A457" s="10">
        <f ca="1">IFERROR(__xludf.dummyfunction("""COMPUTED_VALUE"""),4)</f>
        <v>4</v>
      </c>
      <c r="B457" s="11" t="str">
        <f ca="1">IFERROR(__xludf.dummyfunction("""COMPUTED_VALUE"""),"ENZO CARMIGNOLLI GOMES")</f>
        <v>ENZO CARMIGNOLLI GOMES</v>
      </c>
      <c r="C457" s="11" t="str">
        <f ca="1">IFERROR(__xludf.dummyfunction("""COMPUTED_VALUE"""),"6161247")</f>
        <v>6161247</v>
      </c>
      <c r="D457" s="11" t="str">
        <f ca="1">IFERROR(__xludf.dummyfunction("""COMPUTED_VALUE"""),"70240675193")</f>
        <v>70240675193</v>
      </c>
      <c r="E457" s="11" t="str">
        <f ca="1">IFERROR(__xludf.dummyfunction("""COMPUTED_VALUE"""),"CARMIGNOLLIE@GMAIL.COM")</f>
        <v>CARMIGNOLLIE@GMAIL.COM</v>
      </c>
      <c r="F457" s="11" t="str">
        <f ca="1">IFERROR(__xludf.dummyfunction("""COMPUTED_VALUE"""),"(62) 98213777")</f>
        <v>(62) 98213777</v>
      </c>
      <c r="G457" s="11" t="str">
        <f ca="1">IFERROR(__xludf.dummyfunction("""COMPUTED_VALUE"""),"(62) 982137771")</f>
        <v>(62) 982137771</v>
      </c>
      <c r="H457" s="11" t="str">
        <f ca="1">IFERROR(__xludf.dummyfunction("""COMPUTED_VALUE"""),"SUPERIOR")</f>
        <v>SUPERIOR</v>
      </c>
      <c r="I457" s="10" t="str">
        <f ca="1">IFERROR(__xludf.dummyfunction("""COMPUTED_VALUE"""),"JORNALISMO")</f>
        <v>JORNALISMO</v>
      </c>
      <c r="J457" s="10" t="str">
        <f ca="1">IFERROR(__xludf.dummyfunction("""COMPUTED_VALUE"""),"MANHÃ")</f>
        <v>MANHÃ</v>
      </c>
      <c r="K457" s="10" t="str">
        <f ca="1">IFERROR(__xludf.dummyfunction("""COMPUTED_VALUE"""),"TARDE")</f>
        <v>TARDE</v>
      </c>
      <c r="L457" s="10" t="str">
        <f ca="1">IFERROR(__xludf.dummyfunction("""COMPUTED_VALUE"""),"GOIÂNIA - GO")</f>
        <v>GOIÂNIA - GO</v>
      </c>
      <c r="M457" s="10">
        <f ca="1">IFERROR(__xludf.dummyfunction("""COMPUTED_VALUE"""),3)</f>
        <v>3</v>
      </c>
      <c r="N457" s="10" t="str">
        <f ca="1">IFERROR(__xludf.dummyfunction("""COMPUTED_VALUE"""),"DISPONÍVEL")</f>
        <v>DISPONÍVEL</v>
      </c>
      <c r="O457" s="12"/>
      <c r="P457" s="11"/>
      <c r="Q457" s="11"/>
      <c r="R457" s="11"/>
    </row>
    <row r="458" spans="1:18">
      <c r="A458" s="10">
        <f ca="1">IFERROR(__xludf.dummyfunction("""COMPUTED_VALUE"""),5)</f>
        <v>5</v>
      </c>
      <c r="B458" s="11" t="str">
        <f ca="1">IFERROR(__xludf.dummyfunction("""COMPUTED_VALUE"""),"AMANDA GABRIELE SOUZA LIMA")</f>
        <v>AMANDA GABRIELE SOUZA LIMA</v>
      </c>
      <c r="C458" s="11"/>
      <c r="D458" s="11" t="str">
        <f ca="1">IFERROR(__xludf.dummyfunction("""COMPUTED_VALUE"""),"08064473110")</f>
        <v>08064473110</v>
      </c>
      <c r="E458" s="11" t="str">
        <f ca="1">IFERROR(__xludf.dummyfunction("""COMPUTED_VALUE"""),"AMANDA.GABRIELE@DISCENTE.UFG.BR")</f>
        <v>AMANDA.GABRIELE@DISCENTE.UFG.BR</v>
      </c>
      <c r="F458" s="11"/>
      <c r="G458" s="11" t="str">
        <f ca="1">IFERROR(__xludf.dummyfunction("""COMPUTED_VALUE"""),"(62) 984687618")</f>
        <v>(62) 984687618</v>
      </c>
      <c r="H458" s="11" t="str">
        <f ca="1">IFERROR(__xludf.dummyfunction("""COMPUTED_VALUE"""),"SUPERIOR")</f>
        <v>SUPERIOR</v>
      </c>
      <c r="I458" s="10" t="str">
        <f ca="1">IFERROR(__xludf.dummyfunction("""COMPUTED_VALUE"""),"JORNALISMO")</f>
        <v>JORNALISMO</v>
      </c>
      <c r="J458" s="10" t="str">
        <f ca="1">IFERROR(__xludf.dummyfunction("""COMPUTED_VALUE"""),"MANHÃ")</f>
        <v>MANHÃ</v>
      </c>
      <c r="K458" s="10" t="str">
        <f ca="1">IFERROR(__xludf.dummyfunction("""COMPUTED_VALUE"""),"TARDE")</f>
        <v>TARDE</v>
      </c>
      <c r="L458" s="10" t="str">
        <f ca="1">IFERROR(__xludf.dummyfunction("""COMPUTED_VALUE"""),"GOIÂNIA - GO")</f>
        <v>GOIÂNIA - GO</v>
      </c>
      <c r="M458" s="10">
        <f ca="1">IFERROR(__xludf.dummyfunction("""COMPUTED_VALUE"""),4)</f>
        <v>4</v>
      </c>
      <c r="N458" s="10" t="str">
        <f ca="1">IFERROR(__xludf.dummyfunction("""COMPUTED_VALUE"""),"DISPONÍVEL")</f>
        <v>DISPONÍVEL</v>
      </c>
      <c r="O458" s="12"/>
      <c r="P458" s="11"/>
      <c r="Q458" s="11"/>
      <c r="R458" s="11"/>
    </row>
    <row r="459" spans="1:18">
      <c r="A459" s="10">
        <f ca="1">IFERROR(__xludf.dummyfunction("""COMPUTED_VALUE"""),6)</f>
        <v>6</v>
      </c>
      <c r="B459" s="11" t="str">
        <f ca="1">IFERROR(__xludf.dummyfunction("""COMPUTED_VALUE"""),"JOÃO PEDRO SANTOS FERREIRA")</f>
        <v>JOÃO PEDRO SANTOS FERREIRA</v>
      </c>
      <c r="C459" s="11" t="str">
        <f ca="1">IFERROR(__xludf.dummyfunction("""COMPUTED_VALUE"""),"5852748")</f>
        <v>5852748</v>
      </c>
      <c r="D459" s="11" t="str">
        <f ca="1">IFERROR(__xludf.dummyfunction("""COMPUTED_VALUE"""),"70016292197")</f>
        <v>70016292197</v>
      </c>
      <c r="E459" s="11" t="str">
        <f ca="1">IFERROR(__xludf.dummyfunction("""COMPUTED_VALUE"""),"JPPRETO99@GMAIL.COM")</f>
        <v>JPPRETO99@GMAIL.COM</v>
      </c>
      <c r="F459" s="11" t="str">
        <f ca="1">IFERROR(__xludf.dummyfunction("""COMPUTED_VALUE"""),"(62) 32389020")</f>
        <v>(62) 32389020</v>
      </c>
      <c r="G459" s="11" t="str">
        <f ca="1">IFERROR(__xludf.dummyfunction("""COMPUTED_VALUE"""),"(62) 998119832")</f>
        <v>(62) 998119832</v>
      </c>
      <c r="H459" s="11" t="str">
        <f ca="1">IFERROR(__xludf.dummyfunction("""COMPUTED_VALUE"""),"SUPERIOR")</f>
        <v>SUPERIOR</v>
      </c>
      <c r="I459" s="10" t="str">
        <f ca="1">IFERROR(__xludf.dummyfunction("""COMPUTED_VALUE"""),"JORNALISMO")</f>
        <v>JORNALISMO</v>
      </c>
      <c r="J459" s="10" t="str">
        <f ca="1">IFERROR(__xludf.dummyfunction("""COMPUTED_VALUE"""),"MANHÃ")</f>
        <v>MANHÃ</v>
      </c>
      <c r="K459" s="10" t="str">
        <f ca="1">IFERROR(__xludf.dummyfunction("""COMPUTED_VALUE"""),"TARDE")</f>
        <v>TARDE</v>
      </c>
      <c r="L459" s="10" t="str">
        <f ca="1">IFERROR(__xludf.dummyfunction("""COMPUTED_VALUE"""),"GOIÂNIA - GO")</f>
        <v>GOIÂNIA - GO</v>
      </c>
      <c r="M459" s="10">
        <f ca="1">IFERROR(__xludf.dummyfunction("""COMPUTED_VALUE"""),8)</f>
        <v>8</v>
      </c>
      <c r="N459" s="10" t="str">
        <f ca="1">IFERROR(__xludf.dummyfunction("""COMPUTED_VALUE"""),"DISPONÍVEL")</f>
        <v>DISPONÍVEL</v>
      </c>
      <c r="O459" s="12">
        <f ca="1">IFERROR(__xludf.dummyfunction("""COMPUTED_VALUE"""),45327)</f>
        <v>45327</v>
      </c>
      <c r="P459" s="11"/>
      <c r="Q459" s="11"/>
      <c r="R459" s="11"/>
    </row>
    <row r="460" spans="1:18">
      <c r="A460" s="10">
        <f ca="1">IFERROR(__xludf.dummyfunction("""COMPUTED_VALUE"""),7)</f>
        <v>7</v>
      </c>
      <c r="B460" s="11" t="str">
        <f ca="1">IFERROR(__xludf.dummyfunction("""COMPUTED_VALUE"""),"CAUANE RODRIGUES DE SOUZA")</f>
        <v>CAUANE RODRIGUES DE SOUZA</v>
      </c>
      <c r="C460" s="11" t="str">
        <f ca="1">IFERROR(__xludf.dummyfunction("""COMPUTED_VALUE"""),"373211")</f>
        <v>373211</v>
      </c>
      <c r="D460" s="11" t="str">
        <f ca="1">IFERROR(__xludf.dummyfunction("""COMPUTED_VALUE"""),"07218871127")</f>
        <v>07218871127</v>
      </c>
      <c r="E460" s="11" t="str">
        <f ca="1">IFERROR(__xludf.dummyfunction("""COMPUTED_VALUE"""),"CAUANESOUZA168@GMAIL.COM")</f>
        <v>CAUANESOUZA168@GMAIL.COM</v>
      </c>
      <c r="F460" s="11" t="str">
        <f ca="1">IFERROR(__xludf.dummyfunction("""COMPUTED_VALUE"""),"(61) 98715796")</f>
        <v>(61) 98715796</v>
      </c>
      <c r="G460" s="11" t="str">
        <f ca="1">IFERROR(__xludf.dummyfunction("""COMPUTED_VALUE"""),"(61) 998715796")</f>
        <v>(61) 998715796</v>
      </c>
      <c r="H460" s="11" t="str">
        <f ca="1">IFERROR(__xludf.dummyfunction("""COMPUTED_VALUE"""),"SUPERIOR")</f>
        <v>SUPERIOR</v>
      </c>
      <c r="I460" s="10" t="str">
        <f ca="1">IFERROR(__xludf.dummyfunction("""COMPUTED_VALUE"""),"JORNALISMO")</f>
        <v>JORNALISMO</v>
      </c>
      <c r="J460" s="10" t="str">
        <f ca="1">IFERROR(__xludf.dummyfunction("""COMPUTED_VALUE"""),"VARIÁVEL")</f>
        <v>VARIÁVEL</v>
      </c>
      <c r="K460" s="10" t="str">
        <f ca="1">IFERROR(__xludf.dummyfunction("""COMPUTED_VALUE"""),"TARDE")</f>
        <v>TARDE</v>
      </c>
      <c r="L460" s="10" t="str">
        <f ca="1">IFERROR(__xludf.dummyfunction("""COMPUTED_VALUE"""),"GOIÂNIA - GO")</f>
        <v>GOIÂNIA - GO</v>
      </c>
      <c r="M460" s="10">
        <f ca="1">IFERROR(__xludf.dummyfunction("""COMPUTED_VALUE"""),3)</f>
        <v>3</v>
      </c>
      <c r="N460" s="10" t="str">
        <f ca="1">IFERROR(__xludf.dummyfunction("""COMPUTED_VALUE"""),"DISPONÍVEL")</f>
        <v>DISPONÍVEL</v>
      </c>
      <c r="O460" s="12"/>
      <c r="P460" s="11"/>
      <c r="Q460" s="11"/>
      <c r="R460" s="11"/>
    </row>
    <row r="461" spans="1:18">
      <c r="A461" s="10">
        <f ca="1">IFERROR(__xludf.dummyfunction("""COMPUTED_VALUE"""),8)</f>
        <v>8</v>
      </c>
      <c r="B461" s="11" t="str">
        <f ca="1">IFERROR(__xludf.dummyfunction("""COMPUTED_VALUE"""),"ANNA LUIZA FEITOSA FERNANDES")</f>
        <v>ANNA LUIZA FEITOSA FERNANDES</v>
      </c>
      <c r="C461" s="11"/>
      <c r="D461" s="11" t="str">
        <f ca="1">IFERROR(__xludf.dummyfunction("""COMPUTED_VALUE"""),"70072804122")</f>
        <v>70072804122</v>
      </c>
      <c r="E461" s="11" t="str">
        <f ca="1">IFERROR(__xludf.dummyfunction("""COMPUTED_VALUE"""),"ANNALUIZA2@DISCENTE.UFG.BR")</f>
        <v>ANNALUIZA2@DISCENTE.UFG.BR</v>
      </c>
      <c r="F461" s="11"/>
      <c r="G461" s="11" t="str">
        <f ca="1">IFERROR(__xludf.dummyfunction("""COMPUTED_VALUE"""),"(62) 992472966")</f>
        <v>(62) 992472966</v>
      </c>
      <c r="H461" s="11" t="str">
        <f ca="1">IFERROR(__xludf.dummyfunction("""COMPUTED_VALUE"""),"SUPERIOR")</f>
        <v>SUPERIOR</v>
      </c>
      <c r="I461" s="10" t="str">
        <f ca="1">IFERROR(__xludf.dummyfunction("""COMPUTED_VALUE"""),"JORNALISMO")</f>
        <v>JORNALISMO</v>
      </c>
      <c r="J461" s="10" t="str">
        <f ca="1">IFERROR(__xludf.dummyfunction("""COMPUTED_VALUE"""),"MANHÃ")</f>
        <v>MANHÃ</v>
      </c>
      <c r="K461" s="10" t="str">
        <f ca="1">IFERROR(__xludf.dummyfunction("""COMPUTED_VALUE"""),"TARDE")</f>
        <v>TARDE</v>
      </c>
      <c r="L461" s="10" t="str">
        <f ca="1">IFERROR(__xludf.dummyfunction("""COMPUTED_VALUE"""),"GOIÂNIA - GO")</f>
        <v>GOIÂNIA - GO</v>
      </c>
      <c r="M461" s="10">
        <f ca="1">IFERROR(__xludf.dummyfunction("""COMPUTED_VALUE"""),5)</f>
        <v>5</v>
      </c>
      <c r="N461" s="10" t="str">
        <f ca="1">IFERROR(__xludf.dummyfunction("""COMPUTED_VALUE"""),"DISPONÍVEL")</f>
        <v>DISPONÍVEL</v>
      </c>
      <c r="O461" s="12"/>
      <c r="P461" s="11"/>
      <c r="Q461" s="11"/>
      <c r="R461" s="11"/>
    </row>
    <row r="462" spans="1:18">
      <c r="A462" s="10">
        <f ca="1">IFERROR(__xludf.dummyfunction("""COMPUTED_VALUE"""),9)</f>
        <v>9</v>
      </c>
      <c r="B462" s="11" t="str">
        <f ca="1">IFERROR(__xludf.dummyfunction("""COMPUTED_VALUE"""),"BRENDA FERREIRA SILVA")</f>
        <v>BRENDA FERREIRA SILVA</v>
      </c>
      <c r="C462" s="11"/>
      <c r="D462" s="11" t="str">
        <f ca="1">IFERROR(__xludf.dummyfunction("""COMPUTED_VALUE"""),"04947164107")</f>
        <v>04947164107</v>
      </c>
      <c r="E462" s="11" t="str">
        <f ca="1">IFERROR(__xludf.dummyfunction("""COMPUTED_VALUE"""),"BRENDAFERREIRA070@GMAIL.COM")</f>
        <v>BRENDAFERREIRA070@GMAIL.COM</v>
      </c>
      <c r="F462" s="11" t="str">
        <f ca="1">IFERROR(__xludf.dummyfunction("""COMPUTED_VALUE"""),"(62) 96387199")</f>
        <v>(62) 96387199</v>
      </c>
      <c r="G462" s="11" t="str">
        <f ca="1">IFERROR(__xludf.dummyfunction("""COMPUTED_VALUE"""),"(62) 985095570")</f>
        <v>(62) 985095570</v>
      </c>
      <c r="H462" s="11" t="str">
        <f ca="1">IFERROR(__xludf.dummyfunction("""COMPUTED_VALUE"""),"SUPERIOR")</f>
        <v>SUPERIOR</v>
      </c>
      <c r="I462" s="10" t="str">
        <f ca="1">IFERROR(__xludf.dummyfunction("""COMPUTED_VALUE"""),"JORNALISMO")</f>
        <v>JORNALISMO</v>
      </c>
      <c r="J462" s="10" t="str">
        <f ca="1">IFERROR(__xludf.dummyfunction("""COMPUTED_VALUE"""),"NOITE")</f>
        <v>NOITE</v>
      </c>
      <c r="K462" s="10" t="str">
        <f ca="1">IFERROR(__xludf.dummyfunction("""COMPUTED_VALUE"""),"TARDE")</f>
        <v>TARDE</v>
      </c>
      <c r="L462" s="10" t="str">
        <f ca="1">IFERROR(__xludf.dummyfunction("""COMPUTED_VALUE"""),"GOIÂNIA - GO")</f>
        <v>GOIÂNIA - GO</v>
      </c>
      <c r="M462" s="10">
        <f ca="1">IFERROR(__xludf.dummyfunction("""COMPUTED_VALUE"""),7)</f>
        <v>7</v>
      </c>
      <c r="N462" s="10" t="str">
        <f ca="1">IFERROR(__xludf.dummyfunction("""COMPUTED_VALUE"""),"DISPONÍVEL")</f>
        <v>DISPONÍVEL</v>
      </c>
      <c r="O462" s="12"/>
      <c r="P462" s="11"/>
      <c r="Q462" s="11"/>
      <c r="R462" s="11"/>
    </row>
    <row r="463" spans="1:18">
      <c r="A463" s="10">
        <f ca="1">IFERROR(__xludf.dummyfunction("""COMPUTED_VALUE"""),1)</f>
        <v>1</v>
      </c>
      <c r="B463" s="11" t="str">
        <f ca="1">IFERROR(__xludf.dummyfunction("""COMPUTED_VALUE"""),"ANNA LISSA MACENA DA SILVA")</f>
        <v>ANNA LISSA MACENA DA SILVA</v>
      </c>
      <c r="C463" s="11" t="str">
        <f ca="1">IFERROR(__xludf.dummyfunction("""COMPUTED_VALUE"""),"3045657")</f>
        <v>3045657</v>
      </c>
      <c r="D463" s="11" t="str">
        <f ca="1">IFERROR(__xludf.dummyfunction("""COMPUTED_VALUE"""),"04839530165")</f>
        <v>04839530165</v>
      </c>
      <c r="E463" s="11" t="str">
        <f ca="1">IFERROR(__xludf.dummyfunction("""COMPUTED_VALUE"""),"ANNALISSA.MACENA@HOTMAIL.COM")</f>
        <v>ANNALISSA.MACENA@HOTMAIL.COM</v>
      </c>
      <c r="F463" s="11"/>
      <c r="G463" s="11" t="str">
        <f ca="1">IFERROR(__xludf.dummyfunction("""COMPUTED_VALUE"""),"(61) 993617318")</f>
        <v>(61) 993617318</v>
      </c>
      <c r="H463" s="11" t="str">
        <f ca="1">IFERROR(__xludf.dummyfunction("""COMPUTED_VALUE"""),"SUPERIOR")</f>
        <v>SUPERIOR</v>
      </c>
      <c r="I463" s="10" t="str">
        <f ca="1">IFERROR(__xludf.dummyfunction("""COMPUTED_VALUE"""),"PEDAGOGIA")</f>
        <v>PEDAGOGIA</v>
      </c>
      <c r="J463" s="10" t="str">
        <f ca="1">IFERROR(__xludf.dummyfunction("""COMPUTED_VALUE"""),"VARIÁVEL")</f>
        <v>VARIÁVEL</v>
      </c>
      <c r="K463" s="10" t="str">
        <f ca="1">IFERROR(__xludf.dummyfunction("""COMPUTED_VALUE"""),"TARDE")</f>
        <v>TARDE</v>
      </c>
      <c r="L463" s="10" t="str">
        <f ca="1">IFERROR(__xludf.dummyfunction("""COMPUTED_VALUE"""),"GOIÂNIA - GO")</f>
        <v>GOIÂNIA - GO</v>
      </c>
      <c r="M463" s="10">
        <f ca="1">IFERROR(__xludf.dummyfunction("""COMPUTED_VALUE"""),8)</f>
        <v>8</v>
      </c>
      <c r="N463" s="10" t="str">
        <f ca="1">IFERROR(__xludf.dummyfunction("""COMPUTED_VALUE"""),"DESCLASSIFICADO")</f>
        <v>DESCLASSIFICADO</v>
      </c>
      <c r="O463" s="12"/>
      <c r="P463" s="11" t="str">
        <f ca="1">IFERROR(__xludf.dummyfunction("""COMPUTED_VALUE"""),"Formada")</f>
        <v>Formada</v>
      </c>
      <c r="Q463" s="11"/>
      <c r="R463" s="11"/>
    </row>
    <row r="464" spans="1:18">
      <c r="A464" s="10">
        <f ca="1">IFERROR(__xludf.dummyfunction("""COMPUTED_VALUE"""),2)</f>
        <v>2</v>
      </c>
      <c r="B464" s="11" t="str">
        <f ca="1">IFERROR(__xludf.dummyfunction("""COMPUTED_VALUE"""),"MARIA CLARA REGES CAMPOS")</f>
        <v>MARIA CLARA REGES CAMPOS</v>
      </c>
      <c r="C464" s="11" t="str">
        <f ca="1">IFERROR(__xludf.dummyfunction("""COMPUTED_VALUE"""),"7167917")</f>
        <v>7167917</v>
      </c>
      <c r="D464" s="11" t="str">
        <f ca="1">IFERROR(__xludf.dummyfunction("""COMPUTED_VALUE"""),"08423977102")</f>
        <v>08423977102</v>
      </c>
      <c r="E464" s="11" t="str">
        <f ca="1">IFERROR(__xludf.dummyfunction("""COMPUTED_VALUE"""),"REGESCLARA@GMAIL.COM")</f>
        <v>REGESCLARA@GMAIL.COM</v>
      </c>
      <c r="F464" s="11"/>
      <c r="G464" s="11" t="str">
        <f ca="1">IFERROR(__xludf.dummyfunction("""COMPUTED_VALUE"""),"(62) 996599096")</f>
        <v>(62) 996599096</v>
      </c>
      <c r="H464" s="11" t="str">
        <f ca="1">IFERROR(__xludf.dummyfunction("""COMPUTED_VALUE"""),"SUPERIOR")</f>
        <v>SUPERIOR</v>
      </c>
      <c r="I464" s="10" t="str">
        <f ca="1">IFERROR(__xludf.dummyfunction("""COMPUTED_VALUE"""),"PEDAGOGIA")</f>
        <v>PEDAGOGIA</v>
      </c>
      <c r="J464" s="10" t="str">
        <f ca="1">IFERROR(__xludf.dummyfunction("""COMPUTED_VALUE"""),"NOITE")</f>
        <v>NOITE</v>
      </c>
      <c r="K464" s="10" t="str">
        <f ca="1">IFERROR(__xludf.dummyfunction("""COMPUTED_VALUE"""),"TARDE")</f>
        <v>TARDE</v>
      </c>
      <c r="L464" s="10" t="str">
        <f ca="1">IFERROR(__xludf.dummyfunction("""COMPUTED_VALUE"""),"GOIÂNIA - GO")</f>
        <v>GOIÂNIA - GO</v>
      </c>
      <c r="M464" s="10">
        <f ca="1">IFERROR(__xludf.dummyfunction("""COMPUTED_VALUE"""),3)</f>
        <v>3</v>
      </c>
      <c r="N464" s="10" t="str">
        <f ca="1">IFERROR(__xludf.dummyfunction("""COMPUTED_VALUE"""),"1ª CONVOCAÇÃO")</f>
        <v>1ª CONVOCAÇÃO</v>
      </c>
      <c r="O464" s="12"/>
      <c r="P464" s="11"/>
      <c r="Q464" s="11"/>
      <c r="R464" s="11"/>
    </row>
    <row r="465" spans="1:18">
      <c r="A465" s="10">
        <f ca="1">IFERROR(__xludf.dummyfunction("""COMPUTED_VALUE"""),3)</f>
        <v>3</v>
      </c>
      <c r="B465" s="11" t="str">
        <f ca="1">IFERROR(__xludf.dummyfunction("""COMPUTED_VALUE"""),"SUSANA DA SILVA MORAIS")</f>
        <v>SUSANA DA SILVA MORAIS</v>
      </c>
      <c r="C465" s="11" t="str">
        <f ca="1">IFERROR(__xludf.dummyfunction("""COMPUTED_VALUE"""),"151268420009")</f>
        <v>151268420009</v>
      </c>
      <c r="D465" s="11" t="str">
        <f ca="1">IFERROR(__xludf.dummyfunction("""COMPUTED_VALUE"""),"02201627355")</f>
        <v>02201627355</v>
      </c>
      <c r="E465" s="11" t="str">
        <f ca="1">IFERROR(__xludf.dummyfunction("""COMPUTED_VALUE"""),"SUSANASMORAIS@HOTMAIL.COM")</f>
        <v>SUSANASMORAIS@HOTMAIL.COM</v>
      </c>
      <c r="F465" s="11"/>
      <c r="G465" s="11" t="str">
        <f ca="1">IFERROR(__xludf.dummyfunction("""COMPUTED_VALUE"""),"(62) 992471664")</f>
        <v>(62) 992471664</v>
      </c>
      <c r="H465" s="11" t="str">
        <f ca="1">IFERROR(__xludf.dummyfunction("""COMPUTED_VALUE"""),"SUPERIOR")</f>
        <v>SUPERIOR</v>
      </c>
      <c r="I465" s="10" t="str">
        <f ca="1">IFERROR(__xludf.dummyfunction("""COMPUTED_VALUE"""),"PEDAGOGIA")</f>
        <v>PEDAGOGIA</v>
      </c>
      <c r="J465" s="10" t="str">
        <f ca="1">IFERROR(__xludf.dummyfunction("""COMPUTED_VALUE"""),"NOITE")</f>
        <v>NOITE</v>
      </c>
      <c r="K465" s="10" t="str">
        <f ca="1">IFERROR(__xludf.dummyfunction("""COMPUTED_VALUE"""),"TARDE")</f>
        <v>TARDE</v>
      </c>
      <c r="L465" s="10" t="str">
        <f ca="1">IFERROR(__xludf.dummyfunction("""COMPUTED_VALUE"""),"GOIÂNIA - GO")</f>
        <v>GOIÂNIA - GO</v>
      </c>
      <c r="M465" s="10">
        <f ca="1">IFERROR(__xludf.dummyfunction("""COMPUTED_VALUE"""),3)</f>
        <v>3</v>
      </c>
      <c r="N465" s="10" t="str">
        <f ca="1">IFERROR(__xludf.dummyfunction("""COMPUTED_VALUE"""),"NÃO ATENDE/AGUARDANDO RETORNO")</f>
        <v>NÃO ATENDE/AGUARDANDO RETORNO</v>
      </c>
      <c r="O465" s="12"/>
      <c r="P465" s="11"/>
      <c r="Q465" s="11"/>
      <c r="R465" s="11"/>
    </row>
    <row r="466" spans="1:18">
      <c r="A466" s="10">
        <f ca="1">IFERROR(__xludf.dummyfunction("""COMPUTED_VALUE"""),4)</f>
        <v>4</v>
      </c>
      <c r="B466" s="11" t="str">
        <f ca="1">IFERROR(__xludf.dummyfunction("""COMPUTED_VALUE"""),"LAILA VANESSA HONÓRIO FRANÇA")</f>
        <v>LAILA VANESSA HONÓRIO FRANÇA</v>
      </c>
      <c r="C466" s="11" t="str">
        <f ca="1">IFERROR(__xludf.dummyfunction("""COMPUTED_VALUE"""),"6340236")</f>
        <v>6340236</v>
      </c>
      <c r="D466" s="11" t="str">
        <f ca="1">IFERROR(__xludf.dummyfunction("""COMPUTED_VALUE"""),"04030837107")</f>
        <v>04030837107</v>
      </c>
      <c r="E466" s="11" t="str">
        <f ca="1">IFERROR(__xludf.dummyfunction("""COMPUTED_VALUE"""),"LAILA_VANESSA@DISCENTE.UFG.BR")</f>
        <v>LAILA_VANESSA@DISCENTE.UFG.BR</v>
      </c>
      <c r="F466" s="11" t="str">
        <f ca="1">IFERROR(__xludf.dummyfunction("""COMPUTED_VALUE"""),"(62) 99247083")</f>
        <v>(62) 99247083</v>
      </c>
      <c r="G466" s="11" t="str">
        <f ca="1">IFERROR(__xludf.dummyfunction("""COMPUTED_VALUE"""),"(62) 992470831")</f>
        <v>(62) 992470831</v>
      </c>
      <c r="H466" s="11" t="str">
        <f ca="1">IFERROR(__xludf.dummyfunction("""COMPUTED_VALUE"""),"SUPERIOR")</f>
        <v>SUPERIOR</v>
      </c>
      <c r="I466" s="10" t="str">
        <f ca="1">IFERROR(__xludf.dummyfunction("""COMPUTED_VALUE"""),"PEDAGOGIA")</f>
        <v>PEDAGOGIA</v>
      </c>
      <c r="J466" s="10" t="str">
        <f ca="1">IFERROR(__xludf.dummyfunction("""COMPUTED_VALUE"""),"NOITE")</f>
        <v>NOITE</v>
      </c>
      <c r="K466" s="10" t="str">
        <f ca="1">IFERROR(__xludf.dummyfunction("""COMPUTED_VALUE"""),"TARDE")</f>
        <v>TARDE</v>
      </c>
      <c r="L466" s="10" t="str">
        <f ca="1">IFERROR(__xludf.dummyfunction("""COMPUTED_VALUE"""),"GOIÂNIA - GO")</f>
        <v>GOIÂNIA - GO</v>
      </c>
      <c r="M466" s="10">
        <f ca="1">IFERROR(__xludf.dummyfunction("""COMPUTED_VALUE"""),5)</f>
        <v>5</v>
      </c>
      <c r="N466" s="10" t="str">
        <f ca="1">IFERROR(__xludf.dummyfunction("""COMPUTED_VALUE"""),"DISPONÍVEL")</f>
        <v>DISPONÍVEL</v>
      </c>
      <c r="O466" s="12"/>
      <c r="P466" s="11"/>
      <c r="Q466" s="11"/>
      <c r="R466" s="11"/>
    </row>
    <row r="467" spans="1:18">
      <c r="A467" s="10">
        <f ca="1">IFERROR(__xludf.dummyfunction("""COMPUTED_VALUE"""),5)</f>
        <v>5</v>
      </c>
      <c r="B467" s="11" t="str">
        <f ca="1">IFERROR(__xludf.dummyfunction("""COMPUTED_VALUE"""),"LARISSA DOMINGOS DA SILVA")</f>
        <v>LARISSA DOMINGOS DA SILVA</v>
      </c>
      <c r="C467" s="11" t="str">
        <f ca="1">IFERROR(__xludf.dummyfunction("""COMPUTED_VALUE"""),"5540519")</f>
        <v>5540519</v>
      </c>
      <c r="D467" s="11" t="str">
        <f ca="1">IFERROR(__xludf.dummyfunction("""COMPUTED_VALUE"""),"03848964139")</f>
        <v>03848964139</v>
      </c>
      <c r="E467" s="11" t="str">
        <f ca="1">IFERROR(__xludf.dummyfunction("""COMPUTED_VALUE"""),"LARISSADOMINGOS123@HOTMAIL.COM")</f>
        <v>LARISSADOMINGOS123@HOTMAIL.COM</v>
      </c>
      <c r="F467" s="11"/>
      <c r="G467" s="11" t="str">
        <f ca="1">IFERROR(__xludf.dummyfunction("""COMPUTED_VALUE"""),"(62) 993432984")</f>
        <v>(62) 993432984</v>
      </c>
      <c r="H467" s="11" t="str">
        <f ca="1">IFERROR(__xludf.dummyfunction("""COMPUTED_VALUE"""),"SUPERIOR")</f>
        <v>SUPERIOR</v>
      </c>
      <c r="I467" s="10" t="str">
        <f ca="1">IFERROR(__xludf.dummyfunction("""COMPUTED_VALUE"""),"PEDAGOGIA")</f>
        <v>PEDAGOGIA</v>
      </c>
      <c r="J467" s="10" t="str">
        <f ca="1">IFERROR(__xludf.dummyfunction("""COMPUTED_VALUE"""),"VARIÁVEL")</f>
        <v>VARIÁVEL</v>
      </c>
      <c r="K467" s="10" t="str">
        <f ca="1">IFERROR(__xludf.dummyfunction("""COMPUTED_VALUE"""),"TARDE")</f>
        <v>TARDE</v>
      </c>
      <c r="L467" s="10" t="str">
        <f ca="1">IFERROR(__xludf.dummyfunction("""COMPUTED_VALUE"""),"GOIÂNIA - GO")</f>
        <v>GOIÂNIA - GO</v>
      </c>
      <c r="M467" s="10">
        <f ca="1">IFERROR(__xludf.dummyfunction("""COMPUTED_VALUE"""),4)</f>
        <v>4</v>
      </c>
      <c r="N467" s="10" t="str">
        <f ca="1">IFERROR(__xludf.dummyfunction("""COMPUTED_VALUE"""),"DISPONÍVEL")</f>
        <v>DISPONÍVEL</v>
      </c>
      <c r="O467" s="12"/>
      <c r="P467" s="11"/>
      <c r="Q467" s="11"/>
      <c r="R467" s="11"/>
    </row>
    <row r="468" spans="1:18">
      <c r="A468" s="10">
        <f ca="1">IFERROR(__xludf.dummyfunction("""COMPUTED_VALUE"""),6)</f>
        <v>6</v>
      </c>
      <c r="B468" s="11" t="str">
        <f ca="1">IFERROR(__xludf.dummyfunction("""COMPUTED_VALUE"""),"LUCIA MARIA TELES")</f>
        <v>LUCIA MARIA TELES</v>
      </c>
      <c r="C468" s="11" t="str">
        <f ca="1">IFERROR(__xludf.dummyfunction("""COMPUTED_VALUE"""),"3102130")</f>
        <v>3102130</v>
      </c>
      <c r="D468" s="11" t="str">
        <f ca="1">IFERROR(__xludf.dummyfunction("""COMPUTED_VALUE"""),"55699499172")</f>
        <v>55699499172</v>
      </c>
      <c r="E468" s="11" t="str">
        <f ca="1">IFERROR(__xludf.dummyfunction("""COMPUTED_VALUE"""),"LUCIAM.TELES@GMAIL.COM")</f>
        <v>LUCIAM.TELES@GMAIL.COM</v>
      </c>
      <c r="F468" s="11"/>
      <c r="G468" s="11" t="str">
        <f ca="1">IFERROR(__xludf.dummyfunction("""COMPUTED_VALUE"""),"(62) 983282249")</f>
        <v>(62) 983282249</v>
      </c>
      <c r="H468" s="11" t="str">
        <f ca="1">IFERROR(__xludf.dummyfunction("""COMPUTED_VALUE"""),"SUPERIOR")</f>
        <v>SUPERIOR</v>
      </c>
      <c r="I468" s="10" t="str">
        <f ca="1">IFERROR(__xludf.dummyfunction("""COMPUTED_VALUE"""),"PEDAGOGIA")</f>
        <v>PEDAGOGIA</v>
      </c>
      <c r="J468" s="10" t="str">
        <f ca="1">IFERROR(__xludf.dummyfunction("""COMPUTED_VALUE"""),"VARIÁVEL")</f>
        <v>VARIÁVEL</v>
      </c>
      <c r="K468" s="10" t="str">
        <f ca="1">IFERROR(__xludf.dummyfunction("""COMPUTED_VALUE"""),"TARDE")</f>
        <v>TARDE</v>
      </c>
      <c r="L468" s="10" t="str">
        <f ca="1">IFERROR(__xludf.dummyfunction("""COMPUTED_VALUE"""),"GOIÂNIA - GO")</f>
        <v>GOIÂNIA - GO</v>
      </c>
      <c r="M468" s="10">
        <f ca="1">IFERROR(__xludf.dummyfunction("""COMPUTED_VALUE"""),7)</f>
        <v>7</v>
      </c>
      <c r="N468" s="10" t="str">
        <f ca="1">IFERROR(__xludf.dummyfunction("""COMPUTED_VALUE"""),"DISPONÍVEL")</f>
        <v>DISPONÍVEL</v>
      </c>
      <c r="O468" s="12"/>
      <c r="P468" s="11"/>
      <c r="Q468" s="11"/>
      <c r="R468" s="11"/>
    </row>
    <row r="469" spans="1:18">
      <c r="A469" s="10">
        <f ca="1">IFERROR(__xludf.dummyfunction("""COMPUTED_VALUE"""),7)</f>
        <v>7</v>
      </c>
      <c r="B469" s="11" t="str">
        <f ca="1">IFERROR(__xludf.dummyfunction("""COMPUTED_VALUE"""),"MARIANA SOUZA OLIVEIRA")</f>
        <v>MARIANA SOUZA OLIVEIRA</v>
      </c>
      <c r="C469" s="11"/>
      <c r="D469" s="11" t="str">
        <f ca="1">IFERROR(__xludf.dummyfunction("""COMPUTED_VALUE"""),"02714198147")</f>
        <v>02714198147</v>
      </c>
      <c r="E469" s="11" t="str">
        <f ca="1">IFERROR(__xludf.dummyfunction("""COMPUTED_VALUE"""),"MARIANASOUZAOLIVEIRAGO@GMAIL.COM")</f>
        <v>MARIANASOUZAOLIVEIRAGO@GMAIL.COM</v>
      </c>
      <c r="F469" s="11" t="str">
        <f ca="1">IFERROR(__xludf.dummyfunction("""COMPUTED_VALUE"""),"(62) 36425953")</f>
        <v>(62) 36425953</v>
      </c>
      <c r="G469" s="11" t="str">
        <f ca="1">IFERROR(__xludf.dummyfunction("""COMPUTED_VALUE"""),"(62) 986074521")</f>
        <v>(62) 986074521</v>
      </c>
      <c r="H469" s="11" t="str">
        <f ca="1">IFERROR(__xludf.dummyfunction("""COMPUTED_VALUE"""),"SUPERIOR")</f>
        <v>SUPERIOR</v>
      </c>
      <c r="I469" s="10" t="str">
        <f ca="1">IFERROR(__xludf.dummyfunction("""COMPUTED_VALUE"""),"PEDAGOGIA")</f>
        <v>PEDAGOGIA</v>
      </c>
      <c r="J469" s="10" t="str">
        <f ca="1">IFERROR(__xludf.dummyfunction("""COMPUTED_VALUE"""),"MANHÃ")</f>
        <v>MANHÃ</v>
      </c>
      <c r="K469" s="10" t="str">
        <f ca="1">IFERROR(__xludf.dummyfunction("""COMPUTED_VALUE"""),"TARDE")</f>
        <v>TARDE</v>
      </c>
      <c r="L469" s="10" t="str">
        <f ca="1">IFERROR(__xludf.dummyfunction("""COMPUTED_VALUE"""),"GOIÂNIA - GO")</f>
        <v>GOIÂNIA - GO</v>
      </c>
      <c r="M469" s="10">
        <f ca="1">IFERROR(__xludf.dummyfunction("""COMPUTED_VALUE"""),4)</f>
        <v>4</v>
      </c>
      <c r="N469" s="10" t="str">
        <f ca="1">IFERROR(__xludf.dummyfunction("""COMPUTED_VALUE"""),"DISPONÍVEL")</f>
        <v>DISPONÍVEL</v>
      </c>
      <c r="O469" s="12"/>
      <c r="P469" s="11"/>
      <c r="Q469" s="11"/>
      <c r="R469" s="11"/>
    </row>
    <row r="470" spans="1:18">
      <c r="A470" s="10">
        <f ca="1">IFERROR(__xludf.dummyfunction("""COMPUTED_VALUE"""),1)</f>
        <v>1</v>
      </c>
      <c r="B470" s="11" t="str">
        <f ca="1">IFERROR(__xludf.dummyfunction("""COMPUTED_VALUE"""),"ISABELLA ROSA DE CASTRO")</f>
        <v>ISABELLA ROSA DE CASTRO</v>
      </c>
      <c r="C470" s="11"/>
      <c r="D470" s="11" t="str">
        <f ca="1">IFERROR(__xludf.dummyfunction("""COMPUTED_VALUE"""),"05179563143")</f>
        <v>05179563143</v>
      </c>
      <c r="E470" s="11" t="str">
        <f ca="1">IFERROR(__xludf.dummyfunction("""COMPUTED_VALUE"""),"ISA.CASTRO@OUTLOOK.COM")</f>
        <v>ISA.CASTRO@OUTLOOK.COM</v>
      </c>
      <c r="F470" s="11"/>
      <c r="G470" s="11" t="str">
        <f ca="1">IFERROR(__xludf.dummyfunction("""COMPUTED_VALUE"""),"(62) 998478362")</f>
        <v>(62) 998478362</v>
      </c>
      <c r="H470" s="11" t="str">
        <f ca="1">IFERROR(__xludf.dummyfunction("""COMPUTED_VALUE"""),"SUPERIOR")</f>
        <v>SUPERIOR</v>
      </c>
      <c r="I470" s="10" t="str">
        <f ca="1">IFERROR(__xludf.dummyfunction("""COMPUTED_VALUE"""),"PSICOLOGIA")</f>
        <v>PSICOLOGIA</v>
      </c>
      <c r="J470" s="10" t="str">
        <f ca="1">IFERROR(__xludf.dummyfunction("""COMPUTED_VALUE"""),"MANHÃ")</f>
        <v>MANHÃ</v>
      </c>
      <c r="K470" s="10" t="str">
        <f ca="1">IFERROR(__xludf.dummyfunction("""COMPUTED_VALUE"""),"TARDE")</f>
        <v>TARDE</v>
      </c>
      <c r="L470" s="10" t="str">
        <f ca="1">IFERROR(__xludf.dummyfunction("""COMPUTED_VALUE"""),"GOIÂNIA - GO")</f>
        <v>GOIÂNIA - GO</v>
      </c>
      <c r="M470" s="10">
        <f ca="1">IFERROR(__xludf.dummyfunction("""COMPUTED_VALUE"""),8)</f>
        <v>8</v>
      </c>
      <c r="N470" s="10" t="str">
        <f ca="1">IFERROR(__xludf.dummyfunction("""COMPUTED_VALUE"""),"DISPONÍVEL")</f>
        <v>DISPONÍVEL</v>
      </c>
      <c r="O470" s="12"/>
      <c r="P470" s="11"/>
      <c r="Q470" s="11"/>
      <c r="R470" s="11"/>
    </row>
    <row r="471" spans="1:18">
      <c r="A471" s="10">
        <f ca="1">IFERROR(__xludf.dummyfunction("""COMPUTED_VALUE"""),2)</f>
        <v>2</v>
      </c>
      <c r="B471" s="11" t="str">
        <f ca="1">IFERROR(__xludf.dummyfunction("""COMPUTED_VALUE"""),"PAULA SOFIA BRITO SILVA")</f>
        <v>PAULA SOFIA BRITO SILVA</v>
      </c>
      <c r="C471" s="11" t="str">
        <f ca="1">IFERROR(__xludf.dummyfunction("""COMPUTED_VALUE"""),"6803589")</f>
        <v>6803589</v>
      </c>
      <c r="D471" s="11" t="str">
        <f ca="1">IFERROR(__xludf.dummyfunction("""COMPUTED_VALUE"""),"04684820165")</f>
        <v>04684820165</v>
      </c>
      <c r="E471" s="11" t="str">
        <f ca="1">IFERROR(__xludf.dummyfunction("""COMPUTED_VALUE"""),"PAH_SOFIA@HOTMAIL.COM")</f>
        <v>PAH_SOFIA@HOTMAIL.COM</v>
      </c>
      <c r="F471" s="11"/>
      <c r="G471" s="11" t="str">
        <f ca="1">IFERROR(__xludf.dummyfunction("""COMPUTED_VALUE"""),"(62) 999825146")</f>
        <v>(62) 999825146</v>
      </c>
      <c r="H471" s="11" t="str">
        <f ca="1">IFERROR(__xludf.dummyfunction("""COMPUTED_VALUE"""),"SUPERIOR")</f>
        <v>SUPERIOR</v>
      </c>
      <c r="I471" s="10" t="str">
        <f ca="1">IFERROR(__xludf.dummyfunction("""COMPUTED_VALUE"""),"PSICOLOGIA")</f>
        <v>PSICOLOGIA</v>
      </c>
      <c r="J471" s="10" t="str">
        <f ca="1">IFERROR(__xludf.dummyfunction("""COMPUTED_VALUE"""),"NOITE")</f>
        <v>NOITE</v>
      </c>
      <c r="K471" s="10" t="str">
        <f ca="1">IFERROR(__xludf.dummyfunction("""COMPUTED_VALUE"""),"TARDE")</f>
        <v>TARDE</v>
      </c>
      <c r="L471" s="10" t="str">
        <f ca="1">IFERROR(__xludf.dummyfunction("""COMPUTED_VALUE"""),"GOIÂNIA - GO")</f>
        <v>GOIÂNIA - GO</v>
      </c>
      <c r="M471" s="10">
        <f ca="1">IFERROR(__xludf.dummyfunction("""COMPUTED_VALUE"""),8)</f>
        <v>8</v>
      </c>
      <c r="N471" s="10" t="str">
        <f ca="1">IFERROR(__xludf.dummyfunction("""COMPUTED_VALUE"""),"DISPONÍVEL")</f>
        <v>DISPONÍVEL</v>
      </c>
      <c r="O471" s="12"/>
      <c r="P471" s="11"/>
      <c r="Q471" s="11"/>
      <c r="R471" s="11"/>
    </row>
    <row r="472" spans="1:18">
      <c r="A472" s="10">
        <f ca="1">IFERROR(__xludf.dummyfunction("""COMPUTED_VALUE"""),3)</f>
        <v>3</v>
      </c>
      <c r="B472" s="11" t="str">
        <f ca="1">IFERROR(__xludf.dummyfunction("""COMPUTED_VALUE"""),"ISABELA LORAYNE B. DA LUZ ALVES")</f>
        <v>ISABELA LORAYNE B. DA LUZ ALVES</v>
      </c>
      <c r="C472" s="11" t="str">
        <f ca="1">IFERROR(__xludf.dummyfunction("""COMPUTED_VALUE"""),"5735521")</f>
        <v>5735521</v>
      </c>
      <c r="D472" s="11" t="str">
        <f ca="1">IFERROR(__xludf.dummyfunction("""COMPUTED_VALUE"""),"75249421172")</f>
        <v>75249421172</v>
      </c>
      <c r="E472" s="11" t="str">
        <f ca="1">IFERROR(__xludf.dummyfunction("""COMPUTED_VALUE"""),"ISABELA_BORGESALVES12@HOTMAIL.COM")</f>
        <v>ISABELA_BORGESALVES12@HOTMAIL.COM</v>
      </c>
      <c r="F472" s="11" t="str">
        <f ca="1">IFERROR(__xludf.dummyfunction("""COMPUTED_VALUE"""),"(62) 98344328")</f>
        <v>(62) 98344328</v>
      </c>
      <c r="G472" s="11" t="str">
        <f ca="1">IFERROR(__xludf.dummyfunction("""COMPUTED_VALUE"""),"(62) 998344328")</f>
        <v>(62) 998344328</v>
      </c>
      <c r="H472" s="11" t="str">
        <f ca="1">IFERROR(__xludf.dummyfunction("""COMPUTED_VALUE"""),"SUPERIOR")</f>
        <v>SUPERIOR</v>
      </c>
      <c r="I472" s="10" t="str">
        <f ca="1">IFERROR(__xludf.dummyfunction("""COMPUTED_VALUE"""),"PSICOLOGIA")</f>
        <v>PSICOLOGIA</v>
      </c>
      <c r="J472" s="10" t="str">
        <f ca="1">IFERROR(__xludf.dummyfunction("""COMPUTED_VALUE"""),"NOITE")</f>
        <v>NOITE</v>
      </c>
      <c r="K472" s="10" t="str">
        <f ca="1">IFERROR(__xludf.dummyfunction("""COMPUTED_VALUE"""),"TARDE")</f>
        <v>TARDE</v>
      </c>
      <c r="L472" s="10" t="str">
        <f ca="1">IFERROR(__xludf.dummyfunction("""COMPUTED_VALUE"""),"GOIÂNIA - GO")</f>
        <v>GOIÂNIA - GO</v>
      </c>
      <c r="M472" s="10">
        <f ca="1">IFERROR(__xludf.dummyfunction("""COMPUTED_VALUE"""),6)</f>
        <v>6</v>
      </c>
      <c r="N472" s="10" t="str">
        <f ca="1">IFERROR(__xludf.dummyfunction("""COMPUTED_VALUE"""),"DISPONÍVEL")</f>
        <v>DISPONÍVEL</v>
      </c>
      <c r="O472" s="12"/>
      <c r="P472" s="11"/>
      <c r="Q472" s="11"/>
      <c r="R472" s="11"/>
    </row>
    <row r="473" spans="1:18">
      <c r="A473" s="10">
        <f ca="1">IFERROR(__xludf.dummyfunction("""COMPUTED_VALUE"""),4)</f>
        <v>4</v>
      </c>
      <c r="B473" s="11" t="str">
        <f ca="1">IFERROR(__xludf.dummyfunction("""COMPUTED_VALUE"""),"GIOVANA COUTO BORGES")</f>
        <v>GIOVANA COUTO BORGES</v>
      </c>
      <c r="C473" s="11"/>
      <c r="D473" s="11" t="str">
        <f ca="1">IFERROR(__xludf.dummyfunction("""COMPUTED_VALUE"""),"02408055180")</f>
        <v>02408055180</v>
      </c>
      <c r="E473" s="11" t="str">
        <f ca="1">IFERROR(__xludf.dummyfunction("""COMPUTED_VALUE"""),"GIOVANACOUTOBORGES@GMAIL.COM")</f>
        <v>GIOVANACOUTOBORGES@GMAIL.COM</v>
      </c>
      <c r="F473" s="11"/>
      <c r="G473" s="11" t="str">
        <f ca="1">IFERROR(__xludf.dummyfunction("""COMPUTED_VALUE"""),"(62) 984471224")</f>
        <v>(62) 984471224</v>
      </c>
      <c r="H473" s="11" t="str">
        <f ca="1">IFERROR(__xludf.dummyfunction("""COMPUTED_VALUE"""),"SUPERIOR")</f>
        <v>SUPERIOR</v>
      </c>
      <c r="I473" s="10" t="str">
        <f ca="1">IFERROR(__xludf.dummyfunction("""COMPUTED_VALUE"""),"PSICOLOGIA")</f>
        <v>PSICOLOGIA</v>
      </c>
      <c r="J473" s="10" t="str">
        <f ca="1">IFERROR(__xludf.dummyfunction("""COMPUTED_VALUE"""),"MANHÃ")</f>
        <v>MANHÃ</v>
      </c>
      <c r="K473" s="10" t="str">
        <f ca="1">IFERROR(__xludf.dummyfunction("""COMPUTED_VALUE"""),"TARDE")</f>
        <v>TARDE</v>
      </c>
      <c r="L473" s="10" t="str">
        <f ca="1">IFERROR(__xludf.dummyfunction("""COMPUTED_VALUE"""),"GOIÂNIA - GO")</f>
        <v>GOIÂNIA - GO</v>
      </c>
      <c r="M473" s="10">
        <f ca="1">IFERROR(__xludf.dummyfunction("""COMPUTED_VALUE"""),8)</f>
        <v>8</v>
      </c>
      <c r="N473" s="10" t="str">
        <f ca="1">IFERROR(__xludf.dummyfunction("""COMPUTED_VALUE"""),"DISPONÍVEL")</f>
        <v>DISPONÍVEL</v>
      </c>
      <c r="O473" s="12"/>
      <c r="P473" s="11"/>
      <c r="Q473" s="11"/>
      <c r="R473" s="11"/>
    </row>
    <row r="474" spans="1:18">
      <c r="A474" s="10">
        <f ca="1">IFERROR(__xludf.dummyfunction("""COMPUTED_VALUE"""),5)</f>
        <v>5</v>
      </c>
      <c r="B474" s="11" t="str">
        <f ca="1">IFERROR(__xludf.dummyfunction("""COMPUTED_VALUE"""),"GABRIEL EDUARDO RANGEL LEÃO SALES")</f>
        <v>GABRIEL EDUARDO RANGEL LEÃO SALES</v>
      </c>
      <c r="C474" s="11"/>
      <c r="D474" s="11" t="str">
        <f ca="1">IFERROR(__xludf.dummyfunction("""COMPUTED_VALUE"""),"70269377158")</f>
        <v>70269377158</v>
      </c>
      <c r="E474" s="11" t="str">
        <f ca="1">IFERROR(__xludf.dummyfunction("""COMPUTED_VALUE"""),"GABRIELLEAO.AD@GMAIL.COM")</f>
        <v>GABRIELLEAO.AD@GMAIL.COM</v>
      </c>
      <c r="F474" s="11"/>
      <c r="G474" s="11" t="str">
        <f ca="1">IFERROR(__xludf.dummyfunction("""COMPUTED_VALUE"""),"(64) 996436633")</f>
        <v>(64) 996436633</v>
      </c>
      <c r="H474" s="11" t="str">
        <f ca="1">IFERROR(__xludf.dummyfunction("""COMPUTED_VALUE"""),"SUPERIOR")</f>
        <v>SUPERIOR</v>
      </c>
      <c r="I474" s="10" t="str">
        <f ca="1">IFERROR(__xludf.dummyfunction("""COMPUTED_VALUE"""),"PSICOLOGIA")</f>
        <v>PSICOLOGIA</v>
      </c>
      <c r="J474" s="10" t="str">
        <f ca="1">IFERROR(__xludf.dummyfunction("""COMPUTED_VALUE"""),"MANHÃ")</f>
        <v>MANHÃ</v>
      </c>
      <c r="K474" s="10" t="str">
        <f ca="1">IFERROR(__xludf.dummyfunction("""COMPUTED_VALUE"""),"TARDE")</f>
        <v>TARDE</v>
      </c>
      <c r="L474" s="10" t="str">
        <f ca="1">IFERROR(__xludf.dummyfunction("""COMPUTED_VALUE"""),"GOIÂNIA - GO")</f>
        <v>GOIÂNIA - GO</v>
      </c>
      <c r="M474" s="10">
        <f ca="1">IFERROR(__xludf.dummyfunction("""COMPUTED_VALUE"""),8)</f>
        <v>8</v>
      </c>
      <c r="N474" s="10" t="str">
        <f ca="1">IFERROR(__xludf.dummyfunction("""COMPUTED_VALUE"""),"DISPONÍVEL")</f>
        <v>DISPONÍVEL</v>
      </c>
      <c r="O474" s="12"/>
      <c r="P474" s="11"/>
      <c r="Q474" s="11"/>
      <c r="R474" s="11"/>
    </row>
    <row r="475" spans="1:18">
      <c r="A475" s="10">
        <f ca="1">IFERROR(__xludf.dummyfunction("""COMPUTED_VALUE"""),6)</f>
        <v>6</v>
      </c>
      <c r="B475" s="11" t="str">
        <f ca="1">IFERROR(__xludf.dummyfunction("""COMPUTED_VALUE"""),"KÁTIA CHRISTINA BORGES DE SOUSA")</f>
        <v>KÁTIA CHRISTINA BORGES DE SOUSA</v>
      </c>
      <c r="C475" s="11"/>
      <c r="D475" s="11" t="str">
        <f ca="1">IFERROR(__xludf.dummyfunction("""COMPUTED_VALUE"""),"59879394100")</f>
        <v>59879394100</v>
      </c>
      <c r="E475" s="11" t="str">
        <f ca="1">IFERROR(__xludf.dummyfunction("""COMPUTED_VALUE"""),"KBORGES2310@GMAIL.COM")</f>
        <v>KBORGES2310@GMAIL.COM</v>
      </c>
      <c r="F475" s="11"/>
      <c r="G475" s="11" t="str">
        <f ca="1">IFERROR(__xludf.dummyfunction("""COMPUTED_VALUE"""),"(62) 991890448")</f>
        <v>(62) 991890448</v>
      </c>
      <c r="H475" s="11" t="str">
        <f ca="1">IFERROR(__xludf.dummyfunction("""COMPUTED_VALUE"""),"SUPERIOR")</f>
        <v>SUPERIOR</v>
      </c>
      <c r="I475" s="10" t="str">
        <f ca="1">IFERROR(__xludf.dummyfunction("""COMPUTED_VALUE"""),"PSICOLOGIA")</f>
        <v>PSICOLOGIA</v>
      </c>
      <c r="J475" s="10" t="str">
        <f ca="1">IFERROR(__xludf.dummyfunction("""COMPUTED_VALUE"""),"NOITE")</f>
        <v>NOITE</v>
      </c>
      <c r="K475" s="10" t="str">
        <f ca="1">IFERROR(__xludf.dummyfunction("""COMPUTED_VALUE"""),"TARDE")</f>
        <v>TARDE</v>
      </c>
      <c r="L475" s="10" t="str">
        <f ca="1">IFERROR(__xludf.dummyfunction("""COMPUTED_VALUE"""),"GOIÂNIA - GO")</f>
        <v>GOIÂNIA - GO</v>
      </c>
      <c r="M475" s="10">
        <f ca="1">IFERROR(__xludf.dummyfunction("""COMPUTED_VALUE"""),6)</f>
        <v>6</v>
      </c>
      <c r="N475" s="10" t="str">
        <f ca="1">IFERROR(__xludf.dummyfunction("""COMPUTED_VALUE"""),"DISPONÍVEL")</f>
        <v>DISPONÍVEL</v>
      </c>
      <c r="O475" s="12"/>
      <c r="P475" s="11"/>
      <c r="Q475" s="11"/>
      <c r="R475" s="11"/>
    </row>
    <row r="476" spans="1:18">
      <c r="A476" s="10">
        <f ca="1">IFERROR(__xludf.dummyfunction("""COMPUTED_VALUE"""),7)</f>
        <v>7</v>
      </c>
      <c r="B476" s="11" t="str">
        <f ca="1">IFERROR(__xludf.dummyfunction("""COMPUTED_VALUE"""),"VITÓRIA BARCELOS DE ABREU")</f>
        <v>VITÓRIA BARCELOS DE ABREU</v>
      </c>
      <c r="C476" s="11" t="str">
        <f ca="1">IFERROR(__xludf.dummyfunction("""COMPUTED_VALUE"""),"6603843")</f>
        <v>6603843</v>
      </c>
      <c r="D476" s="11" t="str">
        <f ca="1">IFERROR(__xludf.dummyfunction("""COMPUTED_VALUE"""),"02013400110")</f>
        <v>02013400110</v>
      </c>
      <c r="E476" s="11" t="str">
        <f ca="1">IFERROR(__xludf.dummyfunction("""COMPUTED_VALUE"""),"VITORIABARCELOS2@OUTLOOK.COM")</f>
        <v>VITORIABARCELOS2@OUTLOOK.COM</v>
      </c>
      <c r="F476" s="11"/>
      <c r="G476" s="11" t="str">
        <f ca="1">IFERROR(__xludf.dummyfunction("""COMPUTED_VALUE"""),"(62) 996010192")</f>
        <v>(62) 996010192</v>
      </c>
      <c r="H476" s="11" t="str">
        <f ca="1">IFERROR(__xludf.dummyfunction("""COMPUTED_VALUE"""),"SUPERIOR")</f>
        <v>SUPERIOR</v>
      </c>
      <c r="I476" s="10" t="str">
        <f ca="1">IFERROR(__xludf.dummyfunction("""COMPUTED_VALUE"""),"PSICOLOGIA")</f>
        <v>PSICOLOGIA</v>
      </c>
      <c r="J476" s="10" t="str">
        <f ca="1">IFERROR(__xludf.dummyfunction("""COMPUTED_VALUE"""),"MANHÃ")</f>
        <v>MANHÃ</v>
      </c>
      <c r="K476" s="10" t="str">
        <f ca="1">IFERROR(__xludf.dummyfunction("""COMPUTED_VALUE"""),"TARDE")</f>
        <v>TARDE</v>
      </c>
      <c r="L476" s="10" t="str">
        <f ca="1">IFERROR(__xludf.dummyfunction("""COMPUTED_VALUE"""),"GOIÂNIA - GO")</f>
        <v>GOIÂNIA - GO</v>
      </c>
      <c r="M476" s="10">
        <f ca="1">IFERROR(__xludf.dummyfunction("""COMPUTED_VALUE"""),5)</f>
        <v>5</v>
      </c>
      <c r="N476" s="10" t="str">
        <f ca="1">IFERROR(__xludf.dummyfunction("""COMPUTED_VALUE"""),"DISPONÍVEL")</f>
        <v>DISPONÍVEL</v>
      </c>
      <c r="O476" s="12"/>
      <c r="P476" s="11"/>
      <c r="Q476" s="11"/>
      <c r="R476" s="11"/>
    </row>
    <row r="477" spans="1:18">
      <c r="A477" s="10">
        <f ca="1">IFERROR(__xludf.dummyfunction("""COMPUTED_VALUE"""),8)</f>
        <v>8</v>
      </c>
      <c r="B477" s="11" t="str">
        <f ca="1">IFERROR(__xludf.dummyfunction("""COMPUTED_VALUE"""),"MAYLLA RODRIGUES ALVES")</f>
        <v>MAYLLA RODRIGUES ALVES</v>
      </c>
      <c r="C477" s="11"/>
      <c r="D477" s="11" t="str">
        <f ca="1">IFERROR(__xludf.dummyfunction("""COMPUTED_VALUE"""),"70975200194")</f>
        <v>70975200194</v>
      </c>
      <c r="E477" s="11" t="str">
        <f ca="1">IFERROR(__xludf.dummyfunction("""COMPUTED_VALUE"""),"MAYLLA2721@GMAIL.COM")</f>
        <v>MAYLLA2721@GMAIL.COM</v>
      </c>
      <c r="F477" s="11"/>
      <c r="G477" s="11" t="str">
        <f ca="1">IFERROR(__xludf.dummyfunction("""COMPUTED_VALUE"""),"(62) 999999689")</f>
        <v>(62) 999999689</v>
      </c>
      <c r="H477" s="11" t="str">
        <f ca="1">IFERROR(__xludf.dummyfunction("""COMPUTED_VALUE"""),"SUPERIOR")</f>
        <v>SUPERIOR</v>
      </c>
      <c r="I477" s="10" t="str">
        <f ca="1">IFERROR(__xludf.dummyfunction("""COMPUTED_VALUE"""),"PSICOLOGIA")</f>
        <v>PSICOLOGIA</v>
      </c>
      <c r="J477" s="10" t="str">
        <f ca="1">IFERROR(__xludf.dummyfunction("""COMPUTED_VALUE"""),"MANHÃ")</f>
        <v>MANHÃ</v>
      </c>
      <c r="K477" s="10" t="str">
        <f ca="1">IFERROR(__xludf.dummyfunction("""COMPUTED_VALUE"""),"TARDE")</f>
        <v>TARDE</v>
      </c>
      <c r="L477" s="10" t="str">
        <f ca="1">IFERROR(__xludf.dummyfunction("""COMPUTED_VALUE"""),"GOIÂNIA - GO")</f>
        <v>GOIÂNIA - GO</v>
      </c>
      <c r="M477" s="10">
        <f ca="1">IFERROR(__xludf.dummyfunction("""COMPUTED_VALUE"""),5)</f>
        <v>5</v>
      </c>
      <c r="N477" s="10" t="str">
        <f ca="1">IFERROR(__xludf.dummyfunction("""COMPUTED_VALUE"""),"DISPONÍVEL")</f>
        <v>DISPONÍVEL</v>
      </c>
      <c r="O477" s="12"/>
      <c r="P477" s="11"/>
      <c r="Q477" s="11"/>
      <c r="R477" s="11"/>
    </row>
    <row r="478" spans="1:18">
      <c r="A478" s="10">
        <f ca="1">IFERROR(__xludf.dummyfunction("""COMPUTED_VALUE"""),9)</f>
        <v>9</v>
      </c>
      <c r="B478" s="11" t="str">
        <f ca="1">IFERROR(__xludf.dummyfunction("""COMPUTED_VALUE"""),"BEATRIZ MENDES DE SOUZA")</f>
        <v>BEATRIZ MENDES DE SOUZA</v>
      </c>
      <c r="C478" s="11"/>
      <c r="D478" s="11" t="str">
        <f ca="1">IFERROR(__xludf.dummyfunction("""COMPUTED_VALUE"""),"70772095124")</f>
        <v>70772095124</v>
      </c>
      <c r="E478" s="11" t="str">
        <f ca="1">IFERROR(__xludf.dummyfunction("""COMPUTED_VALUE"""),"BEATRIZMENDES1515220@HOTMAIL.COM")</f>
        <v>BEATRIZMENDES1515220@HOTMAIL.COM</v>
      </c>
      <c r="F478" s="11" t="str">
        <f ca="1">IFERROR(__xludf.dummyfunction("""COMPUTED_VALUE"""),"(62) 32085356")</f>
        <v>(62) 32085356</v>
      </c>
      <c r="G478" s="11" t="str">
        <f ca="1">IFERROR(__xludf.dummyfunction("""COMPUTED_VALUE"""),"(62) 999664695")</f>
        <v>(62) 999664695</v>
      </c>
      <c r="H478" s="11" t="str">
        <f ca="1">IFERROR(__xludf.dummyfunction("""COMPUTED_VALUE"""),"SUPERIOR")</f>
        <v>SUPERIOR</v>
      </c>
      <c r="I478" s="10" t="str">
        <f ca="1">IFERROR(__xludf.dummyfunction("""COMPUTED_VALUE"""),"PSICOLOGIA")</f>
        <v>PSICOLOGIA</v>
      </c>
      <c r="J478" s="10" t="str">
        <f ca="1">IFERROR(__xludf.dummyfunction("""COMPUTED_VALUE"""),"MANHÃ")</f>
        <v>MANHÃ</v>
      </c>
      <c r="K478" s="10" t="str">
        <f ca="1">IFERROR(__xludf.dummyfunction("""COMPUTED_VALUE"""),"TARDE")</f>
        <v>TARDE</v>
      </c>
      <c r="L478" s="10" t="str">
        <f ca="1">IFERROR(__xludf.dummyfunction("""COMPUTED_VALUE"""),"GOIÂNIA - GO")</f>
        <v>GOIÂNIA - GO</v>
      </c>
      <c r="M478" s="10">
        <f ca="1">IFERROR(__xludf.dummyfunction("""COMPUTED_VALUE"""),7)</f>
        <v>7</v>
      </c>
      <c r="N478" s="10" t="str">
        <f ca="1">IFERROR(__xludf.dummyfunction("""COMPUTED_VALUE"""),"DISPONÍVEL")</f>
        <v>DISPONÍVEL</v>
      </c>
      <c r="O478" s="12"/>
      <c r="P478" s="11"/>
      <c r="Q478" s="11"/>
      <c r="R478" s="11"/>
    </row>
    <row r="479" spans="1:18">
      <c r="A479" s="10">
        <f ca="1">IFERROR(__xludf.dummyfunction("""COMPUTED_VALUE"""),10)</f>
        <v>10</v>
      </c>
      <c r="B479" s="11" t="str">
        <f ca="1">IFERROR(__xludf.dummyfunction("""COMPUTED_VALUE"""),"KATIANE ASSIS BUENO")</f>
        <v>KATIANE ASSIS BUENO</v>
      </c>
      <c r="C479" s="11" t="str">
        <f ca="1">IFERROR(__xludf.dummyfunction("""COMPUTED_VALUE"""),"6892087")</f>
        <v>6892087</v>
      </c>
      <c r="D479" s="11" t="str">
        <f ca="1">IFERROR(__xludf.dummyfunction("""COMPUTED_VALUE"""),"06491259161")</f>
        <v>06491259161</v>
      </c>
      <c r="E479" s="11" t="str">
        <f ca="1">IFERROR(__xludf.dummyfunction("""COMPUTED_VALUE"""),"KATIANEABUENO@GMAIL.COM")</f>
        <v>KATIANEABUENO@GMAIL.COM</v>
      </c>
      <c r="F479" s="11" t="str">
        <f ca="1">IFERROR(__xludf.dummyfunction("""COMPUTED_VALUE"""),"(62) 36093414")</f>
        <v>(62) 36093414</v>
      </c>
      <c r="G479" s="11" t="str">
        <f ca="1">IFERROR(__xludf.dummyfunction("""COMPUTED_VALUE"""),"(62) 985781267")</f>
        <v>(62) 985781267</v>
      </c>
      <c r="H479" s="11" t="str">
        <f ca="1">IFERROR(__xludf.dummyfunction("""COMPUTED_VALUE"""),"SUPERIOR")</f>
        <v>SUPERIOR</v>
      </c>
      <c r="I479" s="10" t="str">
        <f ca="1">IFERROR(__xludf.dummyfunction("""COMPUTED_VALUE"""),"PSICOLOGIA")</f>
        <v>PSICOLOGIA</v>
      </c>
      <c r="J479" s="10" t="str">
        <f ca="1">IFERROR(__xludf.dummyfunction("""COMPUTED_VALUE"""),"NOITE")</f>
        <v>NOITE</v>
      </c>
      <c r="K479" s="10" t="str">
        <f ca="1">IFERROR(__xludf.dummyfunction("""COMPUTED_VALUE"""),"TARDE")</f>
        <v>TARDE</v>
      </c>
      <c r="L479" s="10" t="str">
        <f ca="1">IFERROR(__xludf.dummyfunction("""COMPUTED_VALUE"""),"GOIÂNIA - GO")</f>
        <v>GOIÂNIA - GO</v>
      </c>
      <c r="M479" s="10">
        <f ca="1">IFERROR(__xludf.dummyfunction("""COMPUTED_VALUE"""),8)</f>
        <v>8</v>
      </c>
      <c r="N479" s="10" t="str">
        <f ca="1">IFERROR(__xludf.dummyfunction("""COMPUTED_VALUE"""),"DISPONÍVEL")</f>
        <v>DISPONÍVEL</v>
      </c>
      <c r="O479" s="12"/>
      <c r="P479" s="11"/>
      <c r="Q479" s="11"/>
      <c r="R479" s="11"/>
    </row>
    <row r="480" spans="1:18">
      <c r="A480" s="10">
        <f ca="1">IFERROR(__xludf.dummyfunction("""COMPUTED_VALUE"""),11)</f>
        <v>11</v>
      </c>
      <c r="B480" s="11" t="str">
        <f ca="1">IFERROR(__xludf.dummyfunction("""COMPUTED_VALUE"""),"ANA CLARA RODRIGUES MENDES DO NASCIMENTO")</f>
        <v>ANA CLARA RODRIGUES MENDES DO NASCIMENTO</v>
      </c>
      <c r="C480" s="11" t="str">
        <f ca="1">IFERROR(__xludf.dummyfunction("""COMPUTED_VALUE"""),"6656844")</f>
        <v>6656844</v>
      </c>
      <c r="D480" s="11" t="str">
        <f ca="1">IFERROR(__xludf.dummyfunction("""COMPUTED_VALUE"""),"70715403141")</f>
        <v>70715403141</v>
      </c>
      <c r="E480" s="11" t="str">
        <f ca="1">IFERROR(__xludf.dummyfunction("""COMPUTED_VALUE"""),"ANA.MENDESROD@GMAIL.COM")</f>
        <v>ANA.MENDESROD@GMAIL.COM</v>
      </c>
      <c r="F480" s="11" t="str">
        <f ca="1">IFERROR(__xludf.dummyfunction("""COMPUTED_VALUE"""),"(62) 84466946")</f>
        <v>(62) 84466946</v>
      </c>
      <c r="G480" s="11" t="str">
        <f ca="1">IFERROR(__xludf.dummyfunction("""COMPUTED_VALUE"""),"(62) 993230876")</f>
        <v>(62) 993230876</v>
      </c>
      <c r="H480" s="11" t="str">
        <f ca="1">IFERROR(__xludf.dummyfunction("""COMPUTED_VALUE"""),"SUPERIOR")</f>
        <v>SUPERIOR</v>
      </c>
      <c r="I480" s="10" t="str">
        <f ca="1">IFERROR(__xludf.dummyfunction("""COMPUTED_VALUE"""),"PSICOLOGIA")</f>
        <v>PSICOLOGIA</v>
      </c>
      <c r="J480" s="10" t="str">
        <f ca="1">IFERROR(__xludf.dummyfunction("""COMPUTED_VALUE"""),"MANHÃ")</f>
        <v>MANHÃ</v>
      </c>
      <c r="K480" s="10" t="str">
        <f ca="1">IFERROR(__xludf.dummyfunction("""COMPUTED_VALUE"""),"TARDE")</f>
        <v>TARDE</v>
      </c>
      <c r="L480" s="10" t="str">
        <f ca="1">IFERROR(__xludf.dummyfunction("""COMPUTED_VALUE"""),"GOIÂNIA - GO")</f>
        <v>GOIÂNIA - GO</v>
      </c>
      <c r="M480" s="10">
        <f ca="1">IFERROR(__xludf.dummyfunction("""COMPUTED_VALUE"""),8)</f>
        <v>8</v>
      </c>
      <c r="N480" s="10" t="str">
        <f ca="1">IFERROR(__xludf.dummyfunction("""COMPUTED_VALUE"""),"DISPONÍVEL")</f>
        <v>DISPONÍVEL</v>
      </c>
      <c r="O480" s="12"/>
      <c r="P480" s="11"/>
      <c r="Q480" s="11"/>
      <c r="R480" s="11"/>
    </row>
    <row r="481" spans="1:18">
      <c r="A481" s="10">
        <f ca="1">IFERROR(__xludf.dummyfunction("""COMPUTED_VALUE"""),12)</f>
        <v>12</v>
      </c>
      <c r="B481" s="11" t="str">
        <f ca="1">IFERROR(__xludf.dummyfunction("""COMPUTED_VALUE"""),"ANA CARLA CEZAR FERREIRA")</f>
        <v>ANA CARLA CEZAR FERREIRA</v>
      </c>
      <c r="C481" s="11"/>
      <c r="D481" s="11" t="str">
        <f ca="1">IFERROR(__xludf.dummyfunction("""COMPUTED_VALUE"""),"70863096131")</f>
        <v>70863096131</v>
      </c>
      <c r="E481" s="11" t="str">
        <f ca="1">IFERROR(__xludf.dummyfunction("""COMPUTED_VALUE"""),"CARLAVOX13@GMAIL.COM")</f>
        <v>CARLAVOX13@GMAIL.COM</v>
      </c>
      <c r="F481" s="11" t="str">
        <f ca="1">IFERROR(__xludf.dummyfunction("""COMPUTED_VALUE"""),"(62) 35756204")</f>
        <v>(62) 35756204</v>
      </c>
      <c r="G481" s="11" t="str">
        <f ca="1">IFERROR(__xludf.dummyfunction("""COMPUTED_VALUE"""),"(62) 986007673")</f>
        <v>(62) 986007673</v>
      </c>
      <c r="H481" s="11" t="str">
        <f ca="1">IFERROR(__xludf.dummyfunction("""COMPUTED_VALUE"""),"SUPERIOR")</f>
        <v>SUPERIOR</v>
      </c>
      <c r="I481" s="10" t="str">
        <f ca="1">IFERROR(__xludf.dummyfunction("""COMPUTED_VALUE"""),"PSICOLOGIA")</f>
        <v>PSICOLOGIA</v>
      </c>
      <c r="J481" s="10" t="str">
        <f ca="1">IFERROR(__xludf.dummyfunction("""COMPUTED_VALUE"""),"NOITE")</f>
        <v>NOITE</v>
      </c>
      <c r="K481" s="10" t="str">
        <f ca="1">IFERROR(__xludf.dummyfunction("""COMPUTED_VALUE"""),"TARDE")</f>
        <v>TARDE</v>
      </c>
      <c r="L481" s="10" t="str">
        <f ca="1">IFERROR(__xludf.dummyfunction("""COMPUTED_VALUE"""),"GOIÂNIA - GO")</f>
        <v>GOIÂNIA - GO</v>
      </c>
      <c r="M481" s="10">
        <f ca="1">IFERROR(__xludf.dummyfunction("""COMPUTED_VALUE"""),6)</f>
        <v>6</v>
      </c>
      <c r="N481" s="10" t="str">
        <f ca="1">IFERROR(__xludf.dummyfunction("""COMPUTED_VALUE"""),"DISPONÍVEL")</f>
        <v>DISPONÍVEL</v>
      </c>
      <c r="O481" s="12"/>
      <c r="P481" s="11"/>
      <c r="Q481" s="11"/>
      <c r="R481" s="11"/>
    </row>
    <row r="482" spans="1:18">
      <c r="A482" s="10">
        <f ca="1">IFERROR(__xludf.dummyfunction("""COMPUTED_VALUE"""),13)</f>
        <v>13</v>
      </c>
      <c r="B482" s="11" t="str">
        <f ca="1">IFERROR(__xludf.dummyfunction("""COMPUTED_VALUE"""),"CARLA MARIA DE RESENDE")</f>
        <v>CARLA MARIA DE RESENDE</v>
      </c>
      <c r="C482" s="11"/>
      <c r="D482" s="11" t="str">
        <f ca="1">IFERROR(__xludf.dummyfunction("""COMPUTED_VALUE"""),"70981070183")</f>
        <v>70981070183</v>
      </c>
      <c r="E482" s="11" t="str">
        <f ca="1">IFERROR(__xludf.dummyfunction("""COMPUTED_VALUE"""),"CARLAMRPSI@GMAIL.COM")</f>
        <v>CARLAMRPSI@GMAIL.COM</v>
      </c>
      <c r="F482" s="11" t="str">
        <f ca="1">IFERROR(__xludf.dummyfunction("""COMPUTED_VALUE"""),"(62) 99928363")</f>
        <v>(62) 99928363</v>
      </c>
      <c r="G482" s="11" t="str">
        <f ca="1">IFERROR(__xludf.dummyfunction("""COMPUTED_VALUE"""),"(62) 999283636")</f>
        <v>(62) 999283636</v>
      </c>
      <c r="H482" s="11" t="str">
        <f ca="1">IFERROR(__xludf.dummyfunction("""COMPUTED_VALUE"""),"SUPERIOR")</f>
        <v>SUPERIOR</v>
      </c>
      <c r="I482" s="10" t="str">
        <f ca="1">IFERROR(__xludf.dummyfunction("""COMPUTED_VALUE"""),"PSICOLOGIA")</f>
        <v>PSICOLOGIA</v>
      </c>
      <c r="J482" s="10" t="str">
        <f ca="1">IFERROR(__xludf.dummyfunction("""COMPUTED_VALUE"""),"MANHÃ")</f>
        <v>MANHÃ</v>
      </c>
      <c r="K482" s="10" t="str">
        <f ca="1">IFERROR(__xludf.dummyfunction("""COMPUTED_VALUE"""),"TARDE")</f>
        <v>TARDE</v>
      </c>
      <c r="L482" s="10" t="str">
        <f ca="1">IFERROR(__xludf.dummyfunction("""COMPUTED_VALUE"""),"GOIÂNIA - GO")</f>
        <v>GOIÂNIA - GO</v>
      </c>
      <c r="M482" s="10">
        <f ca="1">IFERROR(__xludf.dummyfunction("""COMPUTED_VALUE"""),5)</f>
        <v>5</v>
      </c>
      <c r="N482" s="10" t="str">
        <f ca="1">IFERROR(__xludf.dummyfunction("""COMPUTED_VALUE"""),"DISPONÍVEL")</f>
        <v>DISPONÍVEL</v>
      </c>
      <c r="O482" s="12"/>
      <c r="P482" s="11"/>
      <c r="Q482" s="11"/>
      <c r="R482" s="11"/>
    </row>
    <row r="483" spans="1:18">
      <c r="A483" s="10">
        <f ca="1">IFERROR(__xludf.dummyfunction("""COMPUTED_VALUE"""),14)</f>
        <v>14</v>
      </c>
      <c r="B483" s="11" t="str">
        <f ca="1">IFERROR(__xludf.dummyfunction("""COMPUTED_VALUE"""),"SABRINA DE ANDRADE TEIXEIRA")</f>
        <v>SABRINA DE ANDRADE TEIXEIRA</v>
      </c>
      <c r="C483" s="11"/>
      <c r="D483" s="11" t="str">
        <f ca="1">IFERROR(__xludf.dummyfunction("""COMPUTED_VALUE"""),"09036420504")</f>
        <v>09036420504</v>
      </c>
      <c r="E483" s="11" t="str">
        <f ca="1">IFERROR(__xludf.dummyfunction("""COMPUTED_VALUE"""),"SABRINA.ATX@OUTLOOK.COM")</f>
        <v>SABRINA.ATX@OUTLOOK.COM</v>
      </c>
      <c r="F483" s="11"/>
      <c r="G483" s="11" t="str">
        <f ca="1">IFERROR(__xludf.dummyfunction("""COMPUTED_VALUE"""),"(74) 999351294")</f>
        <v>(74) 999351294</v>
      </c>
      <c r="H483" s="11" t="str">
        <f ca="1">IFERROR(__xludf.dummyfunction("""COMPUTED_VALUE"""),"SUPERIOR")</f>
        <v>SUPERIOR</v>
      </c>
      <c r="I483" s="10" t="str">
        <f ca="1">IFERROR(__xludf.dummyfunction("""COMPUTED_VALUE"""),"PSICOLOGIA")</f>
        <v>PSICOLOGIA</v>
      </c>
      <c r="J483" s="10" t="str">
        <f ca="1">IFERROR(__xludf.dummyfunction("""COMPUTED_VALUE"""),"NOITE")</f>
        <v>NOITE</v>
      </c>
      <c r="K483" s="10" t="str">
        <f ca="1">IFERROR(__xludf.dummyfunction("""COMPUTED_VALUE"""),"TARDE")</f>
        <v>TARDE</v>
      </c>
      <c r="L483" s="10" t="str">
        <f ca="1">IFERROR(__xludf.dummyfunction("""COMPUTED_VALUE"""),"GOIÂNIA - GO")</f>
        <v>GOIÂNIA - GO</v>
      </c>
      <c r="M483" s="10">
        <f ca="1">IFERROR(__xludf.dummyfunction("""COMPUTED_VALUE"""),5)</f>
        <v>5</v>
      </c>
      <c r="N483" s="10" t="str">
        <f ca="1">IFERROR(__xludf.dummyfunction("""COMPUTED_VALUE"""),"DISPONÍVEL")</f>
        <v>DISPONÍVEL</v>
      </c>
      <c r="O483" s="12"/>
      <c r="P483" s="11"/>
      <c r="Q483" s="11"/>
      <c r="R483" s="11"/>
    </row>
    <row r="484" spans="1:18">
      <c r="A484" s="10">
        <f ca="1">IFERROR(__xludf.dummyfunction("""COMPUTED_VALUE"""),15)</f>
        <v>15</v>
      </c>
      <c r="B484" s="11" t="str">
        <f ca="1">IFERROR(__xludf.dummyfunction("""COMPUTED_VALUE"""),"LEIA MARIA TEIXEIRA COELHO")</f>
        <v>LEIA MARIA TEIXEIRA COELHO</v>
      </c>
      <c r="C484" s="11" t="str">
        <f ca="1">IFERROR(__xludf.dummyfunction("""COMPUTED_VALUE"""),"5787817")</f>
        <v>5787817</v>
      </c>
      <c r="D484" s="11" t="str">
        <f ca="1">IFERROR(__xludf.dummyfunction("""COMPUTED_VALUE"""),"98311662134")</f>
        <v>98311662134</v>
      </c>
      <c r="E484" s="11" t="str">
        <f ca="1">IFERROR(__xludf.dummyfunction("""COMPUTED_VALUE"""),"LEIAMARIA_65@HOTMAIL.COM")</f>
        <v>LEIAMARIA_65@HOTMAIL.COM</v>
      </c>
      <c r="F484" s="11" t="str">
        <f ca="1">IFERROR(__xludf.dummyfunction("""COMPUTED_VALUE"""),"(62) 36095985")</f>
        <v>(62) 36095985</v>
      </c>
      <c r="G484" s="11" t="str">
        <f ca="1">IFERROR(__xludf.dummyfunction("""COMPUTED_VALUE"""),"(62) 985921633")</f>
        <v>(62) 985921633</v>
      </c>
      <c r="H484" s="11" t="str">
        <f ca="1">IFERROR(__xludf.dummyfunction("""COMPUTED_VALUE"""),"SUPERIOR")</f>
        <v>SUPERIOR</v>
      </c>
      <c r="I484" s="10" t="str">
        <f ca="1">IFERROR(__xludf.dummyfunction("""COMPUTED_VALUE"""),"PSICOLOGIA")</f>
        <v>PSICOLOGIA</v>
      </c>
      <c r="J484" s="10" t="str">
        <f ca="1">IFERROR(__xludf.dummyfunction("""COMPUTED_VALUE"""),"NOITE")</f>
        <v>NOITE</v>
      </c>
      <c r="K484" s="10" t="str">
        <f ca="1">IFERROR(__xludf.dummyfunction("""COMPUTED_VALUE"""),"TARDE")</f>
        <v>TARDE</v>
      </c>
      <c r="L484" s="10" t="str">
        <f ca="1">IFERROR(__xludf.dummyfunction("""COMPUTED_VALUE"""),"GOIÂNIA - GO")</f>
        <v>GOIÂNIA - GO</v>
      </c>
      <c r="M484" s="10">
        <f ca="1">IFERROR(__xludf.dummyfunction("""COMPUTED_VALUE"""),9)</f>
        <v>9</v>
      </c>
      <c r="N484" s="10" t="str">
        <f ca="1">IFERROR(__xludf.dummyfunction("""COMPUTED_VALUE"""),"DISPONÍVEL")</f>
        <v>DISPONÍVEL</v>
      </c>
      <c r="O484" s="12"/>
      <c r="P484" s="11"/>
      <c r="Q484" s="11"/>
      <c r="R484" s="11"/>
    </row>
    <row r="485" spans="1:18">
      <c r="A485" s="10">
        <f ca="1">IFERROR(__xludf.dummyfunction("""COMPUTED_VALUE"""),16)</f>
        <v>16</v>
      </c>
      <c r="B485" s="11" t="str">
        <f ca="1">IFERROR(__xludf.dummyfunction("""COMPUTED_VALUE"""),"JÓYCY KELLY NASCIMENTO DOS SANTOS")</f>
        <v>JÓYCY KELLY NASCIMENTO DOS SANTOS</v>
      </c>
      <c r="C485" s="11" t="str">
        <f ca="1">IFERROR(__xludf.dummyfunction("""COMPUTED_VALUE"""),"8311710")</f>
        <v>8311710</v>
      </c>
      <c r="D485" s="11" t="str">
        <f ca="1">IFERROR(__xludf.dummyfunction("""COMPUTED_VALUE"""),"08155457540")</f>
        <v>08155457540</v>
      </c>
      <c r="E485" s="11" t="str">
        <f ca="1">IFERROR(__xludf.dummyfunction("""COMPUTED_VALUE"""),"JOYCYKELLY2409@GMAIL.COM")</f>
        <v>JOYCYKELLY2409@GMAIL.COM</v>
      </c>
      <c r="F485" s="11"/>
      <c r="G485" s="11" t="str">
        <f ca="1">IFERROR(__xludf.dummyfunction("""COMPUTED_VALUE"""),"(62) 985314021")</f>
        <v>(62) 985314021</v>
      </c>
      <c r="H485" s="11" t="str">
        <f ca="1">IFERROR(__xludf.dummyfunction("""COMPUTED_VALUE"""),"SUPERIOR")</f>
        <v>SUPERIOR</v>
      </c>
      <c r="I485" s="10" t="str">
        <f ca="1">IFERROR(__xludf.dummyfunction("""COMPUTED_VALUE"""),"PSICOLOGIA")</f>
        <v>PSICOLOGIA</v>
      </c>
      <c r="J485" s="10" t="str">
        <f ca="1">IFERROR(__xludf.dummyfunction("""COMPUTED_VALUE"""),"MANHÃ")</f>
        <v>MANHÃ</v>
      </c>
      <c r="K485" s="10" t="str">
        <f ca="1">IFERROR(__xludf.dummyfunction("""COMPUTED_VALUE"""),"TARDE")</f>
        <v>TARDE</v>
      </c>
      <c r="L485" s="10" t="str">
        <f ca="1">IFERROR(__xludf.dummyfunction("""COMPUTED_VALUE"""),"GOIÂNIA - GO")</f>
        <v>GOIÂNIA - GO</v>
      </c>
      <c r="M485" s="10">
        <f ca="1">IFERROR(__xludf.dummyfunction("""COMPUTED_VALUE"""),6)</f>
        <v>6</v>
      </c>
      <c r="N485" s="10" t="str">
        <f ca="1">IFERROR(__xludf.dummyfunction("""COMPUTED_VALUE"""),"DISPONÍVEL")</f>
        <v>DISPONÍVEL</v>
      </c>
      <c r="O485" s="12"/>
      <c r="P485" s="11"/>
      <c r="Q485" s="11"/>
      <c r="R485" s="11"/>
    </row>
    <row r="486" spans="1:18">
      <c r="A486" s="10">
        <f ca="1">IFERROR(__xludf.dummyfunction("""COMPUTED_VALUE"""),17)</f>
        <v>17</v>
      </c>
      <c r="B486" s="11" t="str">
        <f ca="1">IFERROR(__xludf.dummyfunction("""COMPUTED_VALUE"""),"FREDSON VITORINO DE LIMA")</f>
        <v>FREDSON VITORINO DE LIMA</v>
      </c>
      <c r="C486" s="11"/>
      <c r="D486" s="11" t="str">
        <f ca="1">IFERROR(__xludf.dummyfunction("""COMPUTED_VALUE"""),"08728525124")</f>
        <v>08728525124</v>
      </c>
      <c r="E486" s="11" t="str">
        <f ca="1">IFERROR(__xludf.dummyfunction("""COMPUTED_VALUE"""),"FREDSONVITORINODELIMAV@GMAIL.COM")</f>
        <v>FREDSONVITORINODELIMAV@GMAIL.COM</v>
      </c>
      <c r="F486" s="11"/>
      <c r="G486" s="11" t="str">
        <f ca="1">IFERROR(__xludf.dummyfunction("""COMPUTED_VALUE"""),"(62) 984933863")</f>
        <v>(62) 984933863</v>
      </c>
      <c r="H486" s="11" t="str">
        <f ca="1">IFERROR(__xludf.dummyfunction("""COMPUTED_VALUE"""),"SUPERIOR")</f>
        <v>SUPERIOR</v>
      </c>
      <c r="I486" s="10" t="str">
        <f ca="1">IFERROR(__xludf.dummyfunction("""COMPUTED_VALUE"""),"PSICOLOGIA")</f>
        <v>PSICOLOGIA</v>
      </c>
      <c r="J486" s="10" t="str">
        <f ca="1">IFERROR(__xludf.dummyfunction("""COMPUTED_VALUE"""),"NOITE")</f>
        <v>NOITE</v>
      </c>
      <c r="K486" s="10" t="str">
        <f ca="1">IFERROR(__xludf.dummyfunction("""COMPUTED_VALUE"""),"TARDE")</f>
        <v>TARDE</v>
      </c>
      <c r="L486" s="10" t="str">
        <f ca="1">IFERROR(__xludf.dummyfunction("""COMPUTED_VALUE"""),"GOIÂNIA - GO")</f>
        <v>GOIÂNIA - GO</v>
      </c>
      <c r="M486" s="10">
        <f ca="1">IFERROR(__xludf.dummyfunction("""COMPUTED_VALUE"""),5)</f>
        <v>5</v>
      </c>
      <c r="N486" s="10" t="str">
        <f ca="1">IFERROR(__xludf.dummyfunction("""COMPUTED_VALUE"""),"DISPONÍVEL")</f>
        <v>DISPONÍVEL</v>
      </c>
      <c r="O486" s="12"/>
      <c r="P486" s="11"/>
      <c r="Q486" s="11"/>
      <c r="R486" s="11"/>
    </row>
    <row r="487" spans="1:18">
      <c r="A487" s="10">
        <f ca="1">IFERROR(__xludf.dummyfunction("""COMPUTED_VALUE"""),18)</f>
        <v>18</v>
      </c>
      <c r="B487" s="11" t="str">
        <f ca="1">IFERROR(__xludf.dummyfunction("""COMPUTED_VALUE"""),"GABRIELA GOMES DE ALENCAR")</f>
        <v>GABRIELA GOMES DE ALENCAR</v>
      </c>
      <c r="C487" s="11" t="str">
        <f ca="1">IFERROR(__xludf.dummyfunction("""COMPUTED_VALUE"""),"6437831")</f>
        <v>6437831</v>
      </c>
      <c r="D487" s="11" t="str">
        <f ca="1">IFERROR(__xludf.dummyfunction("""COMPUTED_VALUE"""),"70506603105")</f>
        <v>70506603105</v>
      </c>
      <c r="E487" s="11" t="str">
        <f ca="1">IFERROR(__xludf.dummyfunction("""COMPUTED_VALUE"""),"GABRIELAALENNCAR12@GMAIL.COM")</f>
        <v>GABRIELAALENNCAR12@GMAIL.COM</v>
      </c>
      <c r="F487" s="11"/>
      <c r="G487" s="11" t="str">
        <f ca="1">IFERROR(__xludf.dummyfunction("""COMPUTED_VALUE"""),"(62) 999113080")</f>
        <v>(62) 999113080</v>
      </c>
      <c r="H487" s="11" t="str">
        <f ca="1">IFERROR(__xludf.dummyfunction("""COMPUTED_VALUE"""),"SUPERIOR")</f>
        <v>SUPERIOR</v>
      </c>
      <c r="I487" s="10" t="str">
        <f ca="1">IFERROR(__xludf.dummyfunction("""COMPUTED_VALUE"""),"PSICOLOGIA")</f>
        <v>PSICOLOGIA</v>
      </c>
      <c r="J487" s="10" t="str">
        <f ca="1">IFERROR(__xludf.dummyfunction("""COMPUTED_VALUE"""),"NOITE")</f>
        <v>NOITE</v>
      </c>
      <c r="K487" s="10" t="str">
        <f ca="1">IFERROR(__xludf.dummyfunction("""COMPUTED_VALUE"""),"TARDE")</f>
        <v>TARDE</v>
      </c>
      <c r="L487" s="10" t="str">
        <f ca="1">IFERROR(__xludf.dummyfunction("""COMPUTED_VALUE"""),"GOIÂNIA - GO")</f>
        <v>GOIÂNIA - GO</v>
      </c>
      <c r="M487" s="10">
        <f ca="1">IFERROR(__xludf.dummyfunction("""COMPUTED_VALUE"""),5)</f>
        <v>5</v>
      </c>
      <c r="N487" s="10" t="str">
        <f ca="1">IFERROR(__xludf.dummyfunction("""COMPUTED_VALUE"""),"DISPONÍVEL")</f>
        <v>DISPONÍVEL</v>
      </c>
      <c r="O487" s="12"/>
      <c r="P487" s="11"/>
      <c r="Q487" s="11"/>
      <c r="R487" s="11"/>
    </row>
    <row r="488" spans="1:18">
      <c r="A488" s="10">
        <f ca="1">IFERROR(__xludf.dummyfunction("""COMPUTED_VALUE"""),19)</f>
        <v>19</v>
      </c>
      <c r="B488" s="11" t="str">
        <f ca="1">IFERROR(__xludf.dummyfunction("""COMPUTED_VALUE"""),"LETICIA BARBOSA GARCIA")</f>
        <v>LETICIA BARBOSA GARCIA</v>
      </c>
      <c r="C488" s="11"/>
      <c r="D488" s="11" t="str">
        <f ca="1">IFERROR(__xludf.dummyfunction("""COMPUTED_VALUE"""),"70391094173")</f>
        <v>70391094173</v>
      </c>
      <c r="E488" s="11" t="str">
        <f ca="1">IFERROR(__xludf.dummyfunction("""COMPUTED_VALUE"""),"LETICIA18281@GMAIL.COM")</f>
        <v>LETICIA18281@GMAIL.COM</v>
      </c>
      <c r="F488" s="11" t="str">
        <f ca="1">IFERROR(__xludf.dummyfunction("""COMPUTED_VALUE"""),"(62) 96963662")</f>
        <v>(62) 96963662</v>
      </c>
      <c r="G488" s="11" t="str">
        <f ca="1">IFERROR(__xludf.dummyfunction("""COMPUTED_VALUE"""),"(62) 996502269")</f>
        <v>(62) 996502269</v>
      </c>
      <c r="H488" s="11" t="str">
        <f ca="1">IFERROR(__xludf.dummyfunction("""COMPUTED_VALUE"""),"SUPERIOR")</f>
        <v>SUPERIOR</v>
      </c>
      <c r="I488" s="10" t="str">
        <f ca="1">IFERROR(__xludf.dummyfunction("""COMPUTED_VALUE"""),"PSICOLOGIA")</f>
        <v>PSICOLOGIA</v>
      </c>
      <c r="J488" s="10" t="str">
        <f ca="1">IFERROR(__xludf.dummyfunction("""COMPUTED_VALUE"""),"MANHÃ")</f>
        <v>MANHÃ</v>
      </c>
      <c r="K488" s="10" t="str">
        <f ca="1">IFERROR(__xludf.dummyfunction("""COMPUTED_VALUE"""),"TARDE")</f>
        <v>TARDE</v>
      </c>
      <c r="L488" s="10" t="str">
        <f ca="1">IFERROR(__xludf.dummyfunction("""COMPUTED_VALUE"""),"GOIÂNIA - GO")</f>
        <v>GOIÂNIA - GO</v>
      </c>
      <c r="M488" s="10">
        <f ca="1">IFERROR(__xludf.dummyfunction("""COMPUTED_VALUE"""),9)</f>
        <v>9</v>
      </c>
      <c r="N488" s="10" t="str">
        <f ca="1">IFERROR(__xludf.dummyfunction("""COMPUTED_VALUE"""),"DISPONÍVEL")</f>
        <v>DISPONÍVEL</v>
      </c>
      <c r="O488" s="12"/>
      <c r="P488" s="11"/>
      <c r="Q488" s="11"/>
      <c r="R488" s="11"/>
    </row>
    <row r="489" spans="1:18">
      <c r="A489" s="10">
        <f ca="1">IFERROR(__xludf.dummyfunction("""COMPUTED_VALUE"""),20)</f>
        <v>20</v>
      </c>
      <c r="B489" s="11" t="str">
        <f ca="1">IFERROR(__xludf.dummyfunction("""COMPUTED_VALUE"""),"PATRICIA VICTORIA SANTOS DE ALMEIDA")</f>
        <v>PATRICIA VICTORIA SANTOS DE ALMEIDA</v>
      </c>
      <c r="C489" s="11" t="str">
        <f ca="1">IFERROR(__xludf.dummyfunction("""COMPUTED_VALUE"""),"6238441")</f>
        <v>6238441</v>
      </c>
      <c r="D489" s="11" t="str">
        <f ca="1">IFERROR(__xludf.dummyfunction("""COMPUTED_VALUE"""),"70772052158")</f>
        <v>70772052158</v>
      </c>
      <c r="E489" s="11" t="str">
        <f ca="1">IFERROR(__xludf.dummyfunction("""COMPUTED_VALUE"""),"PATRICIAVICTORIA487@GMAIL.COM")</f>
        <v>PATRICIAVICTORIA487@GMAIL.COM</v>
      </c>
      <c r="F489" s="11" t="str">
        <f ca="1">IFERROR(__xludf.dummyfunction("""COMPUTED_VALUE"""),"(62) 32900138")</f>
        <v>(62) 32900138</v>
      </c>
      <c r="G489" s="11" t="str">
        <f ca="1">IFERROR(__xludf.dummyfunction("""COMPUTED_VALUE"""),"(62) 995791087")</f>
        <v>(62) 995791087</v>
      </c>
      <c r="H489" s="11" t="str">
        <f ca="1">IFERROR(__xludf.dummyfunction("""COMPUTED_VALUE"""),"SUPERIOR")</f>
        <v>SUPERIOR</v>
      </c>
      <c r="I489" s="10" t="str">
        <f ca="1">IFERROR(__xludf.dummyfunction("""COMPUTED_VALUE"""),"PSICOLOGIA")</f>
        <v>PSICOLOGIA</v>
      </c>
      <c r="J489" s="10" t="str">
        <f ca="1">IFERROR(__xludf.dummyfunction("""COMPUTED_VALUE"""),"MANHÃ")</f>
        <v>MANHÃ</v>
      </c>
      <c r="K489" s="10" t="str">
        <f ca="1">IFERROR(__xludf.dummyfunction("""COMPUTED_VALUE"""),"TARDE")</f>
        <v>TARDE</v>
      </c>
      <c r="L489" s="10" t="str">
        <f ca="1">IFERROR(__xludf.dummyfunction("""COMPUTED_VALUE"""),"GOIÂNIA - GO")</f>
        <v>GOIÂNIA - GO</v>
      </c>
      <c r="M489" s="10">
        <f ca="1">IFERROR(__xludf.dummyfunction("""COMPUTED_VALUE"""),8)</f>
        <v>8</v>
      </c>
      <c r="N489" s="10" t="str">
        <f ca="1">IFERROR(__xludf.dummyfunction("""COMPUTED_VALUE"""),"DISPONÍVEL")</f>
        <v>DISPONÍVEL</v>
      </c>
      <c r="O489" s="12"/>
      <c r="P489" s="11"/>
      <c r="Q489" s="11"/>
      <c r="R489" s="11"/>
    </row>
    <row r="490" spans="1:18">
      <c r="A490" s="10">
        <f ca="1">IFERROR(__xludf.dummyfunction("""COMPUTED_VALUE"""),21)</f>
        <v>21</v>
      </c>
      <c r="B490" s="11" t="str">
        <f ca="1">IFERROR(__xludf.dummyfunction("""COMPUTED_VALUE"""),"KARITA THUANNE DE MELO PEREIRA")</f>
        <v>KARITA THUANNE DE MELO PEREIRA</v>
      </c>
      <c r="C490" s="11" t="str">
        <f ca="1">IFERROR(__xludf.dummyfunction("""COMPUTED_VALUE"""),"5696905")</f>
        <v>5696905</v>
      </c>
      <c r="D490" s="11" t="str">
        <f ca="1">IFERROR(__xludf.dummyfunction("""COMPUTED_VALUE"""),"04062772140")</f>
        <v>04062772140</v>
      </c>
      <c r="E490" s="11" t="str">
        <f ca="1">IFERROR(__xludf.dummyfunction("""COMPUTED_VALUE"""),"KARITATMELO@OUTLOOK.COM")</f>
        <v>KARITATMELO@OUTLOOK.COM</v>
      </c>
      <c r="F490" s="11" t="str">
        <f ca="1">IFERROR(__xludf.dummyfunction("""COMPUTED_VALUE"""),"(55) 62982792")</f>
        <v>(55) 62982792</v>
      </c>
      <c r="G490" s="11" t="str">
        <f ca="1">IFERROR(__xludf.dummyfunction("""COMPUTED_VALUE"""),"(62) 982792910")</f>
        <v>(62) 982792910</v>
      </c>
      <c r="H490" s="11" t="str">
        <f ca="1">IFERROR(__xludf.dummyfunction("""COMPUTED_VALUE"""),"SUPERIOR")</f>
        <v>SUPERIOR</v>
      </c>
      <c r="I490" s="10" t="str">
        <f ca="1">IFERROR(__xludf.dummyfunction("""COMPUTED_VALUE"""),"PSICOLOGIA")</f>
        <v>PSICOLOGIA</v>
      </c>
      <c r="J490" s="10" t="str">
        <f ca="1">IFERROR(__xludf.dummyfunction("""COMPUTED_VALUE"""),"VARIÁVEL")</f>
        <v>VARIÁVEL</v>
      </c>
      <c r="K490" s="10" t="str">
        <f ca="1">IFERROR(__xludf.dummyfunction("""COMPUTED_VALUE"""),"TARDE")</f>
        <v>TARDE</v>
      </c>
      <c r="L490" s="10" t="str">
        <f ca="1">IFERROR(__xludf.dummyfunction("""COMPUTED_VALUE"""),"GOIÂNIA - GO")</f>
        <v>GOIÂNIA - GO</v>
      </c>
      <c r="M490" s="10">
        <f ca="1">IFERROR(__xludf.dummyfunction("""COMPUTED_VALUE"""),8)</f>
        <v>8</v>
      </c>
      <c r="N490" s="10" t="str">
        <f ca="1">IFERROR(__xludf.dummyfunction("""COMPUTED_VALUE"""),"DISPONÍVEL")</f>
        <v>DISPONÍVEL</v>
      </c>
      <c r="O490" s="12"/>
      <c r="P490" s="11"/>
      <c r="Q490" s="11"/>
      <c r="R490" s="11"/>
    </row>
    <row r="491" spans="1:18">
      <c r="A491" s="10">
        <f ca="1">IFERROR(__xludf.dummyfunction("""COMPUTED_VALUE"""),22)</f>
        <v>22</v>
      </c>
      <c r="B491" s="11" t="str">
        <f ca="1">IFERROR(__xludf.dummyfunction("""COMPUTED_VALUE"""),"JULIA MARQUES NASCIMENTO")</f>
        <v>JULIA MARQUES NASCIMENTO</v>
      </c>
      <c r="C491" s="11" t="str">
        <f ca="1">IFERROR(__xludf.dummyfunction("""COMPUTED_VALUE"""),"6648155")</f>
        <v>6648155</v>
      </c>
      <c r="D491" s="11" t="str">
        <f ca="1">IFERROR(__xludf.dummyfunction("""COMPUTED_VALUE"""),"70707851190")</f>
        <v>70707851190</v>
      </c>
      <c r="E491" s="11" t="str">
        <f ca="1">IFERROR(__xludf.dummyfunction("""COMPUTED_VALUE"""),"MNASCIMENTO.JULIA1@GMAIL.COM")</f>
        <v>MNASCIMENTO.JULIA1@GMAIL.COM</v>
      </c>
      <c r="F491" s="11"/>
      <c r="G491" s="11" t="str">
        <f ca="1">IFERROR(__xludf.dummyfunction("""COMPUTED_VALUE"""),"(62) 982792903")</f>
        <v>(62) 982792903</v>
      </c>
      <c r="H491" s="11" t="str">
        <f ca="1">IFERROR(__xludf.dummyfunction("""COMPUTED_VALUE"""),"SUPERIOR")</f>
        <v>SUPERIOR</v>
      </c>
      <c r="I491" s="10" t="str">
        <f ca="1">IFERROR(__xludf.dummyfunction("""COMPUTED_VALUE"""),"PSICOLOGIA")</f>
        <v>PSICOLOGIA</v>
      </c>
      <c r="J491" s="10" t="str">
        <f ca="1">IFERROR(__xludf.dummyfunction("""COMPUTED_VALUE"""),"MANHÃ")</f>
        <v>MANHÃ</v>
      </c>
      <c r="K491" s="10" t="str">
        <f ca="1">IFERROR(__xludf.dummyfunction("""COMPUTED_VALUE"""),"TARDE")</f>
        <v>TARDE</v>
      </c>
      <c r="L491" s="10" t="str">
        <f ca="1">IFERROR(__xludf.dummyfunction("""COMPUTED_VALUE"""),"GOIÂNIA - GO")</f>
        <v>GOIÂNIA - GO</v>
      </c>
      <c r="M491" s="10">
        <f ca="1">IFERROR(__xludf.dummyfunction("""COMPUTED_VALUE"""),5)</f>
        <v>5</v>
      </c>
      <c r="N491" s="10" t="str">
        <f ca="1">IFERROR(__xludf.dummyfunction("""COMPUTED_VALUE"""),"DISPONÍVEL")</f>
        <v>DISPONÍVEL</v>
      </c>
      <c r="O491" s="12"/>
      <c r="P491" s="11"/>
      <c r="Q491" s="11"/>
      <c r="R491" s="11"/>
    </row>
    <row r="492" spans="1:18">
      <c r="A492" s="10">
        <f ca="1">IFERROR(__xludf.dummyfunction("""COMPUTED_VALUE"""),23)</f>
        <v>23</v>
      </c>
      <c r="B492" s="11" t="str">
        <f ca="1">IFERROR(__xludf.dummyfunction("""COMPUTED_VALUE"""),"ERICKA LUANNA SOUSA DOS SANTOS")</f>
        <v>ERICKA LUANNA SOUSA DOS SANTOS</v>
      </c>
      <c r="C492" s="11"/>
      <c r="D492" s="11" t="str">
        <f ca="1">IFERROR(__xludf.dummyfunction("""COMPUTED_VALUE"""),"02282422236")</f>
        <v>02282422236</v>
      </c>
      <c r="E492" s="11" t="str">
        <f ca="1">IFERROR(__xludf.dummyfunction("""COMPUTED_VALUE"""),"ERICKASANMARKS@GMAIL.COM")</f>
        <v>ERICKASANMARKS@GMAIL.COM</v>
      </c>
      <c r="F492" s="11" t="str">
        <f ca="1">IFERROR(__xludf.dummyfunction("""COMPUTED_VALUE"""),"(62) 39428911")</f>
        <v>(62) 39428911</v>
      </c>
      <c r="G492" s="11" t="str">
        <f ca="1">IFERROR(__xludf.dummyfunction("""COMPUTED_VALUE"""),"(62) 996530454")</f>
        <v>(62) 996530454</v>
      </c>
      <c r="H492" s="11" t="str">
        <f ca="1">IFERROR(__xludf.dummyfunction("""COMPUTED_VALUE"""),"SUPERIOR")</f>
        <v>SUPERIOR</v>
      </c>
      <c r="I492" s="10" t="str">
        <f ca="1">IFERROR(__xludf.dummyfunction("""COMPUTED_VALUE"""),"PSICOLOGIA")</f>
        <v>PSICOLOGIA</v>
      </c>
      <c r="J492" s="10" t="str">
        <f ca="1">IFERROR(__xludf.dummyfunction("""COMPUTED_VALUE"""),"NOITE")</f>
        <v>NOITE</v>
      </c>
      <c r="K492" s="10" t="str">
        <f ca="1">IFERROR(__xludf.dummyfunction("""COMPUTED_VALUE"""),"TARDE")</f>
        <v>TARDE</v>
      </c>
      <c r="L492" s="10" t="str">
        <f ca="1">IFERROR(__xludf.dummyfunction("""COMPUTED_VALUE"""),"GOIÂNIA - GO")</f>
        <v>GOIÂNIA - GO</v>
      </c>
      <c r="M492" s="10">
        <f ca="1">IFERROR(__xludf.dummyfunction("""COMPUTED_VALUE"""),8)</f>
        <v>8</v>
      </c>
      <c r="N492" s="10" t="str">
        <f ca="1">IFERROR(__xludf.dummyfunction("""COMPUTED_VALUE"""),"DISPONÍVEL")</f>
        <v>DISPONÍVEL</v>
      </c>
      <c r="O492" s="12"/>
      <c r="P492" s="11"/>
      <c r="Q492" s="11"/>
      <c r="R492" s="11"/>
    </row>
    <row r="493" spans="1:18">
      <c r="A493" s="10">
        <f ca="1">IFERROR(__xludf.dummyfunction("""COMPUTED_VALUE"""),24)</f>
        <v>24</v>
      </c>
      <c r="B493" s="11" t="str">
        <f ca="1">IFERROR(__xludf.dummyfunction("""COMPUTED_VALUE"""),"NICOLE CARVALHO SOBRINHO")</f>
        <v>NICOLE CARVALHO SOBRINHO</v>
      </c>
      <c r="C493" s="11" t="str">
        <f ca="1">IFERROR(__xludf.dummyfunction("""COMPUTED_VALUE"""),"6236206")</f>
        <v>6236206</v>
      </c>
      <c r="D493" s="11" t="str">
        <f ca="1">IFERROR(__xludf.dummyfunction("""COMPUTED_VALUE"""),"05966627185")</f>
        <v>05966627185</v>
      </c>
      <c r="E493" s="11" t="str">
        <f ca="1">IFERROR(__xludf.dummyfunction("""COMPUTED_VALUE"""),"NICOLE_CARVALHO03@OUTLOOK.COM")</f>
        <v>NICOLE_CARVALHO03@OUTLOOK.COM</v>
      </c>
      <c r="F493" s="11" t="str">
        <f ca="1">IFERROR(__xludf.dummyfunction("""COMPUTED_VALUE"""),"(62) 99638010")</f>
        <v>(62) 99638010</v>
      </c>
      <c r="G493" s="11" t="str">
        <f ca="1">IFERROR(__xludf.dummyfunction("""COMPUTED_VALUE"""),"(62) 996380103")</f>
        <v>(62) 996380103</v>
      </c>
      <c r="H493" s="11" t="str">
        <f ca="1">IFERROR(__xludf.dummyfunction("""COMPUTED_VALUE"""),"SUPERIOR")</f>
        <v>SUPERIOR</v>
      </c>
      <c r="I493" s="10" t="str">
        <f ca="1">IFERROR(__xludf.dummyfunction("""COMPUTED_VALUE"""),"PSICOLOGIA")</f>
        <v>PSICOLOGIA</v>
      </c>
      <c r="J493" s="10" t="str">
        <f ca="1">IFERROR(__xludf.dummyfunction("""COMPUTED_VALUE"""),"VARIÁVEL")</f>
        <v>VARIÁVEL</v>
      </c>
      <c r="K493" s="10" t="str">
        <f ca="1">IFERROR(__xludf.dummyfunction("""COMPUTED_VALUE"""),"TARDE")</f>
        <v>TARDE</v>
      </c>
      <c r="L493" s="10" t="str">
        <f ca="1">IFERROR(__xludf.dummyfunction("""COMPUTED_VALUE"""),"GOIÂNIA - GO")</f>
        <v>GOIÂNIA - GO</v>
      </c>
      <c r="M493" s="10">
        <f ca="1">IFERROR(__xludf.dummyfunction("""COMPUTED_VALUE"""),9)</f>
        <v>9</v>
      </c>
      <c r="N493" s="10" t="str">
        <f ca="1">IFERROR(__xludf.dummyfunction("""COMPUTED_VALUE"""),"DISPONÍVEL")</f>
        <v>DISPONÍVEL</v>
      </c>
      <c r="O493" s="12"/>
      <c r="P493" s="11"/>
      <c r="Q493" s="11"/>
      <c r="R493" s="11"/>
    </row>
    <row r="494" spans="1:18">
      <c r="A494" s="10">
        <f ca="1">IFERROR(__xludf.dummyfunction("""COMPUTED_VALUE"""),25)</f>
        <v>25</v>
      </c>
      <c r="B494" s="11" t="str">
        <f ca="1">IFERROR(__xludf.dummyfunction("""COMPUTED_VALUE"""),"BEATRIZ GONÇALVES MENDES")</f>
        <v>BEATRIZ GONÇALVES MENDES</v>
      </c>
      <c r="C494" s="11"/>
      <c r="D494" s="11" t="str">
        <f ca="1">IFERROR(__xludf.dummyfunction("""COMPUTED_VALUE"""),"70695796160")</f>
        <v>70695796160</v>
      </c>
      <c r="E494" s="11" t="str">
        <f ca="1">IFERROR(__xludf.dummyfunction("""COMPUTED_VALUE"""),"BIA99349904@GMAIL.COM")</f>
        <v>BIA99349904@GMAIL.COM</v>
      </c>
      <c r="F494" s="11"/>
      <c r="G494" s="11" t="str">
        <f ca="1">IFERROR(__xludf.dummyfunction("""COMPUTED_VALUE"""),"(62) 996708538")</f>
        <v>(62) 996708538</v>
      </c>
      <c r="H494" s="11" t="str">
        <f ca="1">IFERROR(__xludf.dummyfunction("""COMPUTED_VALUE"""),"SUPERIOR")</f>
        <v>SUPERIOR</v>
      </c>
      <c r="I494" s="10" t="str">
        <f ca="1">IFERROR(__xludf.dummyfunction("""COMPUTED_VALUE"""),"PSICOLOGIA")</f>
        <v>PSICOLOGIA</v>
      </c>
      <c r="J494" s="10" t="str">
        <f ca="1">IFERROR(__xludf.dummyfunction("""COMPUTED_VALUE"""),"MANHÃ")</f>
        <v>MANHÃ</v>
      </c>
      <c r="K494" s="10" t="str">
        <f ca="1">IFERROR(__xludf.dummyfunction("""COMPUTED_VALUE"""),"TARDE")</f>
        <v>TARDE</v>
      </c>
      <c r="L494" s="10" t="str">
        <f ca="1">IFERROR(__xludf.dummyfunction("""COMPUTED_VALUE"""),"GOIÂNIA - GO")</f>
        <v>GOIÂNIA - GO</v>
      </c>
      <c r="M494" s="10">
        <f ca="1">IFERROR(__xludf.dummyfunction("""COMPUTED_VALUE"""),6)</f>
        <v>6</v>
      </c>
      <c r="N494" s="10" t="str">
        <f ca="1">IFERROR(__xludf.dummyfunction("""COMPUTED_VALUE"""),"DISPONÍVEL")</f>
        <v>DISPONÍVEL</v>
      </c>
      <c r="O494" s="12"/>
      <c r="P494" s="11"/>
      <c r="Q494" s="11"/>
      <c r="R494" s="11"/>
    </row>
    <row r="495" spans="1:18">
      <c r="A495" s="10">
        <f ca="1">IFERROR(__xludf.dummyfunction("""COMPUTED_VALUE"""),26)</f>
        <v>26</v>
      </c>
      <c r="B495" s="11" t="str">
        <f ca="1">IFERROR(__xludf.dummyfunction("""COMPUTED_VALUE"""),"AUANNE FREITAS GOMES DE MORAIS")</f>
        <v>AUANNE FREITAS GOMES DE MORAIS</v>
      </c>
      <c r="C495" s="11"/>
      <c r="D495" s="11" t="str">
        <f ca="1">IFERROR(__xludf.dummyfunction("""COMPUTED_VALUE"""),"07181147102")</f>
        <v>07181147102</v>
      </c>
      <c r="E495" s="11" t="str">
        <f ca="1">IFERROR(__xludf.dummyfunction("""COMPUTED_VALUE"""),"AUANNE.GOMES@GMAIL.COM")</f>
        <v>AUANNE.GOMES@GMAIL.COM</v>
      </c>
      <c r="F495" s="11" t="str">
        <f ca="1">IFERROR(__xludf.dummyfunction("""COMPUTED_VALUE"""),"(62) 32071633")</f>
        <v>(62) 32071633</v>
      </c>
      <c r="G495" s="11" t="str">
        <f ca="1">IFERROR(__xludf.dummyfunction("""COMPUTED_VALUE"""),"(62) 991157005")</f>
        <v>(62) 991157005</v>
      </c>
      <c r="H495" s="11" t="str">
        <f ca="1">IFERROR(__xludf.dummyfunction("""COMPUTED_VALUE"""),"SUPERIOR")</f>
        <v>SUPERIOR</v>
      </c>
      <c r="I495" s="10" t="str">
        <f ca="1">IFERROR(__xludf.dummyfunction("""COMPUTED_VALUE"""),"PSICOLOGIA")</f>
        <v>PSICOLOGIA</v>
      </c>
      <c r="J495" s="10" t="str">
        <f ca="1">IFERROR(__xludf.dummyfunction("""COMPUTED_VALUE"""),"MANHÃ")</f>
        <v>MANHÃ</v>
      </c>
      <c r="K495" s="10" t="str">
        <f ca="1">IFERROR(__xludf.dummyfunction("""COMPUTED_VALUE"""),"TARDE")</f>
        <v>TARDE</v>
      </c>
      <c r="L495" s="10" t="str">
        <f ca="1">IFERROR(__xludf.dummyfunction("""COMPUTED_VALUE"""),"GOIÂNIA - GO")</f>
        <v>GOIÂNIA - GO</v>
      </c>
      <c r="M495" s="10">
        <f ca="1">IFERROR(__xludf.dummyfunction("""COMPUTED_VALUE"""),6)</f>
        <v>6</v>
      </c>
      <c r="N495" s="10" t="str">
        <f ca="1">IFERROR(__xludf.dummyfunction("""COMPUTED_VALUE"""),"DISPONÍVEL")</f>
        <v>DISPONÍVEL</v>
      </c>
      <c r="O495" s="12"/>
      <c r="P495" s="11"/>
      <c r="Q495" s="11"/>
      <c r="R495" s="11"/>
    </row>
    <row r="496" spans="1:18">
      <c r="A496" s="10">
        <f ca="1">IFERROR(__xludf.dummyfunction("""COMPUTED_VALUE"""),27)</f>
        <v>27</v>
      </c>
      <c r="B496" s="11" t="str">
        <f ca="1">IFERROR(__xludf.dummyfunction("""COMPUTED_VALUE"""),"GABRIELLA DUARTE SOUZA FERREIRA")</f>
        <v>GABRIELLA DUARTE SOUZA FERREIRA</v>
      </c>
      <c r="C496" s="11" t="str">
        <f ca="1">IFERROR(__xludf.dummyfunction("""COMPUTED_VALUE"""),"6711438")</f>
        <v>6711438</v>
      </c>
      <c r="D496" s="11" t="str">
        <f ca="1">IFERROR(__xludf.dummyfunction("""COMPUTED_VALUE"""),"70770079105")</f>
        <v>70770079105</v>
      </c>
      <c r="E496" s="11" t="str">
        <f ca="1">IFERROR(__xludf.dummyfunction("""COMPUTED_VALUE"""),"GABRIELLAXXX036DUARTE@GMAIL.COM")</f>
        <v>GABRIELLAXXX036DUARTE@GMAIL.COM</v>
      </c>
      <c r="F496" s="11"/>
      <c r="G496" s="11" t="str">
        <f ca="1">IFERROR(__xludf.dummyfunction("""COMPUTED_VALUE"""),"(62) 984572823")</f>
        <v>(62) 984572823</v>
      </c>
      <c r="H496" s="11" t="str">
        <f ca="1">IFERROR(__xludf.dummyfunction("""COMPUTED_VALUE"""),"SUPERIOR")</f>
        <v>SUPERIOR</v>
      </c>
      <c r="I496" s="10" t="str">
        <f ca="1">IFERROR(__xludf.dummyfunction("""COMPUTED_VALUE"""),"PSICOLOGIA")</f>
        <v>PSICOLOGIA</v>
      </c>
      <c r="J496" s="10" t="str">
        <f ca="1">IFERROR(__xludf.dummyfunction("""COMPUTED_VALUE"""),"NOITE")</f>
        <v>NOITE</v>
      </c>
      <c r="K496" s="10" t="str">
        <f ca="1">IFERROR(__xludf.dummyfunction("""COMPUTED_VALUE"""),"TARDE")</f>
        <v>TARDE</v>
      </c>
      <c r="L496" s="10" t="str">
        <f ca="1">IFERROR(__xludf.dummyfunction("""COMPUTED_VALUE"""),"GOIÂNIA - GO")</f>
        <v>GOIÂNIA - GO</v>
      </c>
      <c r="M496" s="10">
        <f ca="1">IFERROR(__xludf.dummyfunction("""COMPUTED_VALUE"""),5)</f>
        <v>5</v>
      </c>
      <c r="N496" s="10" t="str">
        <f ca="1">IFERROR(__xludf.dummyfunction("""COMPUTED_VALUE"""),"DISPONÍVEL")</f>
        <v>DISPONÍVEL</v>
      </c>
      <c r="O496" s="12"/>
      <c r="P496" s="11"/>
      <c r="Q496" s="11"/>
      <c r="R496" s="11"/>
    </row>
    <row r="497" spans="1:18">
      <c r="A497" s="10">
        <f ca="1">IFERROR(__xludf.dummyfunction("""COMPUTED_VALUE"""),28)</f>
        <v>28</v>
      </c>
      <c r="B497" s="11" t="str">
        <f ca="1">IFERROR(__xludf.dummyfunction("""COMPUTED_VALUE"""),"JULIA VIEIRA RODRIGUES")</f>
        <v>JULIA VIEIRA RODRIGUES</v>
      </c>
      <c r="C497" s="11" t="str">
        <f ca="1">IFERROR(__xludf.dummyfunction("""COMPUTED_VALUE"""),"6144448")</f>
        <v>6144448</v>
      </c>
      <c r="D497" s="11" t="str">
        <f ca="1">IFERROR(__xludf.dummyfunction("""COMPUTED_VALUE"""),"70228529107")</f>
        <v>70228529107</v>
      </c>
      <c r="E497" s="11" t="str">
        <f ca="1">IFERROR(__xludf.dummyfunction("""COMPUTED_VALUE"""),"JULIAVIEIRARD@GMAIL.COM")</f>
        <v>JULIAVIEIRARD@GMAIL.COM</v>
      </c>
      <c r="F497" s="11"/>
      <c r="G497" s="11" t="str">
        <f ca="1">IFERROR(__xludf.dummyfunction("""COMPUTED_VALUE"""),"(62) 992874155")</f>
        <v>(62) 992874155</v>
      </c>
      <c r="H497" s="11" t="str">
        <f ca="1">IFERROR(__xludf.dummyfunction("""COMPUTED_VALUE"""),"SUPERIOR")</f>
        <v>SUPERIOR</v>
      </c>
      <c r="I497" s="10" t="str">
        <f ca="1">IFERROR(__xludf.dummyfunction("""COMPUTED_VALUE"""),"PSICOLOGIA")</f>
        <v>PSICOLOGIA</v>
      </c>
      <c r="J497" s="10" t="str">
        <f ca="1">IFERROR(__xludf.dummyfunction("""COMPUTED_VALUE"""),"MANHÃ")</f>
        <v>MANHÃ</v>
      </c>
      <c r="K497" s="10" t="str">
        <f ca="1">IFERROR(__xludf.dummyfunction("""COMPUTED_VALUE"""),"TARDE")</f>
        <v>TARDE</v>
      </c>
      <c r="L497" s="10" t="str">
        <f ca="1">IFERROR(__xludf.dummyfunction("""COMPUTED_VALUE"""),"GOIÂNIA - GO")</f>
        <v>GOIÂNIA - GO</v>
      </c>
      <c r="M497" s="10">
        <f ca="1">IFERROR(__xludf.dummyfunction("""COMPUTED_VALUE"""),6)</f>
        <v>6</v>
      </c>
      <c r="N497" s="10" t="str">
        <f ca="1">IFERROR(__xludf.dummyfunction("""COMPUTED_VALUE"""),"DISPONÍVEL")</f>
        <v>DISPONÍVEL</v>
      </c>
      <c r="O497" s="12"/>
      <c r="P497" s="11"/>
      <c r="Q497" s="11"/>
      <c r="R497" s="11"/>
    </row>
    <row r="498" spans="1:18">
      <c r="A498" s="10">
        <f ca="1">IFERROR(__xludf.dummyfunction("""COMPUTED_VALUE"""),29)</f>
        <v>29</v>
      </c>
      <c r="B498" s="11" t="str">
        <f ca="1">IFERROR(__xludf.dummyfunction("""COMPUTED_VALUE"""),"LETICIA PREGO FONSECA DE LIMA")</f>
        <v>LETICIA PREGO FONSECA DE LIMA</v>
      </c>
      <c r="C498" s="11"/>
      <c r="D498" s="11" t="str">
        <f ca="1">IFERROR(__xludf.dummyfunction("""COMPUTED_VALUE"""),"03312434157")</f>
        <v>03312434157</v>
      </c>
      <c r="E498" s="11" t="str">
        <f ca="1">IFERROR(__xludf.dummyfunction("""COMPUTED_VALUE"""),"LEKA_PREGO@HOTMAIL.COM")</f>
        <v>LEKA_PREGO@HOTMAIL.COM</v>
      </c>
      <c r="F498" s="11" t="str">
        <f ca="1">IFERROR(__xludf.dummyfunction("""COMPUTED_VALUE"""),"(62) 30922647")</f>
        <v>(62) 30922647</v>
      </c>
      <c r="G498" s="11" t="str">
        <f ca="1">IFERROR(__xludf.dummyfunction("""COMPUTED_VALUE"""),"(62) 984122268")</f>
        <v>(62) 984122268</v>
      </c>
      <c r="H498" s="11" t="str">
        <f ca="1">IFERROR(__xludf.dummyfunction("""COMPUTED_VALUE"""),"SUPERIOR")</f>
        <v>SUPERIOR</v>
      </c>
      <c r="I498" s="10" t="str">
        <f ca="1">IFERROR(__xludf.dummyfunction("""COMPUTED_VALUE"""),"PSICOLOGIA")</f>
        <v>PSICOLOGIA</v>
      </c>
      <c r="J498" s="10" t="str">
        <f ca="1">IFERROR(__xludf.dummyfunction("""COMPUTED_VALUE"""),"NOITE")</f>
        <v>NOITE</v>
      </c>
      <c r="K498" s="10" t="str">
        <f ca="1">IFERROR(__xludf.dummyfunction("""COMPUTED_VALUE"""),"TARDE")</f>
        <v>TARDE</v>
      </c>
      <c r="L498" s="10" t="str">
        <f ca="1">IFERROR(__xludf.dummyfunction("""COMPUTED_VALUE"""),"GOIÂNIA - GO")</f>
        <v>GOIÂNIA - GO</v>
      </c>
      <c r="M498" s="10">
        <f ca="1">IFERROR(__xludf.dummyfunction("""COMPUTED_VALUE"""),8)</f>
        <v>8</v>
      </c>
      <c r="N498" s="10" t="str">
        <f ca="1">IFERROR(__xludf.dummyfunction("""COMPUTED_VALUE"""),"DISPONÍVEL")</f>
        <v>DISPONÍVEL</v>
      </c>
      <c r="O498" s="12"/>
      <c r="P498" s="11"/>
      <c r="Q498" s="11"/>
      <c r="R498" s="11"/>
    </row>
    <row r="499" spans="1:18">
      <c r="A499" s="10">
        <f ca="1">IFERROR(__xludf.dummyfunction("""COMPUTED_VALUE"""),30)</f>
        <v>30</v>
      </c>
      <c r="B499" s="11" t="str">
        <f ca="1">IFERROR(__xludf.dummyfunction("""COMPUTED_VALUE"""),"LIRIEL VITÓRIA RODRIGUES DE SOUZA")</f>
        <v>LIRIEL VITÓRIA RODRIGUES DE SOUZA</v>
      </c>
      <c r="C499" s="11"/>
      <c r="D499" s="11" t="str">
        <f ca="1">IFERROR(__xludf.dummyfunction("""COMPUTED_VALUE"""),"07151138105")</f>
        <v>07151138105</v>
      </c>
      <c r="E499" s="11" t="str">
        <f ca="1">IFERROR(__xludf.dummyfunction("""COMPUTED_VALUE"""),"LIRIELVITORIA3@GMAIL.COM")</f>
        <v>LIRIELVITORIA3@GMAIL.COM</v>
      </c>
      <c r="F499" s="11"/>
      <c r="G499" s="11" t="str">
        <f ca="1">IFERROR(__xludf.dummyfunction("""COMPUTED_VALUE"""),"(62) 985206937")</f>
        <v>(62) 985206937</v>
      </c>
      <c r="H499" s="11" t="str">
        <f ca="1">IFERROR(__xludf.dummyfunction("""COMPUTED_VALUE"""),"SUPERIOR")</f>
        <v>SUPERIOR</v>
      </c>
      <c r="I499" s="10" t="str">
        <f ca="1">IFERROR(__xludf.dummyfunction("""COMPUTED_VALUE"""),"PSICOLOGIA")</f>
        <v>PSICOLOGIA</v>
      </c>
      <c r="J499" s="10" t="str">
        <f ca="1">IFERROR(__xludf.dummyfunction("""COMPUTED_VALUE"""),"NOITE")</f>
        <v>NOITE</v>
      </c>
      <c r="K499" s="10" t="str">
        <f ca="1">IFERROR(__xludf.dummyfunction("""COMPUTED_VALUE"""),"TARDE")</f>
        <v>TARDE</v>
      </c>
      <c r="L499" s="10" t="str">
        <f ca="1">IFERROR(__xludf.dummyfunction("""COMPUTED_VALUE"""),"GOIÂNIA - GO")</f>
        <v>GOIÂNIA - GO</v>
      </c>
      <c r="M499" s="10">
        <f ca="1">IFERROR(__xludf.dummyfunction("""COMPUTED_VALUE"""),8)</f>
        <v>8</v>
      </c>
      <c r="N499" s="10" t="str">
        <f ca="1">IFERROR(__xludf.dummyfunction("""COMPUTED_VALUE"""),"DISPONÍVEL")</f>
        <v>DISPONÍVEL</v>
      </c>
      <c r="O499" s="12"/>
      <c r="P499" s="11"/>
      <c r="Q499" s="11"/>
      <c r="R499" s="11"/>
    </row>
    <row r="500" spans="1:18">
      <c r="A500" s="10">
        <f ca="1">IFERROR(__xludf.dummyfunction("""COMPUTED_VALUE"""),31)</f>
        <v>31</v>
      </c>
      <c r="B500" s="11" t="str">
        <f ca="1">IFERROR(__xludf.dummyfunction("""COMPUTED_VALUE"""),"THAYNARA ALVES DOS SANTOS")</f>
        <v>THAYNARA ALVES DOS SANTOS</v>
      </c>
      <c r="C500" s="11" t="str">
        <f ca="1">IFERROR(__xludf.dummyfunction("""COMPUTED_VALUE"""),"6741605")</f>
        <v>6741605</v>
      </c>
      <c r="D500" s="11" t="str">
        <f ca="1">IFERROR(__xludf.dummyfunction("""COMPUTED_VALUE"""),"01086884108")</f>
        <v>01086884108</v>
      </c>
      <c r="E500" s="11" t="str">
        <f ca="1">IFERROR(__xludf.dummyfunction("""COMPUTED_VALUE"""),"THAYNARA0ALVES@GMAIL.COM")</f>
        <v>THAYNARA0ALVES@GMAIL.COM</v>
      </c>
      <c r="F500" s="11" t="str">
        <f ca="1">IFERROR(__xludf.dummyfunction("""COMPUTED_VALUE"""),"(62) 39916262")</f>
        <v>(62) 39916262</v>
      </c>
      <c r="G500" s="11" t="str">
        <f ca="1">IFERROR(__xludf.dummyfunction("""COMPUTED_VALUE"""),"(62) 995417397")</f>
        <v>(62) 995417397</v>
      </c>
      <c r="H500" s="11" t="str">
        <f ca="1">IFERROR(__xludf.dummyfunction("""COMPUTED_VALUE"""),"SUPERIOR")</f>
        <v>SUPERIOR</v>
      </c>
      <c r="I500" s="10" t="str">
        <f ca="1">IFERROR(__xludf.dummyfunction("""COMPUTED_VALUE"""),"PSICOLOGIA")</f>
        <v>PSICOLOGIA</v>
      </c>
      <c r="J500" s="10" t="str">
        <f ca="1">IFERROR(__xludf.dummyfunction("""COMPUTED_VALUE"""),"NOITE")</f>
        <v>NOITE</v>
      </c>
      <c r="K500" s="10" t="str">
        <f ca="1">IFERROR(__xludf.dummyfunction("""COMPUTED_VALUE"""),"TARDE")</f>
        <v>TARDE</v>
      </c>
      <c r="L500" s="10" t="str">
        <f ca="1">IFERROR(__xludf.dummyfunction("""COMPUTED_VALUE"""),"GOIÂNIA - GO")</f>
        <v>GOIÂNIA - GO</v>
      </c>
      <c r="M500" s="10">
        <f ca="1">IFERROR(__xludf.dummyfunction("""COMPUTED_VALUE"""),5)</f>
        <v>5</v>
      </c>
      <c r="N500" s="10" t="str">
        <f ca="1">IFERROR(__xludf.dummyfunction("""COMPUTED_VALUE"""),"DISPONÍVEL")</f>
        <v>DISPONÍVEL</v>
      </c>
      <c r="O500" s="12"/>
      <c r="P500" s="11"/>
      <c r="Q500" s="11"/>
      <c r="R500" s="11"/>
    </row>
    <row r="501" spans="1:18">
      <c r="A501" s="10">
        <f ca="1">IFERROR(__xludf.dummyfunction("""COMPUTED_VALUE"""),32)</f>
        <v>32</v>
      </c>
      <c r="B501" s="11" t="str">
        <f ca="1">IFERROR(__xludf.dummyfunction("""COMPUTED_VALUE"""),"RAINE CANGIRAMA DE FRANCA")</f>
        <v>RAINE CANGIRAMA DE FRANCA</v>
      </c>
      <c r="C501" s="11" t="str">
        <f ca="1">IFERROR(__xludf.dummyfunction("""COMPUTED_VALUE"""),"6930696")</f>
        <v>6930696</v>
      </c>
      <c r="D501" s="11" t="str">
        <f ca="1">IFERROR(__xludf.dummyfunction("""COMPUTED_VALUE"""),"07982499198")</f>
        <v>07982499198</v>
      </c>
      <c r="E501" s="11" t="str">
        <f ca="1">IFERROR(__xludf.dummyfunction("""COMPUTED_VALUE"""),"RAINEFRANCA2709@GMAIL.COM")</f>
        <v>RAINEFRANCA2709@GMAIL.COM</v>
      </c>
      <c r="F501" s="11"/>
      <c r="G501" s="11" t="str">
        <f ca="1">IFERROR(__xludf.dummyfunction("""COMPUTED_VALUE"""),"(62) 995311249")</f>
        <v>(62) 995311249</v>
      </c>
      <c r="H501" s="11" t="str">
        <f ca="1">IFERROR(__xludf.dummyfunction("""COMPUTED_VALUE"""),"SUPERIOR")</f>
        <v>SUPERIOR</v>
      </c>
      <c r="I501" s="10" t="str">
        <f ca="1">IFERROR(__xludf.dummyfunction("""COMPUTED_VALUE"""),"PSICOLOGIA")</f>
        <v>PSICOLOGIA</v>
      </c>
      <c r="J501" s="10" t="str">
        <f ca="1">IFERROR(__xludf.dummyfunction("""COMPUTED_VALUE"""),"NOITE")</f>
        <v>NOITE</v>
      </c>
      <c r="K501" s="10" t="str">
        <f ca="1">IFERROR(__xludf.dummyfunction("""COMPUTED_VALUE"""),"TARDE")</f>
        <v>TARDE</v>
      </c>
      <c r="L501" s="10" t="str">
        <f ca="1">IFERROR(__xludf.dummyfunction("""COMPUTED_VALUE"""),"GOIÂNIA - GO")</f>
        <v>GOIÂNIA - GO</v>
      </c>
      <c r="M501" s="10">
        <f ca="1">IFERROR(__xludf.dummyfunction("""COMPUTED_VALUE"""),6)</f>
        <v>6</v>
      </c>
      <c r="N501" s="10" t="str">
        <f ca="1">IFERROR(__xludf.dummyfunction("""COMPUTED_VALUE"""),"DISPONÍVEL")</f>
        <v>DISPONÍVEL</v>
      </c>
      <c r="O501" s="12"/>
      <c r="P501" s="11"/>
      <c r="Q501" s="11"/>
      <c r="R501" s="11"/>
    </row>
    <row r="502" spans="1:18">
      <c r="A502" s="10">
        <f ca="1">IFERROR(__xludf.dummyfunction("""COMPUTED_VALUE"""),33)</f>
        <v>33</v>
      </c>
      <c r="B502" s="11" t="str">
        <f ca="1">IFERROR(__xludf.dummyfunction("""COMPUTED_VALUE"""),"JOAO VITOR PAIVASILVA")</f>
        <v>JOAO VITOR PAIVASILVA</v>
      </c>
      <c r="C502" s="11" t="str">
        <f ca="1">IFERROR(__xludf.dummyfunction("""COMPUTED_VALUE"""),"7027038")</f>
        <v>7027038</v>
      </c>
      <c r="D502" s="11" t="str">
        <f ca="1">IFERROR(__xludf.dummyfunction("""COMPUTED_VALUE"""),"71076529151")</f>
        <v>71076529151</v>
      </c>
      <c r="E502" s="11" t="str">
        <f ca="1">IFERROR(__xludf.dummyfunction("""COMPUTED_VALUE"""),"JVP2016.8@GMAIL.COM")</f>
        <v>JVP2016.8@GMAIL.COM</v>
      </c>
      <c r="F502" s="11" t="str">
        <f ca="1">IFERROR(__xludf.dummyfunction("""COMPUTED_VALUE"""),"(62) 99875529")</f>
        <v>(62) 99875529</v>
      </c>
      <c r="G502" s="11" t="str">
        <f ca="1">IFERROR(__xludf.dummyfunction("""COMPUTED_VALUE"""),"(62) 986516985")</f>
        <v>(62) 986516985</v>
      </c>
      <c r="H502" s="11" t="str">
        <f ca="1">IFERROR(__xludf.dummyfunction("""COMPUTED_VALUE"""),"SUPERIOR")</f>
        <v>SUPERIOR</v>
      </c>
      <c r="I502" s="10" t="str">
        <f ca="1">IFERROR(__xludf.dummyfunction("""COMPUTED_VALUE"""),"PSICOLOGIA")</f>
        <v>PSICOLOGIA</v>
      </c>
      <c r="J502" s="10" t="str">
        <f ca="1">IFERROR(__xludf.dummyfunction("""COMPUTED_VALUE"""),"NOITE")</f>
        <v>NOITE</v>
      </c>
      <c r="K502" s="10" t="str">
        <f ca="1">IFERROR(__xludf.dummyfunction("""COMPUTED_VALUE"""),"TARDE")</f>
        <v>TARDE</v>
      </c>
      <c r="L502" s="10" t="str">
        <f ca="1">IFERROR(__xludf.dummyfunction("""COMPUTED_VALUE"""),"GOIÂNIA - GO")</f>
        <v>GOIÂNIA - GO</v>
      </c>
      <c r="M502" s="10">
        <f ca="1">IFERROR(__xludf.dummyfunction("""COMPUTED_VALUE"""),8)</f>
        <v>8</v>
      </c>
      <c r="N502" s="10" t="str">
        <f ca="1">IFERROR(__xludf.dummyfunction("""COMPUTED_VALUE"""),"DISPONÍVEL")</f>
        <v>DISPONÍVEL</v>
      </c>
      <c r="O502" s="12"/>
      <c r="P502" s="11"/>
      <c r="Q502" s="11"/>
      <c r="R502" s="11"/>
    </row>
    <row r="503" spans="1:18">
      <c r="A503" s="10">
        <f ca="1">IFERROR(__xludf.dummyfunction("""COMPUTED_VALUE"""),34)</f>
        <v>34</v>
      </c>
      <c r="B503" s="11" t="str">
        <f ca="1">IFERROR(__xludf.dummyfunction("""COMPUTED_VALUE"""),"AYSHA LOPES NASCIMENTO")</f>
        <v>AYSHA LOPES NASCIMENTO</v>
      </c>
      <c r="C503" s="11"/>
      <c r="D503" s="11" t="str">
        <f ca="1">IFERROR(__xludf.dummyfunction("""COMPUTED_VALUE"""),"02230338129")</f>
        <v>02230338129</v>
      </c>
      <c r="E503" s="11" t="str">
        <f ca="1">IFERROR(__xludf.dummyfunction("""COMPUTED_VALUE"""),"NASCIMENTOAYSHA@GMAIL.COM")</f>
        <v>NASCIMENTOAYSHA@GMAIL.COM</v>
      </c>
      <c r="F503" s="11"/>
      <c r="G503" s="11" t="str">
        <f ca="1">IFERROR(__xludf.dummyfunction("""COMPUTED_VALUE"""),"(62) 981364175")</f>
        <v>(62) 981364175</v>
      </c>
      <c r="H503" s="11" t="str">
        <f ca="1">IFERROR(__xludf.dummyfunction("""COMPUTED_VALUE"""),"SUPERIOR")</f>
        <v>SUPERIOR</v>
      </c>
      <c r="I503" s="10" t="str">
        <f ca="1">IFERROR(__xludf.dummyfunction("""COMPUTED_VALUE"""),"PSICOLOGIA")</f>
        <v>PSICOLOGIA</v>
      </c>
      <c r="J503" s="10" t="str">
        <f ca="1">IFERROR(__xludf.dummyfunction("""COMPUTED_VALUE"""),"MANHÃ")</f>
        <v>MANHÃ</v>
      </c>
      <c r="K503" s="10" t="str">
        <f ca="1">IFERROR(__xludf.dummyfunction("""COMPUTED_VALUE"""),"TARDE")</f>
        <v>TARDE</v>
      </c>
      <c r="L503" s="10" t="str">
        <f ca="1">IFERROR(__xludf.dummyfunction("""COMPUTED_VALUE"""),"GOIÂNIA - GO")</f>
        <v>GOIÂNIA - GO</v>
      </c>
      <c r="M503" s="10">
        <f ca="1">IFERROR(__xludf.dummyfunction("""COMPUTED_VALUE"""),6)</f>
        <v>6</v>
      </c>
      <c r="N503" s="10" t="str">
        <f ca="1">IFERROR(__xludf.dummyfunction("""COMPUTED_VALUE"""),"DISPONÍVEL")</f>
        <v>DISPONÍVEL</v>
      </c>
      <c r="O503" s="12"/>
      <c r="P503" s="11"/>
      <c r="Q503" s="11"/>
      <c r="R503" s="11"/>
    </row>
    <row r="504" spans="1:18">
      <c r="A504" s="10">
        <f ca="1">IFERROR(__xludf.dummyfunction("""COMPUTED_VALUE"""),35)</f>
        <v>35</v>
      </c>
      <c r="B504" s="11" t="str">
        <f ca="1">IFERROR(__xludf.dummyfunction("""COMPUTED_VALUE"""),"ANA PAULA MOREIRA ALVES")</f>
        <v>ANA PAULA MOREIRA ALVES</v>
      </c>
      <c r="C504" s="11" t="str">
        <f ca="1">IFERROR(__xludf.dummyfunction("""COMPUTED_VALUE"""),"6173083")</f>
        <v>6173083</v>
      </c>
      <c r="D504" s="11" t="str">
        <f ca="1">IFERROR(__xludf.dummyfunction("""COMPUTED_VALUE"""),"70253451132")</f>
        <v>70253451132</v>
      </c>
      <c r="E504" s="11" t="str">
        <f ca="1">IFERROR(__xludf.dummyfunction("""COMPUTED_VALUE"""),"ANA.MALLVESZ@GMAIL.COM")</f>
        <v>ANA.MALLVESZ@GMAIL.COM</v>
      </c>
      <c r="F504" s="11" t="str">
        <f ca="1">IFERROR(__xludf.dummyfunction("""COMPUTED_VALUE"""),"(62) 84208727")</f>
        <v>(62) 84208727</v>
      </c>
      <c r="G504" s="11" t="str">
        <f ca="1">IFERROR(__xludf.dummyfunction("""COMPUTED_VALUE"""),"(62) 984208727")</f>
        <v>(62) 984208727</v>
      </c>
      <c r="H504" s="11" t="str">
        <f ca="1">IFERROR(__xludf.dummyfunction("""COMPUTED_VALUE"""),"SUPERIOR")</f>
        <v>SUPERIOR</v>
      </c>
      <c r="I504" s="10" t="str">
        <f ca="1">IFERROR(__xludf.dummyfunction("""COMPUTED_VALUE"""),"PSICOLOGIA")</f>
        <v>PSICOLOGIA</v>
      </c>
      <c r="J504" s="10" t="str">
        <f ca="1">IFERROR(__xludf.dummyfunction("""COMPUTED_VALUE"""),"NOITE")</f>
        <v>NOITE</v>
      </c>
      <c r="K504" s="10" t="str">
        <f ca="1">IFERROR(__xludf.dummyfunction("""COMPUTED_VALUE"""),"TARDE")</f>
        <v>TARDE</v>
      </c>
      <c r="L504" s="10" t="str">
        <f ca="1">IFERROR(__xludf.dummyfunction("""COMPUTED_VALUE"""),"GOIÂNIA - GO")</f>
        <v>GOIÂNIA - GO</v>
      </c>
      <c r="M504" s="10">
        <f ca="1">IFERROR(__xludf.dummyfunction("""COMPUTED_VALUE"""),6)</f>
        <v>6</v>
      </c>
      <c r="N504" s="10" t="str">
        <f ca="1">IFERROR(__xludf.dummyfunction("""COMPUTED_VALUE"""),"DISPONÍVEL")</f>
        <v>DISPONÍVEL</v>
      </c>
      <c r="O504" s="12"/>
      <c r="P504" s="11"/>
      <c r="Q504" s="11"/>
      <c r="R504" s="11"/>
    </row>
    <row r="505" spans="1:18">
      <c r="A505" s="10">
        <f ca="1">IFERROR(__xludf.dummyfunction("""COMPUTED_VALUE"""),36)</f>
        <v>36</v>
      </c>
      <c r="B505" s="11" t="str">
        <f ca="1">IFERROR(__xludf.dummyfunction("""COMPUTED_VALUE"""),"HALEFFE PEREIRA DE DEUS")</f>
        <v>HALEFFE PEREIRA DE DEUS</v>
      </c>
      <c r="C505" s="11"/>
      <c r="D505" s="11" t="str">
        <f ca="1">IFERROR(__xludf.dummyfunction("""COMPUTED_VALUE"""),"70910319111")</f>
        <v>70910319111</v>
      </c>
      <c r="E505" s="11" t="str">
        <f ca="1">IFERROR(__xludf.dummyfunction("""COMPUTED_VALUE"""),"HALEFFEPEREIRA12@GMAIL.COM")</f>
        <v>HALEFFEPEREIRA12@GMAIL.COM</v>
      </c>
      <c r="F505" s="11"/>
      <c r="G505" s="11" t="str">
        <f ca="1">IFERROR(__xludf.dummyfunction("""COMPUTED_VALUE"""),"(62) 985045323")</f>
        <v>(62) 985045323</v>
      </c>
      <c r="H505" s="11" t="str">
        <f ca="1">IFERROR(__xludf.dummyfunction("""COMPUTED_VALUE"""),"SUPERIOR")</f>
        <v>SUPERIOR</v>
      </c>
      <c r="I505" s="10" t="str">
        <f ca="1">IFERROR(__xludf.dummyfunction("""COMPUTED_VALUE"""),"PSICOLOGIA")</f>
        <v>PSICOLOGIA</v>
      </c>
      <c r="J505" s="10" t="str">
        <f ca="1">IFERROR(__xludf.dummyfunction("""COMPUTED_VALUE"""),"MANHÃ")</f>
        <v>MANHÃ</v>
      </c>
      <c r="K505" s="10" t="str">
        <f ca="1">IFERROR(__xludf.dummyfunction("""COMPUTED_VALUE"""),"TARDE")</f>
        <v>TARDE</v>
      </c>
      <c r="L505" s="10" t="str">
        <f ca="1">IFERROR(__xludf.dummyfunction("""COMPUTED_VALUE"""),"GOIÂNIA - GO")</f>
        <v>GOIÂNIA - GO</v>
      </c>
      <c r="M505" s="10">
        <f ca="1">IFERROR(__xludf.dummyfunction("""COMPUTED_VALUE"""),5)</f>
        <v>5</v>
      </c>
      <c r="N505" s="10" t="str">
        <f ca="1">IFERROR(__xludf.dummyfunction("""COMPUTED_VALUE"""),"DISPONÍVEL")</f>
        <v>DISPONÍVEL</v>
      </c>
      <c r="O505" s="12"/>
      <c r="P505" s="11"/>
      <c r="Q505" s="11"/>
      <c r="R505" s="11"/>
    </row>
    <row r="506" spans="1:18">
      <c r="A506" s="10">
        <f ca="1">IFERROR(__xludf.dummyfunction("""COMPUTED_VALUE"""),37)</f>
        <v>37</v>
      </c>
      <c r="B506" s="11" t="str">
        <f ca="1">IFERROR(__xludf.dummyfunction("""COMPUTED_VALUE"""),"MATHEUS ALVES RODRIGUES")</f>
        <v>MATHEUS ALVES RODRIGUES</v>
      </c>
      <c r="C506" s="11"/>
      <c r="D506" s="11" t="str">
        <f ca="1">IFERROR(__xludf.dummyfunction("""COMPUTED_VALUE"""),"71047505177")</f>
        <v>71047505177</v>
      </c>
      <c r="E506" s="11" t="str">
        <f ca="1">IFERROR(__xludf.dummyfunction("""COMPUTED_VALUE"""),"MATHEUS.ALVESRODRIGUES1999@GMAIL.COM")</f>
        <v>MATHEUS.ALVESRODRIGUES1999@GMAIL.COM</v>
      </c>
      <c r="F506" s="11"/>
      <c r="G506" s="11" t="str">
        <f ca="1">IFERROR(__xludf.dummyfunction("""COMPUTED_VALUE"""),"(62) 998503520")</f>
        <v>(62) 998503520</v>
      </c>
      <c r="H506" s="11" t="str">
        <f ca="1">IFERROR(__xludf.dummyfunction("""COMPUTED_VALUE"""),"SUPERIOR")</f>
        <v>SUPERIOR</v>
      </c>
      <c r="I506" s="10" t="str">
        <f ca="1">IFERROR(__xludf.dummyfunction("""COMPUTED_VALUE"""),"PSICOLOGIA")</f>
        <v>PSICOLOGIA</v>
      </c>
      <c r="J506" s="10" t="str">
        <f ca="1">IFERROR(__xludf.dummyfunction("""COMPUTED_VALUE"""),"NOITE")</f>
        <v>NOITE</v>
      </c>
      <c r="K506" s="10" t="str">
        <f ca="1">IFERROR(__xludf.dummyfunction("""COMPUTED_VALUE"""),"TARDE")</f>
        <v>TARDE</v>
      </c>
      <c r="L506" s="10" t="str">
        <f ca="1">IFERROR(__xludf.dummyfunction("""COMPUTED_VALUE"""),"GOIÂNIA - GO")</f>
        <v>GOIÂNIA - GO</v>
      </c>
      <c r="M506" s="10">
        <f ca="1">IFERROR(__xludf.dummyfunction("""COMPUTED_VALUE"""),8)</f>
        <v>8</v>
      </c>
      <c r="N506" s="10" t="str">
        <f ca="1">IFERROR(__xludf.dummyfunction("""COMPUTED_VALUE"""),"DISPONÍVEL")</f>
        <v>DISPONÍVEL</v>
      </c>
      <c r="O506" s="12"/>
      <c r="P506" s="11"/>
      <c r="Q506" s="11"/>
      <c r="R506" s="11"/>
    </row>
    <row r="507" spans="1:18">
      <c r="A507" s="10">
        <f ca="1">IFERROR(__xludf.dummyfunction("""COMPUTED_VALUE"""),38)</f>
        <v>38</v>
      </c>
      <c r="B507" s="11" t="str">
        <f ca="1">IFERROR(__xludf.dummyfunction("""COMPUTED_VALUE"""),"TIFANY QUEIROZ GOMES")</f>
        <v>TIFANY QUEIROZ GOMES</v>
      </c>
      <c r="C507" s="11"/>
      <c r="D507" s="11" t="str">
        <f ca="1">IFERROR(__xludf.dummyfunction("""COMPUTED_VALUE"""),"71048701131")</f>
        <v>71048701131</v>
      </c>
      <c r="E507" s="11" t="str">
        <f ca="1">IFERROR(__xludf.dummyfunction("""COMPUTED_VALUE"""),"QUEIROZTIFANY91@GMAIL.COM")</f>
        <v>QUEIROZTIFANY91@GMAIL.COM</v>
      </c>
      <c r="F507" s="11" t="str">
        <f ca="1">IFERROR(__xludf.dummyfunction("""COMPUTED_VALUE"""),"(62) 36249841")</f>
        <v>(62) 36249841</v>
      </c>
      <c r="G507" s="11" t="str">
        <f ca="1">IFERROR(__xludf.dummyfunction("""COMPUTED_VALUE"""),"(62) 996020372")</f>
        <v>(62) 996020372</v>
      </c>
      <c r="H507" s="11" t="str">
        <f ca="1">IFERROR(__xludf.dummyfunction("""COMPUTED_VALUE"""),"SUPERIOR")</f>
        <v>SUPERIOR</v>
      </c>
      <c r="I507" s="10" t="str">
        <f ca="1">IFERROR(__xludf.dummyfunction("""COMPUTED_VALUE"""),"PSICOLOGIA")</f>
        <v>PSICOLOGIA</v>
      </c>
      <c r="J507" s="10" t="str">
        <f ca="1">IFERROR(__xludf.dummyfunction("""COMPUTED_VALUE"""),"NOITE")</f>
        <v>NOITE</v>
      </c>
      <c r="K507" s="10" t="str">
        <f ca="1">IFERROR(__xludf.dummyfunction("""COMPUTED_VALUE"""),"TARDE")</f>
        <v>TARDE</v>
      </c>
      <c r="L507" s="10" t="str">
        <f ca="1">IFERROR(__xludf.dummyfunction("""COMPUTED_VALUE"""),"GOIÂNIA - GO")</f>
        <v>GOIÂNIA - GO</v>
      </c>
      <c r="M507" s="10">
        <f ca="1">IFERROR(__xludf.dummyfunction("""COMPUTED_VALUE"""),6)</f>
        <v>6</v>
      </c>
      <c r="N507" s="10" t="str">
        <f ca="1">IFERROR(__xludf.dummyfunction("""COMPUTED_VALUE"""),"DISPONÍVEL")</f>
        <v>DISPONÍVEL</v>
      </c>
      <c r="O507" s="12"/>
      <c r="P507" s="11"/>
      <c r="Q507" s="11"/>
      <c r="R507" s="11"/>
    </row>
    <row r="508" spans="1:18">
      <c r="A508" s="10">
        <f ca="1">IFERROR(__xludf.dummyfunction("""COMPUTED_VALUE"""),39)</f>
        <v>39</v>
      </c>
      <c r="B508" s="11" t="str">
        <f ca="1">IFERROR(__xludf.dummyfunction("""COMPUTED_VALUE"""),"KAREN VITÓRIA PEREIRA SANTOS CARVALHO")</f>
        <v>KAREN VITÓRIA PEREIRA SANTOS CARVALHO</v>
      </c>
      <c r="C508" s="11"/>
      <c r="D508" s="11" t="str">
        <f ca="1">IFERROR(__xludf.dummyfunction("""COMPUTED_VALUE"""),"03721206100")</f>
        <v>03721206100</v>
      </c>
      <c r="E508" s="11" t="str">
        <f ca="1">IFERROR(__xludf.dummyfunction("""COMPUTED_VALUE"""),"KARENVITORIA7549@GMAIL.COM")</f>
        <v>KARENVITORIA7549@GMAIL.COM</v>
      </c>
      <c r="F508" s="11" t="str">
        <f ca="1">IFERROR(__xludf.dummyfunction("""COMPUTED_VALUE"""),"(62) 32100288")</f>
        <v>(62) 32100288</v>
      </c>
      <c r="G508" s="11" t="str">
        <f ca="1">IFERROR(__xludf.dummyfunction("""COMPUTED_VALUE"""),"(62) 985907538")</f>
        <v>(62) 985907538</v>
      </c>
      <c r="H508" s="11" t="str">
        <f ca="1">IFERROR(__xludf.dummyfunction("""COMPUTED_VALUE"""),"SUPERIOR")</f>
        <v>SUPERIOR</v>
      </c>
      <c r="I508" s="10" t="str">
        <f ca="1">IFERROR(__xludf.dummyfunction("""COMPUTED_VALUE"""),"PSICOLOGIA")</f>
        <v>PSICOLOGIA</v>
      </c>
      <c r="J508" s="10" t="str">
        <f ca="1">IFERROR(__xludf.dummyfunction("""COMPUTED_VALUE"""),"NOITE")</f>
        <v>NOITE</v>
      </c>
      <c r="K508" s="10" t="str">
        <f ca="1">IFERROR(__xludf.dummyfunction("""COMPUTED_VALUE"""),"TARDE")</f>
        <v>TARDE</v>
      </c>
      <c r="L508" s="10" t="str">
        <f ca="1">IFERROR(__xludf.dummyfunction("""COMPUTED_VALUE"""),"GOIÂNIA - GO")</f>
        <v>GOIÂNIA - GO</v>
      </c>
      <c r="M508" s="10">
        <f ca="1">IFERROR(__xludf.dummyfunction("""COMPUTED_VALUE"""),6)</f>
        <v>6</v>
      </c>
      <c r="N508" s="10" t="str">
        <f ca="1">IFERROR(__xludf.dummyfunction("""COMPUTED_VALUE"""),"DISPONÍVEL")</f>
        <v>DISPONÍVEL</v>
      </c>
      <c r="O508" s="12"/>
      <c r="P508" s="11"/>
      <c r="Q508" s="11"/>
      <c r="R508" s="11"/>
    </row>
    <row r="509" spans="1:18">
      <c r="A509" s="10">
        <f ca="1">IFERROR(__xludf.dummyfunction("""COMPUTED_VALUE"""),40)</f>
        <v>40</v>
      </c>
      <c r="B509" s="11" t="str">
        <f ca="1">IFERROR(__xludf.dummyfunction("""COMPUTED_VALUE"""),"HORTON OLIVEIRA DE PAULA")</f>
        <v>HORTON OLIVEIRA DE PAULA</v>
      </c>
      <c r="C509" s="11"/>
      <c r="D509" s="11" t="str">
        <f ca="1">IFERROR(__xludf.dummyfunction("""COMPUTED_VALUE"""),"04413641108")</f>
        <v>04413641108</v>
      </c>
      <c r="E509" s="11" t="str">
        <f ca="1">IFERROR(__xludf.dummyfunction("""COMPUTED_VALUE"""),"HORTONOLIVEIRA4@OUTLOOK.COM")</f>
        <v>HORTONOLIVEIRA4@OUTLOOK.COM</v>
      </c>
      <c r="F509" s="11"/>
      <c r="G509" s="11" t="str">
        <f ca="1">IFERROR(__xludf.dummyfunction("""COMPUTED_VALUE"""),"(62) 984041089")</f>
        <v>(62) 984041089</v>
      </c>
      <c r="H509" s="11" t="str">
        <f ca="1">IFERROR(__xludf.dummyfunction("""COMPUTED_VALUE"""),"SUPERIOR")</f>
        <v>SUPERIOR</v>
      </c>
      <c r="I509" s="10" t="str">
        <f ca="1">IFERROR(__xludf.dummyfunction("""COMPUTED_VALUE"""),"PSICOLOGIA")</f>
        <v>PSICOLOGIA</v>
      </c>
      <c r="J509" s="10" t="str">
        <f ca="1">IFERROR(__xludf.dummyfunction("""COMPUTED_VALUE"""),"MANHÃ")</f>
        <v>MANHÃ</v>
      </c>
      <c r="K509" s="10" t="str">
        <f ca="1">IFERROR(__xludf.dummyfunction("""COMPUTED_VALUE"""),"TARDE")</f>
        <v>TARDE</v>
      </c>
      <c r="L509" s="10" t="str">
        <f ca="1">IFERROR(__xludf.dummyfunction("""COMPUTED_VALUE"""),"GOIÂNIA - GO")</f>
        <v>GOIÂNIA - GO</v>
      </c>
      <c r="M509" s="10">
        <f ca="1">IFERROR(__xludf.dummyfunction("""COMPUTED_VALUE"""),5)</f>
        <v>5</v>
      </c>
      <c r="N509" s="10" t="str">
        <f ca="1">IFERROR(__xludf.dummyfunction("""COMPUTED_VALUE"""),"DISPONÍVEL")</f>
        <v>DISPONÍVEL</v>
      </c>
      <c r="O509" s="12"/>
      <c r="P509" s="11"/>
      <c r="Q509" s="11"/>
      <c r="R509" s="11"/>
    </row>
    <row r="510" spans="1:18">
      <c r="A510" s="10">
        <f ca="1">IFERROR(__xludf.dummyfunction("""COMPUTED_VALUE"""),41)</f>
        <v>41</v>
      </c>
      <c r="B510" s="11" t="str">
        <f ca="1">IFERROR(__xludf.dummyfunction("""COMPUTED_VALUE"""),"TATIANE SOUSA DA ROCHA")</f>
        <v>TATIANE SOUSA DA ROCHA</v>
      </c>
      <c r="C510" s="11" t="str">
        <f ca="1">IFERROR(__xludf.dummyfunction("""COMPUTED_VALUE"""),"0607410920164")</f>
        <v>0607410920164</v>
      </c>
      <c r="D510" s="11" t="str">
        <f ca="1">IFERROR(__xludf.dummyfunction("""COMPUTED_VALUE"""),"61643957392")</f>
        <v>61643957392</v>
      </c>
      <c r="E510" s="11" t="str">
        <f ca="1">IFERROR(__xludf.dummyfunction("""COMPUTED_VALUE"""),"TATYANE.ROC123@GMAIL.COM")</f>
        <v>TATYANE.ROC123@GMAIL.COM</v>
      </c>
      <c r="F510" s="11" t="str">
        <f ca="1">IFERROR(__xludf.dummyfunction("""COMPUTED_VALUE"""),"(62) 85120563")</f>
        <v>(62) 85120563</v>
      </c>
      <c r="G510" s="11" t="str">
        <f ca="1">IFERROR(__xludf.dummyfunction("""COMPUTED_VALUE"""),"(62) 985120563")</f>
        <v>(62) 985120563</v>
      </c>
      <c r="H510" s="11" t="str">
        <f ca="1">IFERROR(__xludf.dummyfunction("""COMPUTED_VALUE"""),"SUPERIOR")</f>
        <v>SUPERIOR</v>
      </c>
      <c r="I510" s="10" t="str">
        <f ca="1">IFERROR(__xludf.dummyfunction("""COMPUTED_VALUE"""),"PSICOLOGIA")</f>
        <v>PSICOLOGIA</v>
      </c>
      <c r="J510" s="10" t="str">
        <f ca="1">IFERROR(__xludf.dummyfunction("""COMPUTED_VALUE"""),"NOITE")</f>
        <v>NOITE</v>
      </c>
      <c r="K510" s="10" t="str">
        <f ca="1">IFERROR(__xludf.dummyfunction("""COMPUTED_VALUE"""),"TARDE")</f>
        <v>TARDE</v>
      </c>
      <c r="L510" s="10" t="str">
        <f ca="1">IFERROR(__xludf.dummyfunction("""COMPUTED_VALUE"""),"GOIÂNIA - GO")</f>
        <v>GOIÂNIA - GO</v>
      </c>
      <c r="M510" s="10">
        <f ca="1">IFERROR(__xludf.dummyfunction("""COMPUTED_VALUE"""),7)</f>
        <v>7</v>
      </c>
      <c r="N510" s="10" t="str">
        <f ca="1">IFERROR(__xludf.dummyfunction("""COMPUTED_VALUE"""),"DISPONÍVEL")</f>
        <v>DISPONÍVEL</v>
      </c>
      <c r="O510" s="12"/>
      <c r="P510" s="11"/>
      <c r="Q510" s="11"/>
      <c r="R510" s="11"/>
    </row>
    <row r="511" spans="1:18">
      <c r="A511" s="10">
        <f ca="1">IFERROR(__xludf.dummyfunction("""COMPUTED_VALUE"""),42)</f>
        <v>42</v>
      </c>
      <c r="B511" s="11" t="str">
        <f ca="1">IFERROR(__xludf.dummyfunction("""COMPUTED_VALUE"""),"VICTÓRIA MYLENA ALMEIDA DE SOUZA")</f>
        <v>VICTÓRIA MYLENA ALMEIDA DE SOUZA</v>
      </c>
      <c r="C511" s="11"/>
      <c r="D511" s="11" t="str">
        <f ca="1">IFERROR(__xludf.dummyfunction("""COMPUTED_VALUE"""),"06869636109")</f>
        <v>06869636109</v>
      </c>
      <c r="E511" s="11" t="str">
        <f ca="1">IFERROR(__xludf.dummyfunction("""COMPUTED_VALUE"""),"VICTORIAMYLENA04@HOTMAIL.COM")</f>
        <v>VICTORIAMYLENA04@HOTMAIL.COM</v>
      </c>
      <c r="F511" s="11"/>
      <c r="G511" s="11" t="str">
        <f ca="1">IFERROR(__xludf.dummyfunction("""COMPUTED_VALUE"""),"(63) 992116740")</f>
        <v>(63) 992116740</v>
      </c>
      <c r="H511" s="11" t="str">
        <f ca="1">IFERROR(__xludf.dummyfunction("""COMPUTED_VALUE"""),"SUPERIOR")</f>
        <v>SUPERIOR</v>
      </c>
      <c r="I511" s="10" t="str">
        <f ca="1">IFERROR(__xludf.dummyfunction("""COMPUTED_VALUE"""),"PSICOLOGIA")</f>
        <v>PSICOLOGIA</v>
      </c>
      <c r="J511" s="10" t="str">
        <f ca="1">IFERROR(__xludf.dummyfunction("""COMPUTED_VALUE"""),"TARDE")</f>
        <v>TARDE</v>
      </c>
      <c r="K511" s="10" t="str">
        <f ca="1">IFERROR(__xludf.dummyfunction("""COMPUTED_VALUE"""),"TARDE")</f>
        <v>TARDE</v>
      </c>
      <c r="L511" s="10" t="str">
        <f ca="1">IFERROR(__xludf.dummyfunction("""COMPUTED_VALUE"""),"GOIÂNIA - GO")</f>
        <v>GOIÂNIA - GO</v>
      </c>
      <c r="M511" s="10">
        <f ca="1">IFERROR(__xludf.dummyfunction("""COMPUTED_VALUE"""),6)</f>
        <v>6</v>
      </c>
      <c r="N511" s="10" t="str">
        <f ca="1">IFERROR(__xludf.dummyfunction("""COMPUTED_VALUE"""),"DISPONÍVEL")</f>
        <v>DISPONÍVEL</v>
      </c>
      <c r="O511" s="12"/>
      <c r="P511" s="11"/>
      <c r="Q511" s="11"/>
      <c r="R511" s="11"/>
    </row>
    <row r="512" spans="1:18">
      <c r="A512" s="10">
        <f ca="1">IFERROR(__xludf.dummyfunction("""COMPUTED_VALUE"""),43)</f>
        <v>43</v>
      </c>
      <c r="B512" s="11" t="str">
        <f ca="1">IFERROR(__xludf.dummyfunction("""COMPUTED_VALUE"""),"JESSICA ILDA IZIDORO FERNANDES")</f>
        <v>JESSICA ILDA IZIDORO FERNANDES</v>
      </c>
      <c r="C512" s="11" t="str">
        <f ca="1">IFERROR(__xludf.dummyfunction("""COMPUTED_VALUE"""),"05358016916")</f>
        <v>05358016916</v>
      </c>
      <c r="D512" s="11" t="str">
        <f ca="1">IFERROR(__xludf.dummyfunction("""COMPUTED_VALUE"""),"03810253146")</f>
        <v>03810253146</v>
      </c>
      <c r="E512" s="11" t="str">
        <f ca="1">IFERROR(__xludf.dummyfunction("""COMPUTED_VALUE"""),"JESSICAIIF22@GMAIL.COM")</f>
        <v>JESSICAIIF22@GMAIL.COM</v>
      </c>
      <c r="F512" s="11"/>
      <c r="G512" s="11" t="str">
        <f ca="1">IFERROR(__xludf.dummyfunction("""COMPUTED_VALUE"""),"(62) 993793995")</f>
        <v>(62) 993793995</v>
      </c>
      <c r="H512" s="11" t="str">
        <f ca="1">IFERROR(__xludf.dummyfunction("""COMPUTED_VALUE"""),"SUPERIOR")</f>
        <v>SUPERIOR</v>
      </c>
      <c r="I512" s="10" t="str">
        <f ca="1">IFERROR(__xludf.dummyfunction("""COMPUTED_VALUE"""),"PSICOLOGIA")</f>
        <v>PSICOLOGIA</v>
      </c>
      <c r="J512" s="10" t="str">
        <f ca="1">IFERROR(__xludf.dummyfunction("""COMPUTED_VALUE"""),"NOITE")</f>
        <v>NOITE</v>
      </c>
      <c r="K512" s="10" t="str">
        <f ca="1">IFERROR(__xludf.dummyfunction("""COMPUTED_VALUE"""),"TARDE")</f>
        <v>TARDE</v>
      </c>
      <c r="L512" s="10" t="str">
        <f ca="1">IFERROR(__xludf.dummyfunction("""COMPUTED_VALUE"""),"GOIÂNIA - GO")</f>
        <v>GOIÂNIA - GO</v>
      </c>
      <c r="M512" s="10">
        <f ca="1">IFERROR(__xludf.dummyfunction("""COMPUTED_VALUE"""),9)</f>
        <v>9</v>
      </c>
      <c r="N512" s="10" t="str">
        <f ca="1">IFERROR(__xludf.dummyfunction("""COMPUTED_VALUE"""),"DISPONÍVEL")</f>
        <v>DISPONÍVEL</v>
      </c>
      <c r="O512" s="12"/>
      <c r="P512" s="11"/>
      <c r="Q512" s="11"/>
      <c r="R512" s="11"/>
    </row>
    <row r="513" spans="1:18">
      <c r="A513" s="10">
        <f ca="1">IFERROR(__xludf.dummyfunction("""COMPUTED_VALUE"""),44)</f>
        <v>44</v>
      </c>
      <c r="B513" s="11" t="str">
        <f ca="1">IFERROR(__xludf.dummyfunction("""COMPUTED_VALUE"""),"RONY PETERSON DOS SANTOS PEREIRA")</f>
        <v>RONY PETERSON DOS SANTOS PEREIRA</v>
      </c>
      <c r="C513" s="11"/>
      <c r="D513" s="11" t="str">
        <f ca="1">IFERROR(__xludf.dummyfunction("""COMPUTED_VALUE"""),"70123301122")</f>
        <v>70123301122</v>
      </c>
      <c r="E513" s="11" t="str">
        <f ca="1">IFERROR(__xludf.dummyfunction("""COMPUTED_VALUE"""),"RONYPETERSON1020@GMAIL.COM")</f>
        <v>RONYPETERSON1020@GMAIL.COM</v>
      </c>
      <c r="F513" s="11"/>
      <c r="G513" s="11" t="str">
        <f ca="1">IFERROR(__xludf.dummyfunction("""COMPUTED_VALUE"""),"(62) 996952063")</f>
        <v>(62) 996952063</v>
      </c>
      <c r="H513" s="11" t="str">
        <f ca="1">IFERROR(__xludf.dummyfunction("""COMPUTED_VALUE"""),"SUPERIOR")</f>
        <v>SUPERIOR</v>
      </c>
      <c r="I513" s="10" t="str">
        <f ca="1">IFERROR(__xludf.dummyfunction("""COMPUTED_VALUE"""),"PSICOLOGIA")</f>
        <v>PSICOLOGIA</v>
      </c>
      <c r="J513" s="10" t="str">
        <f ca="1">IFERROR(__xludf.dummyfunction("""COMPUTED_VALUE"""),"MANHÃ")</f>
        <v>MANHÃ</v>
      </c>
      <c r="K513" s="10" t="str">
        <f ca="1">IFERROR(__xludf.dummyfunction("""COMPUTED_VALUE"""),"TARDE")</f>
        <v>TARDE</v>
      </c>
      <c r="L513" s="10" t="str">
        <f ca="1">IFERROR(__xludf.dummyfunction("""COMPUTED_VALUE"""),"GOIÂNIA - GO")</f>
        <v>GOIÂNIA - GO</v>
      </c>
      <c r="M513" s="10">
        <f ca="1">IFERROR(__xludf.dummyfunction("""COMPUTED_VALUE"""),7)</f>
        <v>7</v>
      </c>
      <c r="N513" s="10" t="str">
        <f ca="1">IFERROR(__xludf.dummyfunction("""COMPUTED_VALUE"""),"DISPONÍVEL")</f>
        <v>DISPONÍVEL</v>
      </c>
      <c r="O513" s="12"/>
      <c r="P513" s="11"/>
      <c r="Q513" s="11"/>
      <c r="R513" s="11"/>
    </row>
    <row r="514" spans="1:18">
      <c r="A514" s="10">
        <f ca="1">IFERROR(__xludf.dummyfunction("""COMPUTED_VALUE"""),45)</f>
        <v>45</v>
      </c>
      <c r="B514" s="11" t="str">
        <f ca="1">IFERROR(__xludf.dummyfunction("""COMPUTED_VALUE"""),"LARISSA CRISTINA ROGERIO DE LIMA")</f>
        <v>LARISSA CRISTINA ROGERIO DE LIMA</v>
      </c>
      <c r="C514" s="11" t="str">
        <f ca="1">IFERROR(__xludf.dummyfunction("""COMPUTED_VALUE"""),"6515403")</f>
        <v>6515403</v>
      </c>
      <c r="D514" s="11" t="str">
        <f ca="1">IFERROR(__xludf.dummyfunction("""COMPUTED_VALUE"""),"70578596199")</f>
        <v>70578596199</v>
      </c>
      <c r="E514" s="11" t="str">
        <f ca="1">IFERROR(__xludf.dummyfunction("""COMPUTED_VALUE"""),"LARIXACRIS@GMAIL.COM")</f>
        <v>LARIXACRIS@GMAIL.COM</v>
      </c>
      <c r="F514" s="11"/>
      <c r="G514" s="11" t="str">
        <f ca="1">IFERROR(__xludf.dummyfunction("""COMPUTED_VALUE"""),"(62) 982786567")</f>
        <v>(62) 982786567</v>
      </c>
      <c r="H514" s="11" t="str">
        <f ca="1">IFERROR(__xludf.dummyfunction("""COMPUTED_VALUE"""),"SUPERIOR")</f>
        <v>SUPERIOR</v>
      </c>
      <c r="I514" s="10" t="str">
        <f ca="1">IFERROR(__xludf.dummyfunction("""COMPUTED_VALUE"""),"PSICOLOGIA")</f>
        <v>PSICOLOGIA</v>
      </c>
      <c r="J514" s="10" t="str">
        <f ca="1">IFERROR(__xludf.dummyfunction("""COMPUTED_VALUE"""),"MANHÃ")</f>
        <v>MANHÃ</v>
      </c>
      <c r="K514" s="10" t="str">
        <f ca="1">IFERROR(__xludf.dummyfunction("""COMPUTED_VALUE"""),"TARDE")</f>
        <v>TARDE</v>
      </c>
      <c r="L514" s="10" t="str">
        <f ca="1">IFERROR(__xludf.dummyfunction("""COMPUTED_VALUE"""),"GOIÂNIA - GO")</f>
        <v>GOIÂNIA - GO</v>
      </c>
      <c r="M514" s="10">
        <f ca="1">IFERROR(__xludf.dummyfunction("""COMPUTED_VALUE"""),7)</f>
        <v>7</v>
      </c>
      <c r="N514" s="10" t="str">
        <f ca="1">IFERROR(__xludf.dummyfunction("""COMPUTED_VALUE"""),"DISPONÍVEL")</f>
        <v>DISPONÍVEL</v>
      </c>
      <c r="O514" s="12"/>
      <c r="P514" s="11"/>
      <c r="Q514" s="11"/>
      <c r="R514" s="11"/>
    </row>
    <row r="515" spans="1:18">
      <c r="A515" s="10">
        <f ca="1">IFERROR(__xludf.dummyfunction("""COMPUTED_VALUE"""),46)</f>
        <v>46</v>
      </c>
      <c r="B515" s="11" t="str">
        <f ca="1">IFERROR(__xludf.dummyfunction("""COMPUTED_VALUE"""),"ANDRESSA VIEIRA PULUCENO")</f>
        <v>ANDRESSA VIEIRA PULUCENO</v>
      </c>
      <c r="C515" s="11"/>
      <c r="D515" s="11" t="str">
        <f ca="1">IFERROR(__xludf.dummyfunction("""COMPUTED_VALUE"""),"02623423164")</f>
        <v>02623423164</v>
      </c>
      <c r="E515" s="11" t="str">
        <f ca="1">IFERROR(__xludf.dummyfunction("""COMPUTED_VALUE"""),"ANDRESSAPULUCENO@GMAIL.COM")</f>
        <v>ANDRESSAPULUCENO@GMAIL.COM</v>
      </c>
      <c r="F515" s="11"/>
      <c r="G515" s="11" t="str">
        <f ca="1">IFERROR(__xludf.dummyfunction("""COMPUTED_VALUE"""),"(62) 994975761")</f>
        <v>(62) 994975761</v>
      </c>
      <c r="H515" s="11" t="str">
        <f ca="1">IFERROR(__xludf.dummyfunction("""COMPUTED_VALUE"""),"SUPERIOR")</f>
        <v>SUPERIOR</v>
      </c>
      <c r="I515" s="10" t="str">
        <f ca="1">IFERROR(__xludf.dummyfunction("""COMPUTED_VALUE"""),"PSICOLOGIA")</f>
        <v>PSICOLOGIA</v>
      </c>
      <c r="J515" s="10" t="str">
        <f ca="1">IFERROR(__xludf.dummyfunction("""COMPUTED_VALUE"""),"MANHÃ")</f>
        <v>MANHÃ</v>
      </c>
      <c r="K515" s="10" t="str">
        <f ca="1">IFERROR(__xludf.dummyfunction("""COMPUTED_VALUE"""),"TARDE")</f>
        <v>TARDE</v>
      </c>
      <c r="L515" s="10" t="str">
        <f ca="1">IFERROR(__xludf.dummyfunction("""COMPUTED_VALUE"""),"GOIÂNIA - GO")</f>
        <v>GOIÂNIA - GO</v>
      </c>
      <c r="M515" s="10">
        <f ca="1">IFERROR(__xludf.dummyfunction("""COMPUTED_VALUE"""),7)</f>
        <v>7</v>
      </c>
      <c r="N515" s="10" t="str">
        <f ca="1">IFERROR(__xludf.dummyfunction("""COMPUTED_VALUE"""),"DISPONÍVEL")</f>
        <v>DISPONÍVEL</v>
      </c>
      <c r="O515" s="12"/>
      <c r="P515" s="11"/>
      <c r="Q515" s="11"/>
      <c r="R515" s="11"/>
    </row>
    <row r="516" spans="1:18">
      <c r="A516" s="10">
        <f ca="1">IFERROR(__xludf.dummyfunction("""COMPUTED_VALUE"""),47)</f>
        <v>47</v>
      </c>
      <c r="B516" s="11" t="str">
        <f ca="1">IFERROR(__xludf.dummyfunction("""COMPUTED_VALUE"""),"JULIANNY ARRUDA RODRIGUES")</f>
        <v>JULIANNY ARRUDA RODRIGUES</v>
      </c>
      <c r="C516" s="11" t="str">
        <f ca="1">IFERROR(__xludf.dummyfunction("""COMPUTED_VALUE"""),"6692821")</f>
        <v>6692821</v>
      </c>
      <c r="D516" s="11" t="str">
        <f ca="1">IFERROR(__xludf.dummyfunction("""COMPUTED_VALUE"""),"70754285197")</f>
        <v>70754285197</v>
      </c>
      <c r="E516" s="11" t="str">
        <f ca="1">IFERROR(__xludf.dummyfunction("""COMPUTED_VALUE"""),"JURARRUDAA@OUTLOOK.COM")</f>
        <v>JURARRUDAA@OUTLOOK.COM</v>
      </c>
      <c r="F516" s="11" t="str">
        <f ca="1">IFERROR(__xludf.dummyfunction("""COMPUTED_VALUE"""),"(62) 35760287")</f>
        <v>(62) 35760287</v>
      </c>
      <c r="G516" s="11" t="str">
        <f ca="1">IFERROR(__xludf.dummyfunction("""COMPUTED_VALUE"""),"(62) 986265084")</f>
        <v>(62) 986265084</v>
      </c>
      <c r="H516" s="11" t="str">
        <f ca="1">IFERROR(__xludf.dummyfunction("""COMPUTED_VALUE"""),"SUPERIOR")</f>
        <v>SUPERIOR</v>
      </c>
      <c r="I516" s="10" t="str">
        <f ca="1">IFERROR(__xludf.dummyfunction("""COMPUTED_VALUE"""),"PSICOLOGIA")</f>
        <v>PSICOLOGIA</v>
      </c>
      <c r="J516" s="10" t="str">
        <f ca="1">IFERROR(__xludf.dummyfunction("""COMPUTED_VALUE"""),"MANHÃ")</f>
        <v>MANHÃ</v>
      </c>
      <c r="K516" s="10" t="str">
        <f ca="1">IFERROR(__xludf.dummyfunction("""COMPUTED_VALUE"""),"TARDE")</f>
        <v>TARDE</v>
      </c>
      <c r="L516" s="10" t="str">
        <f ca="1">IFERROR(__xludf.dummyfunction("""COMPUTED_VALUE"""),"GOIÂNIA - GO")</f>
        <v>GOIÂNIA - GO</v>
      </c>
      <c r="M516" s="10">
        <f ca="1">IFERROR(__xludf.dummyfunction("""COMPUTED_VALUE"""),8)</f>
        <v>8</v>
      </c>
      <c r="N516" s="10" t="str">
        <f ca="1">IFERROR(__xludf.dummyfunction("""COMPUTED_VALUE"""),"DISPONÍVEL")</f>
        <v>DISPONÍVEL</v>
      </c>
      <c r="O516" s="12"/>
      <c r="P516" s="11"/>
      <c r="Q516" s="11"/>
      <c r="R516" s="11"/>
    </row>
    <row r="517" spans="1:18">
      <c r="A517" s="10">
        <f ca="1">IFERROR(__xludf.dummyfunction("""COMPUTED_VALUE"""),48)</f>
        <v>48</v>
      </c>
      <c r="B517" s="11" t="str">
        <f ca="1">IFERROR(__xludf.dummyfunction("""COMPUTED_VALUE"""),"REJANE MICHELE SILVA SOUZA")</f>
        <v>REJANE MICHELE SILVA SOUZA</v>
      </c>
      <c r="C517" s="11"/>
      <c r="D517" s="11" t="str">
        <f ca="1">IFERROR(__xludf.dummyfunction("""COMPUTED_VALUE"""),"88922324104")</f>
        <v>88922324104</v>
      </c>
      <c r="E517" s="11" t="str">
        <f ca="1">IFERROR(__xludf.dummyfunction("""COMPUTED_VALUE"""),"REJANEMICHELESOUZA@GMAIL.COM")</f>
        <v>REJANEMICHELESOUZA@GMAIL.COM</v>
      </c>
      <c r="F517" s="11"/>
      <c r="G517" s="11" t="str">
        <f ca="1">IFERROR(__xludf.dummyfunction("""COMPUTED_VALUE"""),"(62) 981780771")</f>
        <v>(62) 981780771</v>
      </c>
      <c r="H517" s="11" t="str">
        <f ca="1">IFERROR(__xludf.dummyfunction("""COMPUTED_VALUE"""),"SUPERIOR")</f>
        <v>SUPERIOR</v>
      </c>
      <c r="I517" s="10" t="str">
        <f ca="1">IFERROR(__xludf.dummyfunction("""COMPUTED_VALUE"""),"PSICOLOGIA")</f>
        <v>PSICOLOGIA</v>
      </c>
      <c r="J517" s="10" t="str">
        <f ca="1">IFERROR(__xludf.dummyfunction("""COMPUTED_VALUE"""),"MANHÃ")</f>
        <v>MANHÃ</v>
      </c>
      <c r="K517" s="10" t="str">
        <f ca="1">IFERROR(__xludf.dummyfunction("""COMPUTED_VALUE"""),"TARDE")</f>
        <v>TARDE</v>
      </c>
      <c r="L517" s="10" t="str">
        <f ca="1">IFERROR(__xludf.dummyfunction("""COMPUTED_VALUE"""),"GOIÂNIA - GO")</f>
        <v>GOIÂNIA - GO</v>
      </c>
      <c r="M517" s="10">
        <f ca="1">IFERROR(__xludf.dummyfunction("""COMPUTED_VALUE"""),9)</f>
        <v>9</v>
      </c>
      <c r="N517" s="10" t="str">
        <f ca="1">IFERROR(__xludf.dummyfunction("""COMPUTED_VALUE"""),"DISPONÍVEL")</f>
        <v>DISPONÍVEL</v>
      </c>
      <c r="O517" s="12"/>
      <c r="P517" s="11"/>
      <c r="Q517" s="11"/>
      <c r="R517" s="11"/>
    </row>
    <row r="518" spans="1:18">
      <c r="A518" s="10">
        <f ca="1">IFERROR(__xludf.dummyfunction("""COMPUTED_VALUE"""),49)</f>
        <v>49</v>
      </c>
      <c r="B518" s="11" t="str">
        <f ca="1">IFERROR(__xludf.dummyfunction("""COMPUTED_VALUE"""),"HELEN OLIVEIRA FACHINELLI CAVALCANTE")</f>
        <v>HELEN OLIVEIRA FACHINELLI CAVALCANTE</v>
      </c>
      <c r="C518" s="11" t="str">
        <f ca="1">IFERROR(__xludf.dummyfunction("""COMPUTED_VALUE"""),"6837666")</f>
        <v>6837666</v>
      </c>
      <c r="D518" s="11" t="str">
        <f ca="1">IFERROR(__xludf.dummyfunction("""COMPUTED_VALUE"""),"06400075119")</f>
        <v>06400075119</v>
      </c>
      <c r="E518" s="11" t="str">
        <f ca="1">IFERROR(__xludf.dummyfunction("""COMPUTED_VALUE"""),"HELENFACHINELLI@GMAIL.COM")</f>
        <v>HELENFACHINELLI@GMAIL.COM</v>
      </c>
      <c r="F518" s="11" t="str">
        <f ca="1">IFERROR(__xludf.dummyfunction("""COMPUTED_VALUE"""),"(62) 98105896")</f>
        <v>(62) 98105896</v>
      </c>
      <c r="G518" s="11" t="str">
        <f ca="1">IFERROR(__xludf.dummyfunction("""COMPUTED_VALUE"""),"(62) 981058965")</f>
        <v>(62) 981058965</v>
      </c>
      <c r="H518" s="11" t="str">
        <f ca="1">IFERROR(__xludf.dummyfunction("""COMPUTED_VALUE"""),"SUPERIOR")</f>
        <v>SUPERIOR</v>
      </c>
      <c r="I518" s="10" t="str">
        <f ca="1">IFERROR(__xludf.dummyfunction("""COMPUTED_VALUE"""),"PSICOLOGIA")</f>
        <v>PSICOLOGIA</v>
      </c>
      <c r="J518" s="10" t="str">
        <f ca="1">IFERROR(__xludf.dummyfunction("""COMPUTED_VALUE"""),"MANHÃ")</f>
        <v>MANHÃ</v>
      </c>
      <c r="K518" s="10" t="str">
        <f ca="1">IFERROR(__xludf.dummyfunction("""COMPUTED_VALUE"""),"TARDE")</f>
        <v>TARDE</v>
      </c>
      <c r="L518" s="10" t="str">
        <f ca="1">IFERROR(__xludf.dummyfunction("""COMPUTED_VALUE"""),"GOIÂNIA - GO")</f>
        <v>GOIÂNIA - GO</v>
      </c>
      <c r="M518" s="10">
        <f ca="1">IFERROR(__xludf.dummyfunction("""COMPUTED_VALUE"""),6)</f>
        <v>6</v>
      </c>
      <c r="N518" s="10" t="str">
        <f ca="1">IFERROR(__xludf.dummyfunction("""COMPUTED_VALUE"""),"DISPONÍVEL")</f>
        <v>DISPONÍVEL</v>
      </c>
      <c r="O518" s="12"/>
      <c r="P518" s="11"/>
      <c r="Q518" s="11"/>
      <c r="R518" s="11"/>
    </row>
    <row r="519" spans="1:18">
      <c r="A519" s="10">
        <f ca="1">IFERROR(__xludf.dummyfunction("""COMPUTED_VALUE"""),50)</f>
        <v>50</v>
      </c>
      <c r="B519" s="11" t="str">
        <f ca="1">IFERROR(__xludf.dummyfunction("""COMPUTED_VALUE"""),"ANA CLARA ROMUALDO CARVALHO")</f>
        <v>ANA CLARA ROMUALDO CARVALHO</v>
      </c>
      <c r="C519" s="11"/>
      <c r="D519" s="11" t="str">
        <f ca="1">IFERROR(__xludf.dummyfunction("""COMPUTED_VALUE"""),"01876612193")</f>
        <v>01876612193</v>
      </c>
      <c r="E519" s="11" t="str">
        <f ca="1">IFERROR(__xludf.dummyfunction("""COMPUTED_VALUE"""),"ANA.CLARARC443@GMAIL.COM")</f>
        <v>ANA.CLARARC443@GMAIL.COM</v>
      </c>
      <c r="F519" s="11"/>
      <c r="G519" s="11" t="str">
        <f ca="1">IFERROR(__xludf.dummyfunction("""COMPUTED_VALUE"""),"(62) 999017060")</f>
        <v>(62) 999017060</v>
      </c>
      <c r="H519" s="11" t="str">
        <f ca="1">IFERROR(__xludf.dummyfunction("""COMPUTED_VALUE"""),"SUPERIOR")</f>
        <v>SUPERIOR</v>
      </c>
      <c r="I519" s="10" t="str">
        <f ca="1">IFERROR(__xludf.dummyfunction("""COMPUTED_VALUE"""),"PSICOLOGIA")</f>
        <v>PSICOLOGIA</v>
      </c>
      <c r="J519" s="10" t="str">
        <f ca="1">IFERROR(__xludf.dummyfunction("""COMPUTED_VALUE"""),"MANHÃ")</f>
        <v>MANHÃ</v>
      </c>
      <c r="K519" s="10" t="str">
        <f ca="1">IFERROR(__xludf.dummyfunction("""COMPUTED_VALUE"""),"TARDE")</f>
        <v>TARDE</v>
      </c>
      <c r="L519" s="10" t="str">
        <f ca="1">IFERROR(__xludf.dummyfunction("""COMPUTED_VALUE"""),"GOIÂNIA - GO")</f>
        <v>GOIÂNIA - GO</v>
      </c>
      <c r="M519" s="10">
        <f ca="1">IFERROR(__xludf.dummyfunction("""COMPUTED_VALUE"""),6)</f>
        <v>6</v>
      </c>
      <c r="N519" s="10" t="str">
        <f ca="1">IFERROR(__xludf.dummyfunction("""COMPUTED_VALUE"""),"DISPONÍVEL")</f>
        <v>DISPONÍVEL</v>
      </c>
      <c r="O519" s="12"/>
      <c r="P519" s="11"/>
      <c r="Q519" s="11"/>
      <c r="R519" s="11"/>
    </row>
    <row r="520" spans="1:18">
      <c r="A520" s="10">
        <f ca="1">IFERROR(__xludf.dummyfunction("""COMPUTED_VALUE"""),51)</f>
        <v>51</v>
      </c>
      <c r="B520" s="11" t="str">
        <f ca="1">IFERROR(__xludf.dummyfunction("""COMPUTED_VALUE"""),"BEATRIZ FREIRE BANDEIRA DE ALMEIDA")</f>
        <v>BEATRIZ FREIRE BANDEIRA DE ALMEIDA</v>
      </c>
      <c r="C520" s="11"/>
      <c r="D520" s="11" t="str">
        <f ca="1">IFERROR(__xludf.dummyfunction("""COMPUTED_VALUE"""),"70512135126")</f>
        <v>70512135126</v>
      </c>
      <c r="E520" s="11" t="str">
        <f ca="1">IFERROR(__xludf.dummyfunction("""COMPUTED_VALUE"""),"BIIAFREIRE@ICLOUD.COM")</f>
        <v>BIIAFREIRE@ICLOUD.COM</v>
      </c>
      <c r="F520" s="11"/>
      <c r="G520" s="11" t="str">
        <f ca="1">IFERROR(__xludf.dummyfunction("""COMPUTED_VALUE"""),"(62) 982275738")</f>
        <v>(62) 982275738</v>
      </c>
      <c r="H520" s="11" t="str">
        <f ca="1">IFERROR(__xludf.dummyfunction("""COMPUTED_VALUE"""),"SUPERIOR")</f>
        <v>SUPERIOR</v>
      </c>
      <c r="I520" s="10" t="str">
        <f ca="1">IFERROR(__xludf.dummyfunction("""COMPUTED_VALUE"""),"PSICOLOGIA")</f>
        <v>PSICOLOGIA</v>
      </c>
      <c r="J520" s="10" t="str">
        <f ca="1">IFERROR(__xludf.dummyfunction("""COMPUTED_VALUE"""),"MANHÃ")</f>
        <v>MANHÃ</v>
      </c>
      <c r="K520" s="10" t="str">
        <f ca="1">IFERROR(__xludf.dummyfunction("""COMPUTED_VALUE"""),"TARDE")</f>
        <v>TARDE</v>
      </c>
      <c r="L520" s="10" t="str">
        <f ca="1">IFERROR(__xludf.dummyfunction("""COMPUTED_VALUE"""),"GOIÂNIA - GO")</f>
        <v>GOIÂNIA - GO</v>
      </c>
      <c r="M520" s="10">
        <f ca="1">IFERROR(__xludf.dummyfunction("""COMPUTED_VALUE"""),6)</f>
        <v>6</v>
      </c>
      <c r="N520" s="10" t="str">
        <f ca="1">IFERROR(__xludf.dummyfunction("""COMPUTED_VALUE"""),"DISPONÍVEL")</f>
        <v>DISPONÍVEL</v>
      </c>
      <c r="O520" s="12"/>
      <c r="P520" s="11"/>
      <c r="Q520" s="11"/>
      <c r="R520" s="11"/>
    </row>
    <row r="521" spans="1:18">
      <c r="A521" s="10">
        <f ca="1">IFERROR(__xludf.dummyfunction("""COMPUTED_VALUE"""),52)</f>
        <v>52</v>
      </c>
      <c r="B521" s="11" t="str">
        <f ca="1">IFERROR(__xludf.dummyfunction("""COMPUTED_VALUE"""),"GABRIELLA FRANCA CANDIDA DE ALMEIDA")</f>
        <v>GABRIELLA FRANCA CANDIDA DE ALMEIDA</v>
      </c>
      <c r="C521" s="11" t="str">
        <f ca="1">IFERROR(__xludf.dummyfunction("""COMPUTED_VALUE"""),"5475433")</f>
        <v>5475433</v>
      </c>
      <c r="D521" s="11" t="str">
        <f ca="1">IFERROR(__xludf.dummyfunction("""COMPUTED_VALUE"""),"03604247160")</f>
        <v>03604247160</v>
      </c>
      <c r="E521" s="11" t="str">
        <f ca="1">IFERROR(__xludf.dummyfunction("""COMPUTED_VALUE"""),"GABRIELLAFRANCAC@GMAIL.COM")</f>
        <v>GABRIELLAFRANCAC@GMAIL.COM</v>
      </c>
      <c r="F521" s="11"/>
      <c r="G521" s="11" t="str">
        <f ca="1">IFERROR(__xludf.dummyfunction("""COMPUTED_VALUE"""),"(62) 991492282")</f>
        <v>(62) 991492282</v>
      </c>
      <c r="H521" s="11" t="str">
        <f ca="1">IFERROR(__xludf.dummyfunction("""COMPUTED_VALUE"""),"SUPERIOR")</f>
        <v>SUPERIOR</v>
      </c>
      <c r="I521" s="10" t="str">
        <f ca="1">IFERROR(__xludf.dummyfunction("""COMPUTED_VALUE"""),"PSICOLOGIA")</f>
        <v>PSICOLOGIA</v>
      </c>
      <c r="J521" s="10" t="str">
        <f ca="1">IFERROR(__xludf.dummyfunction("""COMPUTED_VALUE"""),"NOITE")</f>
        <v>NOITE</v>
      </c>
      <c r="K521" s="10" t="str">
        <f ca="1">IFERROR(__xludf.dummyfunction("""COMPUTED_VALUE"""),"TARDE")</f>
        <v>TARDE</v>
      </c>
      <c r="L521" s="10" t="str">
        <f ca="1">IFERROR(__xludf.dummyfunction("""COMPUTED_VALUE"""),"GOIÂNIA - GO")</f>
        <v>GOIÂNIA - GO</v>
      </c>
      <c r="M521" s="10">
        <f ca="1">IFERROR(__xludf.dummyfunction("""COMPUTED_VALUE"""),5)</f>
        <v>5</v>
      </c>
      <c r="N521" s="10" t="str">
        <f ca="1">IFERROR(__xludf.dummyfunction("""COMPUTED_VALUE"""),"DISPONÍVEL")</f>
        <v>DISPONÍVEL</v>
      </c>
      <c r="O521" s="12"/>
      <c r="P521" s="11"/>
      <c r="Q521" s="11"/>
      <c r="R521" s="11"/>
    </row>
    <row r="522" spans="1:18">
      <c r="A522" s="10">
        <f ca="1">IFERROR(__xludf.dummyfunction("""COMPUTED_VALUE"""),53)</f>
        <v>53</v>
      </c>
      <c r="B522" s="11" t="str">
        <f ca="1">IFERROR(__xludf.dummyfunction("""COMPUTED_VALUE"""),"THAYS COELHO FONSECA")</f>
        <v>THAYS COELHO FONSECA</v>
      </c>
      <c r="C522" s="11" t="str">
        <f ca="1">IFERROR(__xludf.dummyfunction("""COMPUTED_VALUE"""),"4037505")</f>
        <v>4037505</v>
      </c>
      <c r="D522" s="11" t="str">
        <f ca="1">IFERROR(__xludf.dummyfunction("""COMPUTED_VALUE"""),"99458667100")</f>
        <v>99458667100</v>
      </c>
      <c r="E522" s="11" t="str">
        <f ca="1">IFERROR(__xludf.dummyfunction("""COMPUTED_VALUE"""),"THAYSCOELHOADM30@GMAIL.COM")</f>
        <v>THAYSCOELHOADM30@GMAIL.COM</v>
      </c>
      <c r="F522" s="11" t="str">
        <f ca="1">IFERROR(__xludf.dummyfunction("""COMPUTED_VALUE"""),"(62) 39987870")</f>
        <v>(62) 39987870</v>
      </c>
      <c r="G522" s="11" t="str">
        <f ca="1">IFERROR(__xludf.dummyfunction("""COMPUTED_VALUE"""),"(62) 983320945")</f>
        <v>(62) 983320945</v>
      </c>
      <c r="H522" s="11" t="str">
        <f ca="1">IFERROR(__xludf.dummyfunction("""COMPUTED_VALUE"""),"SUPERIOR")</f>
        <v>SUPERIOR</v>
      </c>
      <c r="I522" s="10" t="str">
        <f ca="1">IFERROR(__xludf.dummyfunction("""COMPUTED_VALUE"""),"PSICOLOGIA")</f>
        <v>PSICOLOGIA</v>
      </c>
      <c r="J522" s="10" t="str">
        <f ca="1">IFERROR(__xludf.dummyfunction("""COMPUTED_VALUE"""),"NOITE")</f>
        <v>NOITE</v>
      </c>
      <c r="K522" s="10" t="str">
        <f ca="1">IFERROR(__xludf.dummyfunction("""COMPUTED_VALUE"""),"TARDE")</f>
        <v>TARDE</v>
      </c>
      <c r="L522" s="10" t="str">
        <f ca="1">IFERROR(__xludf.dummyfunction("""COMPUTED_VALUE"""),"GOIÂNIA - GO")</f>
        <v>GOIÂNIA - GO</v>
      </c>
      <c r="M522" s="10">
        <f ca="1">IFERROR(__xludf.dummyfunction("""COMPUTED_VALUE"""),7)</f>
        <v>7</v>
      </c>
      <c r="N522" s="10" t="str">
        <f ca="1">IFERROR(__xludf.dummyfunction("""COMPUTED_VALUE"""),"DISPONÍVEL")</f>
        <v>DISPONÍVEL</v>
      </c>
      <c r="O522" s="12"/>
      <c r="P522" s="11"/>
      <c r="Q522" s="11"/>
      <c r="R522" s="11"/>
    </row>
    <row r="523" spans="1:18">
      <c r="A523" s="10">
        <f ca="1">IFERROR(__xludf.dummyfunction("""COMPUTED_VALUE"""),54)</f>
        <v>54</v>
      </c>
      <c r="B523" s="11" t="str">
        <f ca="1">IFERROR(__xludf.dummyfunction("""COMPUTED_VALUE"""),"JOYCE CRISTINA CALIXTO DE SOUSA")</f>
        <v>JOYCE CRISTINA CALIXTO DE SOUSA</v>
      </c>
      <c r="C523" s="11"/>
      <c r="D523" s="11" t="str">
        <f ca="1">IFERROR(__xludf.dummyfunction("""COMPUTED_VALUE"""),"71188794108")</f>
        <v>71188794108</v>
      </c>
      <c r="E523" s="11" t="str">
        <f ca="1">IFERROR(__xludf.dummyfunction("""COMPUTED_VALUE"""),"JOYCECRISTINASOUZ4@GMAIL.COM")</f>
        <v>JOYCECRISTINASOUZ4@GMAIL.COM</v>
      </c>
      <c r="F523" s="11"/>
      <c r="G523" s="11" t="str">
        <f ca="1">IFERROR(__xludf.dummyfunction("""COMPUTED_VALUE"""),"(62) 995644751")</f>
        <v>(62) 995644751</v>
      </c>
      <c r="H523" s="11" t="str">
        <f ca="1">IFERROR(__xludf.dummyfunction("""COMPUTED_VALUE"""),"SUPERIOR")</f>
        <v>SUPERIOR</v>
      </c>
      <c r="I523" s="10" t="str">
        <f ca="1">IFERROR(__xludf.dummyfunction("""COMPUTED_VALUE"""),"PSICOLOGIA")</f>
        <v>PSICOLOGIA</v>
      </c>
      <c r="J523" s="10" t="str">
        <f ca="1">IFERROR(__xludf.dummyfunction("""COMPUTED_VALUE"""),"MANHÃ")</f>
        <v>MANHÃ</v>
      </c>
      <c r="K523" s="10" t="str">
        <f ca="1">IFERROR(__xludf.dummyfunction("""COMPUTED_VALUE"""),"TARDE")</f>
        <v>TARDE</v>
      </c>
      <c r="L523" s="10" t="str">
        <f ca="1">IFERROR(__xludf.dummyfunction("""COMPUTED_VALUE"""),"GOIÂNIA - GO")</f>
        <v>GOIÂNIA - GO</v>
      </c>
      <c r="M523" s="10">
        <f ca="1">IFERROR(__xludf.dummyfunction("""COMPUTED_VALUE"""),5)</f>
        <v>5</v>
      </c>
      <c r="N523" s="10" t="str">
        <f ca="1">IFERROR(__xludf.dummyfunction("""COMPUTED_VALUE"""),"DISPONÍVEL")</f>
        <v>DISPONÍVEL</v>
      </c>
      <c r="O523" s="12"/>
      <c r="P523" s="11"/>
      <c r="Q523" s="11"/>
      <c r="R523" s="11"/>
    </row>
    <row r="524" spans="1:18">
      <c r="A524" s="10">
        <f ca="1">IFERROR(__xludf.dummyfunction("""COMPUTED_VALUE"""),55)</f>
        <v>55</v>
      </c>
      <c r="B524" s="11" t="str">
        <f ca="1">IFERROR(__xludf.dummyfunction("""COMPUTED_VALUE"""),"ELIZA DA SILVA SANTOS")</f>
        <v>ELIZA DA SILVA SANTOS</v>
      </c>
      <c r="C524" s="11" t="str">
        <f ca="1">IFERROR(__xludf.dummyfunction("""COMPUTED_VALUE"""),"5416255")</f>
        <v>5416255</v>
      </c>
      <c r="D524" s="11" t="str">
        <f ca="1">IFERROR(__xludf.dummyfunction("""COMPUTED_VALUE"""),"70165764180")</f>
        <v>70165764180</v>
      </c>
      <c r="E524" s="11" t="str">
        <f ca="1">IFERROR(__xludf.dummyfunction("""COMPUTED_VALUE"""),"ELIZA_SANTOS@DISCENTE.UFG.BR")</f>
        <v>ELIZA_SANTOS@DISCENTE.UFG.BR</v>
      </c>
      <c r="F524" s="11" t="str">
        <f ca="1">IFERROR(__xludf.dummyfunction("""COMPUTED_VALUE"""),"(62) 91295804")</f>
        <v>(62) 91295804</v>
      </c>
      <c r="G524" s="11" t="str">
        <f ca="1">IFERROR(__xludf.dummyfunction("""COMPUTED_VALUE"""),"(62) 996049270")</f>
        <v>(62) 996049270</v>
      </c>
      <c r="H524" s="11" t="str">
        <f ca="1">IFERROR(__xludf.dummyfunction("""COMPUTED_VALUE"""),"SUPERIOR")</f>
        <v>SUPERIOR</v>
      </c>
      <c r="I524" s="10" t="str">
        <f ca="1">IFERROR(__xludf.dummyfunction("""COMPUTED_VALUE"""),"PSICOLOGIA")</f>
        <v>PSICOLOGIA</v>
      </c>
      <c r="J524" s="10" t="str">
        <f ca="1">IFERROR(__xludf.dummyfunction("""COMPUTED_VALUE"""),"VARIÁVEL")</f>
        <v>VARIÁVEL</v>
      </c>
      <c r="K524" s="10" t="str">
        <f ca="1">IFERROR(__xludf.dummyfunction("""COMPUTED_VALUE"""),"TARDE")</f>
        <v>TARDE</v>
      </c>
      <c r="L524" s="10" t="str">
        <f ca="1">IFERROR(__xludf.dummyfunction("""COMPUTED_VALUE"""),"GOIÂNIA - GO")</f>
        <v>GOIÂNIA - GO</v>
      </c>
      <c r="M524" s="10">
        <f ca="1">IFERROR(__xludf.dummyfunction("""COMPUTED_VALUE"""),7)</f>
        <v>7</v>
      </c>
      <c r="N524" s="10" t="str">
        <f ca="1">IFERROR(__xludf.dummyfunction("""COMPUTED_VALUE"""),"DISPONÍVEL")</f>
        <v>DISPONÍVEL</v>
      </c>
      <c r="O524" s="12"/>
      <c r="P524" s="11"/>
      <c r="Q524" s="11"/>
      <c r="R524" s="11"/>
    </row>
    <row r="525" spans="1:18">
      <c r="A525" s="10">
        <f ca="1">IFERROR(__xludf.dummyfunction("""COMPUTED_VALUE"""),56)</f>
        <v>56</v>
      </c>
      <c r="B525" s="11" t="str">
        <f ca="1">IFERROR(__xludf.dummyfunction("""COMPUTED_VALUE"""),"BARBARAH DANNIELE PINHEIRO TAVARES")</f>
        <v>BARBARAH DANNIELE PINHEIRO TAVARES</v>
      </c>
      <c r="C525" s="11"/>
      <c r="D525" s="11" t="str">
        <f ca="1">IFERROR(__xludf.dummyfunction("""COMPUTED_VALUE"""),"02794580108")</f>
        <v>02794580108</v>
      </c>
      <c r="E525" s="11" t="str">
        <f ca="1">IFERROR(__xludf.dummyfunction("""COMPUTED_VALUE"""),"BARBARAHDANNIELEPT@GMAIL.COM")</f>
        <v>BARBARAHDANNIELEPT@GMAIL.COM</v>
      </c>
      <c r="F525" s="11" t="str">
        <f ca="1">IFERROR(__xludf.dummyfunction("""COMPUTED_VALUE"""),"(62) 20201360")</f>
        <v>(62) 20201360</v>
      </c>
      <c r="G525" s="11" t="str">
        <f ca="1">IFERROR(__xludf.dummyfunction("""COMPUTED_VALUE"""),"(62) 993095805")</f>
        <v>(62) 993095805</v>
      </c>
      <c r="H525" s="11" t="str">
        <f ca="1">IFERROR(__xludf.dummyfunction("""COMPUTED_VALUE"""),"SUPERIOR")</f>
        <v>SUPERIOR</v>
      </c>
      <c r="I525" s="10" t="str">
        <f ca="1">IFERROR(__xludf.dummyfunction("""COMPUTED_VALUE"""),"PSICOLOGIA")</f>
        <v>PSICOLOGIA</v>
      </c>
      <c r="J525" s="10" t="str">
        <f ca="1">IFERROR(__xludf.dummyfunction("""COMPUTED_VALUE"""),"NOITE")</f>
        <v>NOITE</v>
      </c>
      <c r="K525" s="10" t="str">
        <f ca="1">IFERROR(__xludf.dummyfunction("""COMPUTED_VALUE"""),"TARDE")</f>
        <v>TARDE</v>
      </c>
      <c r="L525" s="10" t="str">
        <f ca="1">IFERROR(__xludf.dummyfunction("""COMPUTED_VALUE"""),"GOIÂNIA - GO")</f>
        <v>GOIÂNIA - GO</v>
      </c>
      <c r="M525" s="10">
        <f ca="1">IFERROR(__xludf.dummyfunction("""COMPUTED_VALUE"""),5)</f>
        <v>5</v>
      </c>
      <c r="N525" s="10" t="str">
        <f ca="1">IFERROR(__xludf.dummyfunction("""COMPUTED_VALUE"""),"DISPONÍVEL")</f>
        <v>DISPONÍVEL</v>
      </c>
      <c r="O525" s="12"/>
      <c r="P525" s="11"/>
      <c r="Q525" s="11"/>
      <c r="R525" s="11"/>
    </row>
    <row r="526" spans="1:18">
      <c r="A526" s="10">
        <f ca="1">IFERROR(__xludf.dummyfunction("""COMPUTED_VALUE"""),57)</f>
        <v>57</v>
      </c>
      <c r="B526" s="11" t="str">
        <f ca="1">IFERROR(__xludf.dummyfunction("""COMPUTED_VALUE"""),"MIRIAM RIBEIRO FERREIRA")</f>
        <v>MIRIAM RIBEIRO FERREIRA</v>
      </c>
      <c r="C526" s="11" t="str">
        <f ca="1">IFERROR(__xludf.dummyfunction("""COMPUTED_VALUE"""),"6695303")</f>
        <v>6695303</v>
      </c>
      <c r="D526" s="11" t="str">
        <f ca="1">IFERROR(__xludf.dummyfunction("""COMPUTED_VALUE"""),"06911947189")</f>
        <v>06911947189</v>
      </c>
      <c r="E526" s="11" t="str">
        <f ca="1">IFERROR(__xludf.dummyfunction("""COMPUTED_VALUE"""),"MINHAN.AMOR@GMAIL.COM")</f>
        <v>MINHAN.AMOR@GMAIL.COM</v>
      </c>
      <c r="F526" s="11"/>
      <c r="G526" s="11" t="str">
        <f ca="1">IFERROR(__xludf.dummyfunction("""COMPUTED_VALUE"""),"(62) 984661685")</f>
        <v>(62) 984661685</v>
      </c>
      <c r="H526" s="11" t="str">
        <f ca="1">IFERROR(__xludf.dummyfunction("""COMPUTED_VALUE"""),"SUPERIOR")</f>
        <v>SUPERIOR</v>
      </c>
      <c r="I526" s="10" t="str">
        <f ca="1">IFERROR(__xludf.dummyfunction("""COMPUTED_VALUE"""),"PSICOLOGIA")</f>
        <v>PSICOLOGIA</v>
      </c>
      <c r="J526" s="10" t="str">
        <f ca="1">IFERROR(__xludf.dummyfunction("""COMPUTED_VALUE"""),"MANHÃ")</f>
        <v>MANHÃ</v>
      </c>
      <c r="K526" s="10" t="str">
        <f ca="1">IFERROR(__xludf.dummyfunction("""COMPUTED_VALUE"""),"TARDE")</f>
        <v>TARDE</v>
      </c>
      <c r="L526" s="10" t="str">
        <f ca="1">IFERROR(__xludf.dummyfunction("""COMPUTED_VALUE"""),"GOIÂNIA - GO")</f>
        <v>GOIÂNIA - GO</v>
      </c>
      <c r="M526" s="10">
        <f ca="1">IFERROR(__xludf.dummyfunction("""COMPUTED_VALUE"""),6)</f>
        <v>6</v>
      </c>
      <c r="N526" s="10" t="str">
        <f ca="1">IFERROR(__xludf.dummyfunction("""COMPUTED_VALUE"""),"DISPONÍVEL")</f>
        <v>DISPONÍVEL</v>
      </c>
      <c r="O526" s="12"/>
      <c r="P526" s="11"/>
      <c r="Q526" s="11"/>
      <c r="R526" s="11"/>
    </row>
    <row r="527" spans="1:18">
      <c r="A527" s="10">
        <f ca="1">IFERROR(__xludf.dummyfunction("""COMPUTED_VALUE"""),58)</f>
        <v>58</v>
      </c>
      <c r="B527" s="11" t="str">
        <f ca="1">IFERROR(__xludf.dummyfunction("""COMPUTED_VALUE"""),"ALICE PEIXOTO VIANA")</f>
        <v>ALICE PEIXOTO VIANA</v>
      </c>
      <c r="C527" s="11" t="str">
        <f ca="1">IFERROR(__xludf.dummyfunction("""COMPUTED_VALUE"""),"6061038")</f>
        <v>6061038</v>
      </c>
      <c r="D527" s="11" t="str">
        <f ca="1">IFERROR(__xludf.dummyfunction("""COMPUTED_VALUE"""),"04812684137")</f>
        <v>04812684137</v>
      </c>
      <c r="E527" s="11" t="str">
        <f ca="1">IFERROR(__xludf.dummyfunction("""COMPUTED_VALUE"""),"ALICEPVIANA@GMAIL.COM")</f>
        <v>ALICEPVIANA@GMAIL.COM</v>
      </c>
      <c r="F527" s="11"/>
      <c r="G527" s="11" t="str">
        <f ca="1">IFERROR(__xludf.dummyfunction("""COMPUTED_VALUE"""),"(62) 982158201")</f>
        <v>(62) 982158201</v>
      </c>
      <c r="H527" s="11" t="str">
        <f ca="1">IFERROR(__xludf.dummyfunction("""COMPUTED_VALUE"""),"SUPERIOR")</f>
        <v>SUPERIOR</v>
      </c>
      <c r="I527" s="10" t="str">
        <f ca="1">IFERROR(__xludf.dummyfunction("""COMPUTED_VALUE"""),"PSICOLOGIA")</f>
        <v>PSICOLOGIA</v>
      </c>
      <c r="J527" s="10" t="str">
        <f ca="1">IFERROR(__xludf.dummyfunction("""COMPUTED_VALUE"""),"MANHÃ")</f>
        <v>MANHÃ</v>
      </c>
      <c r="K527" s="10" t="str">
        <f ca="1">IFERROR(__xludf.dummyfunction("""COMPUTED_VALUE"""),"TARDE")</f>
        <v>TARDE</v>
      </c>
      <c r="L527" s="10" t="str">
        <f ca="1">IFERROR(__xludf.dummyfunction("""COMPUTED_VALUE"""),"GOIÂNIA - GO")</f>
        <v>GOIÂNIA - GO</v>
      </c>
      <c r="M527" s="10">
        <f ca="1">IFERROR(__xludf.dummyfunction("""COMPUTED_VALUE"""),5)</f>
        <v>5</v>
      </c>
      <c r="N527" s="10" t="str">
        <f ca="1">IFERROR(__xludf.dummyfunction("""COMPUTED_VALUE"""),"DISPONÍVEL")</f>
        <v>DISPONÍVEL</v>
      </c>
      <c r="P527" s="11"/>
      <c r="Q527" s="11"/>
      <c r="R527" s="11"/>
    </row>
    <row r="528" spans="1:18">
      <c r="A528" s="10">
        <f ca="1">IFERROR(__xludf.dummyfunction("""COMPUTED_VALUE"""),59)</f>
        <v>59</v>
      </c>
      <c r="B528" s="11" t="str">
        <f ca="1">IFERROR(__xludf.dummyfunction("""COMPUTED_VALUE"""),"YASHYLA RODRIGUES DIAS")</f>
        <v>YASHYLA RODRIGUES DIAS</v>
      </c>
      <c r="C528" s="11" t="str">
        <f ca="1">IFERROR(__xludf.dummyfunction("""COMPUTED_VALUE"""),"4487467")</f>
        <v>4487467</v>
      </c>
      <c r="D528" s="11" t="str">
        <f ca="1">IFERROR(__xludf.dummyfunction("""COMPUTED_VALUE"""),"01537578170")</f>
        <v>01537578170</v>
      </c>
      <c r="E528" s="11" t="str">
        <f ca="1">IFERROR(__xludf.dummyfunction("""COMPUTED_VALUE"""),"YASHYLA.DIAS@GMAIL.COM")</f>
        <v>YASHYLA.DIAS@GMAIL.COM</v>
      </c>
      <c r="F528" s="11" t="str">
        <f ca="1">IFERROR(__xludf.dummyfunction("""COMPUTED_VALUE"""),"(62) 32913237")</f>
        <v>(62) 32913237</v>
      </c>
      <c r="G528" s="11" t="str">
        <f ca="1">IFERROR(__xludf.dummyfunction("""COMPUTED_VALUE"""),"(62) 981495415")</f>
        <v>(62) 981495415</v>
      </c>
      <c r="H528" s="11" t="str">
        <f ca="1">IFERROR(__xludf.dummyfunction("""COMPUTED_VALUE"""),"SUPERIOR")</f>
        <v>SUPERIOR</v>
      </c>
      <c r="I528" s="10" t="str">
        <f ca="1">IFERROR(__xludf.dummyfunction("""COMPUTED_VALUE"""),"PSICOLOGIA")</f>
        <v>PSICOLOGIA</v>
      </c>
      <c r="J528" s="10" t="str">
        <f ca="1">IFERROR(__xludf.dummyfunction("""COMPUTED_VALUE"""),"NOITE")</f>
        <v>NOITE</v>
      </c>
      <c r="K528" s="10" t="str">
        <f ca="1">IFERROR(__xludf.dummyfunction("""COMPUTED_VALUE"""),"TARDE")</f>
        <v>TARDE</v>
      </c>
      <c r="L528" s="10" t="str">
        <f ca="1">IFERROR(__xludf.dummyfunction("""COMPUTED_VALUE"""),"GOIÂNIA - GO")</f>
        <v>GOIÂNIA - GO</v>
      </c>
      <c r="M528" s="10">
        <f ca="1">IFERROR(__xludf.dummyfunction("""COMPUTED_VALUE"""),5)</f>
        <v>5</v>
      </c>
      <c r="N528" s="10" t="str">
        <f ca="1">IFERROR(__xludf.dummyfunction("""COMPUTED_VALUE"""),"DISPONÍVEL")</f>
        <v>DISPONÍVEL</v>
      </c>
      <c r="P528" s="11"/>
      <c r="Q528" s="11"/>
      <c r="R528" s="11"/>
    </row>
    <row r="529" spans="1:18">
      <c r="A529" s="10">
        <f ca="1">IFERROR(__xludf.dummyfunction("""COMPUTED_VALUE"""),60)</f>
        <v>60</v>
      </c>
      <c r="B529" s="11" t="str">
        <f ca="1">IFERROR(__xludf.dummyfunction("""COMPUTED_VALUE"""),"MARIA ISABELLA PINHEIRO DUTRA")</f>
        <v>MARIA ISABELLA PINHEIRO DUTRA</v>
      </c>
      <c r="C529" s="11"/>
      <c r="D529" s="11" t="str">
        <f ca="1">IFERROR(__xludf.dummyfunction("""COMPUTED_VALUE"""),"03989223143")</f>
        <v>03989223143</v>
      </c>
      <c r="E529" s="11" t="str">
        <f ca="1">IFERROR(__xludf.dummyfunction("""COMPUTED_VALUE"""),"PSIMIPD@HOTMAIL.COM")</f>
        <v>PSIMIPD@HOTMAIL.COM</v>
      </c>
      <c r="F529" s="11" t="str">
        <f ca="1">IFERROR(__xludf.dummyfunction("""COMPUTED_VALUE"""),"(62) 99689626")</f>
        <v>(62) 99689626</v>
      </c>
      <c r="G529" s="11" t="str">
        <f ca="1">IFERROR(__xludf.dummyfunction("""COMPUTED_VALUE"""),"(62) 996896264")</f>
        <v>(62) 996896264</v>
      </c>
      <c r="H529" s="11" t="str">
        <f ca="1">IFERROR(__xludf.dummyfunction("""COMPUTED_VALUE"""),"SUPERIOR")</f>
        <v>SUPERIOR</v>
      </c>
      <c r="I529" s="10" t="str">
        <f ca="1">IFERROR(__xludf.dummyfunction("""COMPUTED_VALUE"""),"PSICOLOGIA")</f>
        <v>PSICOLOGIA</v>
      </c>
      <c r="J529" s="10" t="str">
        <f ca="1">IFERROR(__xludf.dummyfunction("""COMPUTED_VALUE"""),"MANHÃ")</f>
        <v>MANHÃ</v>
      </c>
      <c r="K529" s="10" t="str">
        <f ca="1">IFERROR(__xludf.dummyfunction("""COMPUTED_VALUE"""),"TARDE")</f>
        <v>TARDE</v>
      </c>
      <c r="L529" s="10" t="str">
        <f ca="1">IFERROR(__xludf.dummyfunction("""COMPUTED_VALUE"""),"GOIÂNIA - GO")</f>
        <v>GOIÂNIA - GO</v>
      </c>
      <c r="M529" s="10">
        <f ca="1">IFERROR(__xludf.dummyfunction("""COMPUTED_VALUE"""),5)</f>
        <v>5</v>
      </c>
      <c r="N529" s="10" t="str">
        <f ca="1">IFERROR(__xludf.dummyfunction("""COMPUTED_VALUE"""),"DISPONÍVEL")</f>
        <v>DISPONÍVEL</v>
      </c>
      <c r="P529" s="11"/>
      <c r="Q529" s="11"/>
      <c r="R529" s="11"/>
    </row>
    <row r="530" spans="1:18">
      <c r="A530" s="10">
        <f ca="1">IFERROR(__xludf.dummyfunction("""COMPUTED_VALUE"""),61)</f>
        <v>61</v>
      </c>
      <c r="B530" s="11" t="str">
        <f ca="1">IFERROR(__xludf.dummyfunction("""COMPUTED_VALUE"""),"JACIARA SANTANA DOS SANTOS")</f>
        <v>JACIARA SANTANA DOS SANTOS</v>
      </c>
      <c r="C530" s="11"/>
      <c r="D530" s="11" t="str">
        <f ca="1">IFERROR(__xludf.dummyfunction("""COMPUTED_VALUE"""),"08629734140")</f>
        <v>08629734140</v>
      </c>
      <c r="E530" s="11" t="str">
        <f ca="1">IFERROR(__xludf.dummyfunction("""COMPUTED_VALUE"""),"SANTTOS.JACIARA@GMAIL.COM")</f>
        <v>SANTTOS.JACIARA@GMAIL.COM</v>
      </c>
      <c r="F530" s="11"/>
      <c r="G530" s="11" t="str">
        <f ca="1">IFERROR(__xludf.dummyfunction("""COMPUTED_VALUE"""),"(62) 994957492")</f>
        <v>(62) 994957492</v>
      </c>
      <c r="H530" s="11" t="str">
        <f ca="1">IFERROR(__xludf.dummyfunction("""COMPUTED_VALUE"""),"SUPERIOR")</f>
        <v>SUPERIOR</v>
      </c>
      <c r="I530" s="10" t="str">
        <f ca="1">IFERROR(__xludf.dummyfunction("""COMPUTED_VALUE"""),"PSICOLOGIA")</f>
        <v>PSICOLOGIA</v>
      </c>
      <c r="J530" s="10" t="str">
        <f ca="1">IFERROR(__xludf.dummyfunction("""COMPUTED_VALUE"""),"NOITE")</f>
        <v>NOITE</v>
      </c>
      <c r="K530" s="10" t="str">
        <f ca="1">IFERROR(__xludf.dummyfunction("""COMPUTED_VALUE"""),"TARDE")</f>
        <v>TARDE</v>
      </c>
      <c r="L530" s="10" t="str">
        <f ca="1">IFERROR(__xludf.dummyfunction("""COMPUTED_VALUE"""),"GOIÂNIA - GO")</f>
        <v>GOIÂNIA - GO</v>
      </c>
      <c r="M530" s="10">
        <f ca="1">IFERROR(__xludf.dummyfunction("""COMPUTED_VALUE"""),7)</f>
        <v>7</v>
      </c>
      <c r="N530" s="10" t="str">
        <f ca="1">IFERROR(__xludf.dummyfunction("""COMPUTED_VALUE"""),"DISPONÍVEL")</f>
        <v>DISPONÍVEL</v>
      </c>
      <c r="P530" s="11"/>
      <c r="Q530" s="11"/>
      <c r="R530" s="11"/>
    </row>
    <row r="531" spans="1:18">
      <c r="A531" s="10">
        <f ca="1">IFERROR(__xludf.dummyfunction("""COMPUTED_VALUE"""),1)</f>
        <v>1</v>
      </c>
      <c r="B531" s="11" t="str">
        <f ca="1">IFERROR(__xludf.dummyfunction("""COMPUTED_VALUE"""),"ELISANGELA NUNES GONÇALVES")</f>
        <v>ELISANGELA NUNES GONÇALVES</v>
      </c>
      <c r="C531" s="11"/>
      <c r="D531" s="11" t="str">
        <f ca="1">IFERROR(__xludf.dummyfunction("""COMPUTED_VALUE"""),"85129585100")</f>
        <v>85129585100</v>
      </c>
      <c r="E531" s="11" t="str">
        <f ca="1">IFERROR(__xludf.dummyfunction("""COMPUTED_VALUE"""),"ELISANGELASANTOS1205@GMAIL.COM")</f>
        <v>ELISANGELASANTOS1205@GMAIL.COM</v>
      </c>
      <c r="F531" s="11" t="str">
        <f ca="1">IFERROR(__xludf.dummyfunction("""COMPUTED_VALUE"""),"(62) 85682397")</f>
        <v>(62) 85682397</v>
      </c>
      <c r="G531" s="11" t="str">
        <f ca="1">IFERROR(__xludf.dummyfunction("""COMPUTED_VALUE"""),"(62) 985682397")</f>
        <v>(62) 985682397</v>
      </c>
      <c r="H531" s="11" t="str">
        <f ca="1">IFERROR(__xludf.dummyfunction("""COMPUTED_VALUE"""),"SUPERIOR")</f>
        <v>SUPERIOR</v>
      </c>
      <c r="I531" s="10" t="str">
        <f ca="1">IFERROR(__xludf.dummyfunction("""COMPUTED_VALUE"""),"SERVIÇO SOCIAL")</f>
        <v>SERVIÇO SOCIAL</v>
      </c>
      <c r="J531" s="10" t="str">
        <f ca="1">IFERROR(__xludf.dummyfunction("""COMPUTED_VALUE"""),"NOITE")</f>
        <v>NOITE</v>
      </c>
      <c r="K531" s="10" t="str">
        <f ca="1">IFERROR(__xludf.dummyfunction("""COMPUTED_VALUE"""),"TARDE")</f>
        <v>TARDE</v>
      </c>
      <c r="L531" s="10" t="str">
        <f ca="1">IFERROR(__xludf.dummyfunction("""COMPUTED_VALUE"""),"GOIÂNIA - GO")</f>
        <v>GOIÂNIA - GO</v>
      </c>
      <c r="M531" s="10">
        <f ca="1">IFERROR(__xludf.dummyfunction("""COMPUTED_VALUE"""),6)</f>
        <v>6</v>
      </c>
      <c r="N531" s="10" t="str">
        <f ca="1">IFERROR(__xludf.dummyfunction("""COMPUTED_VALUE"""),"DISPONÍVEL")</f>
        <v>DISPONÍVEL</v>
      </c>
      <c r="P531" s="11"/>
      <c r="Q531" s="11"/>
      <c r="R531" s="11"/>
    </row>
    <row r="532" spans="1:18">
      <c r="A532" s="10">
        <f ca="1">IFERROR(__xludf.dummyfunction("""COMPUTED_VALUE"""),2)</f>
        <v>2</v>
      </c>
      <c r="B532" s="11" t="str">
        <f ca="1">IFERROR(__xludf.dummyfunction("""COMPUTED_VALUE"""),"PAULO SÉRGIO DE OLIVEIRA MACHADO")</f>
        <v>PAULO SÉRGIO DE OLIVEIRA MACHADO</v>
      </c>
      <c r="C532" s="11" t="str">
        <f ca="1">IFERROR(__xludf.dummyfunction("""COMPUTED_VALUE"""),"4092814")</f>
        <v>4092814</v>
      </c>
      <c r="D532" s="11" t="str">
        <f ca="1">IFERROR(__xludf.dummyfunction("""COMPUTED_VALUE"""),"96620641172")</f>
        <v>96620641172</v>
      </c>
      <c r="E532" s="11" t="str">
        <f ca="1">IFERROR(__xludf.dummyfunction("""COMPUTED_VALUE"""),"PAULOS_DEO_MACHADO@OUTLOOK.COM")</f>
        <v>PAULOS_DEO_MACHADO@OUTLOOK.COM</v>
      </c>
      <c r="F532" s="11" t="str">
        <f ca="1">IFERROR(__xludf.dummyfunction("""COMPUTED_VALUE"""),"(62) 32968818")</f>
        <v>(62) 32968818</v>
      </c>
      <c r="G532" s="11" t="str">
        <f ca="1">IFERROR(__xludf.dummyfunction("""COMPUTED_VALUE"""),"(62) 993995899")</f>
        <v>(62) 993995899</v>
      </c>
      <c r="H532" s="11" t="str">
        <f ca="1">IFERROR(__xludf.dummyfunction("""COMPUTED_VALUE"""),"SUPERIOR")</f>
        <v>SUPERIOR</v>
      </c>
      <c r="I532" s="10" t="str">
        <f ca="1">IFERROR(__xludf.dummyfunction("""COMPUTED_VALUE"""),"SERVIÇO SOCIAL")</f>
        <v>SERVIÇO SOCIAL</v>
      </c>
      <c r="J532" s="10" t="str">
        <f ca="1">IFERROR(__xludf.dummyfunction("""COMPUTED_VALUE"""),"NOITE")</f>
        <v>NOITE</v>
      </c>
      <c r="K532" s="10" t="str">
        <f ca="1">IFERROR(__xludf.dummyfunction("""COMPUTED_VALUE"""),"TARDE")</f>
        <v>TARDE</v>
      </c>
      <c r="L532" s="10" t="str">
        <f ca="1">IFERROR(__xludf.dummyfunction("""COMPUTED_VALUE"""),"GOIÂNIA - GO")</f>
        <v>GOIÂNIA - GO</v>
      </c>
      <c r="M532" s="10">
        <f ca="1">IFERROR(__xludf.dummyfunction("""COMPUTED_VALUE"""),3)</f>
        <v>3</v>
      </c>
      <c r="N532" s="10" t="str">
        <f ca="1">IFERROR(__xludf.dummyfunction("""COMPUTED_VALUE"""),"DISPONÍVEL")</f>
        <v>DISPONÍVEL</v>
      </c>
      <c r="P532" s="11"/>
      <c r="Q532" s="11"/>
      <c r="R532" s="11"/>
    </row>
    <row r="533" spans="1:18">
      <c r="A533" s="10">
        <f ca="1">IFERROR(__xludf.dummyfunction("QUERY(GOIANIRA!A5:A6)"),1)</f>
        <v>1</v>
      </c>
      <c r="B533" s="11" t="str">
        <f ca="1">IFERROR(__xludf.dummyfunction("QUERY(GOIANIRA!B5:B6)"),"SÂMELLA SOARES FORTALEZA")</f>
        <v>SÂMELLA SOARES FORTALEZA</v>
      </c>
      <c r="C533" s="11" t="str">
        <f ca="1">IFERROR(__xludf.dummyfunction("QUERY(GOIANIRA!C5:C6)"),"6774203")</f>
        <v>6774203</v>
      </c>
      <c r="D533" s="11" t="str">
        <f ca="1">IFERROR(__xludf.dummyfunction("QUERY(GOIANIRA!D5:D6)"),"70826350100")</f>
        <v>70826350100</v>
      </c>
      <c r="E533" s="11" t="str">
        <f ca="1">IFERROR(__xludf.dummyfunction("QUERY(GOIANIRA!E5:E6)"),"SAMELLLA.SF@GMAIL.COM")</f>
        <v>SAMELLLA.SF@GMAIL.COM</v>
      </c>
      <c r="F533" s="11" t="str">
        <f ca="1">IFERROR(__xludf.dummyfunction("QUERY(GOIANIRA!F5:F6)"),"(62) 95592059")</f>
        <v>(62) 95592059</v>
      </c>
      <c r="G533" s="11" t="str">
        <f ca="1">IFERROR(__xludf.dummyfunction("QUERY(GOIANIRA!G5:G6)"),"(62) 995592059")</f>
        <v>(62) 995592059</v>
      </c>
      <c r="H533" s="11" t="str">
        <f ca="1">IFERROR(__xludf.dummyfunction("QUERY(GOIANIRA!H5:H6)"),"SUPERIOR")</f>
        <v>SUPERIOR</v>
      </c>
      <c r="I533" s="10" t="str">
        <f ca="1">IFERROR(__xludf.dummyfunction("QUERY(GOIANIRA!I5:I6)"),"DIREITO")</f>
        <v>DIREITO</v>
      </c>
      <c r="J533" s="10" t="str">
        <f ca="1">IFERROR(__xludf.dummyfunction("QUERY(GOIANIRA!J5:J6)"),"MANHÃ")</f>
        <v>MANHÃ</v>
      </c>
      <c r="K533" s="10" t="str">
        <f ca="1">IFERROR(__xludf.dummyfunction("QUERY(GOIANIRA!K5:K6)"),"TARDE")</f>
        <v>TARDE</v>
      </c>
      <c r="L533" s="10" t="str">
        <f ca="1">IFERROR(__xludf.dummyfunction("QUERY(GOIANIRA!L5:L6)"),"GOIANIRA - GO")</f>
        <v>GOIANIRA - GO</v>
      </c>
      <c r="M533" s="10">
        <f ca="1">IFERROR(__xludf.dummyfunction("QUERY(GOIANIRA!M5:M6)"),8)</f>
        <v>8</v>
      </c>
      <c r="N533" s="10" t="str">
        <f ca="1">IFERROR(__xludf.dummyfunction("QUERY(GOIANIRA!N5:N6)"),"CONTRATADO")</f>
        <v>CONTRATADO</v>
      </c>
      <c r="O533" s="11" t="str">
        <f ca="1">IFERROR(__xludf.dummyfunction("QUERY(GOIANIRA!O5:O6)"),"")</f>
        <v/>
      </c>
      <c r="P533" s="11" t="str">
        <f ca="1">IFERROR(__xludf.dummyfunction("QUERY(GOIANIRA!P5:P6)"),"")</f>
        <v/>
      </c>
      <c r="Q533" s="11" t="str">
        <f ca="1">IFERROR(__xludf.dummyfunction("QUERY(GOIANIRA!Q5:Q6)"),"")</f>
        <v/>
      </c>
      <c r="R533" s="11" t="str">
        <f ca="1">IFERROR(__xludf.dummyfunction("QUERY(GOIANIRA!R5:R6)"),"")</f>
        <v/>
      </c>
    </row>
    <row r="534" spans="1:18">
      <c r="A534" s="10">
        <f ca="1">IFERROR(__xludf.dummyfunction("""COMPUTED_VALUE"""),2)</f>
        <v>2</v>
      </c>
      <c r="B534" s="11" t="str">
        <f ca="1">IFERROR(__xludf.dummyfunction("""COMPUTED_VALUE"""),"INGRID SOUZA SOARES")</f>
        <v>INGRID SOUZA SOARES</v>
      </c>
      <c r="C534" s="11" t="str">
        <f ca="1">IFERROR(__xludf.dummyfunction("""COMPUTED_VALUE"""),"5101331")</f>
        <v>5101331</v>
      </c>
      <c r="D534" s="11" t="str">
        <f ca="1">IFERROR(__xludf.dummyfunction("""COMPUTED_VALUE"""),"03361565103")</f>
        <v>03361565103</v>
      </c>
      <c r="E534" s="11" t="str">
        <f ca="1">IFERROR(__xludf.dummyfunction("""COMPUTED_VALUE"""),"INDISOUZA8411@GMAIL.COM")</f>
        <v>INDISOUZA8411@GMAIL.COM</v>
      </c>
      <c r="F534" s="11"/>
      <c r="G534" s="11" t="str">
        <f ca="1">IFERROR(__xludf.dummyfunction("""COMPUTED_VALUE"""),"(62) 984112827")</f>
        <v>(62) 984112827</v>
      </c>
      <c r="H534" s="11" t="str">
        <f ca="1">IFERROR(__xludf.dummyfunction("""COMPUTED_VALUE"""),"SUPERIOR")</f>
        <v>SUPERIOR</v>
      </c>
      <c r="I534" s="10" t="str">
        <f ca="1">IFERROR(__xludf.dummyfunction("""COMPUTED_VALUE"""),"DIREITO")</f>
        <v>DIREITO</v>
      </c>
      <c r="J534" s="10" t="str">
        <f ca="1">IFERROR(__xludf.dummyfunction("""COMPUTED_VALUE"""),"NOITE")</f>
        <v>NOITE</v>
      </c>
      <c r="K534" s="10" t="str">
        <f ca="1">IFERROR(__xludf.dummyfunction("""COMPUTED_VALUE"""),"TARDE")</f>
        <v>TARDE</v>
      </c>
      <c r="L534" s="10" t="str">
        <f ca="1">IFERROR(__xludf.dummyfunction("""COMPUTED_VALUE"""),"GOIANIRA - GO")</f>
        <v>GOIANIRA - GO</v>
      </c>
      <c r="M534" s="10">
        <f ca="1">IFERROR(__xludf.dummyfunction("""COMPUTED_VALUE"""),8)</f>
        <v>8</v>
      </c>
      <c r="N534" s="10" t="str">
        <f ca="1">IFERROR(__xludf.dummyfunction("""COMPUTED_VALUE"""),"CONTRATADO")</f>
        <v>CONTRATADO</v>
      </c>
      <c r="O534" s="11"/>
      <c r="P534" s="11"/>
      <c r="Q534" s="11"/>
      <c r="R534" s="11"/>
    </row>
    <row r="535" spans="1:18">
      <c r="A535" s="10">
        <f ca="1">IFERROR(__xludf.dummyfunction("QUERY('GOIÁS'!A5:A17)"),1)</f>
        <v>1</v>
      </c>
      <c r="B535" s="11" t="str">
        <f ca="1">IFERROR(__xludf.dummyfunction("QUERY('GOIÁS'!B5:B17)"),"DANIEL BAUER SCHAITL")</f>
        <v>DANIEL BAUER SCHAITL</v>
      </c>
      <c r="C535" s="11" t="str">
        <f ca="1">IFERROR(__xludf.dummyfunction("QUERY('GOIÁS'!C5:C17)"),"")</f>
        <v/>
      </c>
      <c r="D535" s="11" t="str">
        <f ca="1">IFERROR(__xludf.dummyfunction("QUERY('GOIÁS'!D5:D17)"),"05494056155")</f>
        <v>05494056155</v>
      </c>
      <c r="E535" s="11" t="str">
        <f ca="1">IFERROR(__xludf.dummyfunction("QUERY('GOIÁS'!E5:E17)"),"DANIEL_SCHAITL@DISCENTE.UFG.BR")</f>
        <v>DANIEL_SCHAITL@DISCENTE.UFG.BR</v>
      </c>
      <c r="F535" s="11" t="str">
        <f ca="1">IFERROR(__xludf.dummyfunction("QUERY('GOIÁS'!F5:F17)"),"(62) 35653067")</f>
        <v>(62) 35653067</v>
      </c>
      <c r="G535" s="11" t="str">
        <f ca="1">IFERROR(__xludf.dummyfunction("QUERY('GOIÁS'!G5:G17)"),"(62) 997003066")</f>
        <v>(62) 997003066</v>
      </c>
      <c r="H535" s="11" t="str">
        <f ca="1">IFERROR(__xludf.dummyfunction("QUERY('GOIÁS'!H5:H17)"),"SUPERIOR")</f>
        <v>SUPERIOR</v>
      </c>
      <c r="I535" s="10" t="str">
        <f ca="1">IFERROR(__xludf.dummyfunction("QUERY('GOIÁS'!I5:I17)"),"DIREITO")</f>
        <v>DIREITO</v>
      </c>
      <c r="J535" s="10" t="str">
        <f ca="1">IFERROR(__xludf.dummyfunction("QUERY('GOIÁS'!J5:J17)"),"NOITE")</f>
        <v>NOITE</v>
      </c>
      <c r="K535" s="10" t="str">
        <f ca="1">IFERROR(__xludf.dummyfunction("QUERY('GOIÁS'!K5:K17)"),"TARDE")</f>
        <v>TARDE</v>
      </c>
      <c r="L535" s="10" t="str">
        <f ca="1">IFERROR(__xludf.dummyfunction("QUERY('GOIÁS'!L5:L17)"),"GOIÁS - GO")</f>
        <v>GOIÁS - GO</v>
      </c>
      <c r="M535" s="10">
        <f ca="1">IFERROR(__xludf.dummyfunction("QUERY('GOIÁS'!M5:M17)"),5)</f>
        <v>5</v>
      </c>
      <c r="N535" s="10" t="str">
        <f ca="1">IFERROR(__xludf.dummyfunction("QUERY('GOIÁS'!N5:N17)"),"DISPONÍVEL")</f>
        <v>DISPONÍVEL</v>
      </c>
      <c r="O535" s="11" t="str">
        <f ca="1">IFERROR(__xludf.dummyfunction("QUERY('GOIÁS'!O5:O17)"),"")</f>
        <v/>
      </c>
      <c r="P535" s="11" t="str">
        <f ca="1">IFERROR(__xludf.dummyfunction("QUERY('GOIÁS'!P5:P17)"),"")</f>
        <v/>
      </c>
      <c r="Q535" s="11" t="str">
        <f ca="1">IFERROR(__xludf.dummyfunction("QUERY('GOIÁS'!Q5:Q17)"),"")</f>
        <v/>
      </c>
      <c r="R535" s="11" t="str">
        <f ca="1">IFERROR(__xludf.dummyfunction("QUERY('GOIÁS'!R5:R17)"),"")</f>
        <v/>
      </c>
    </row>
    <row r="536" spans="1:18">
      <c r="A536" s="10">
        <f ca="1">IFERROR(__xludf.dummyfunction("""COMPUTED_VALUE"""),2)</f>
        <v>2</v>
      </c>
      <c r="B536" s="11" t="str">
        <f ca="1">IFERROR(__xludf.dummyfunction("""COMPUTED_VALUE"""),"LANA CRISTINA DA SILVA MONTEIRO")</f>
        <v>LANA CRISTINA DA SILVA MONTEIRO</v>
      </c>
      <c r="C536" s="11"/>
      <c r="D536" s="11" t="str">
        <f ca="1">IFERROR(__xludf.dummyfunction("""COMPUTED_VALUE"""),"06578988130")</f>
        <v>06578988130</v>
      </c>
      <c r="E536" s="11" t="str">
        <f ca="1">IFERROR(__xludf.dummyfunction("""COMPUTED_VALUE"""),"LANA_MONTEIRO@DISCENTE.UFG.BR")</f>
        <v>LANA_MONTEIRO@DISCENTE.UFG.BR</v>
      </c>
      <c r="F536" s="11" t="str">
        <f ca="1">IFERROR(__xludf.dummyfunction("""COMPUTED_VALUE"""),"(62) 85605932")</f>
        <v>(62) 85605932</v>
      </c>
      <c r="G536" s="11" t="str">
        <f ca="1">IFERROR(__xludf.dummyfunction("""COMPUTED_VALUE"""),"(62) 985605932")</f>
        <v>(62) 985605932</v>
      </c>
      <c r="H536" s="11" t="str">
        <f ca="1">IFERROR(__xludf.dummyfunction("""COMPUTED_VALUE"""),"SUPERIOR")</f>
        <v>SUPERIOR</v>
      </c>
      <c r="I536" s="10" t="str">
        <f ca="1">IFERROR(__xludf.dummyfunction("""COMPUTED_VALUE"""),"DIREITO")</f>
        <v>DIREITO</v>
      </c>
      <c r="J536" s="10" t="str">
        <f ca="1">IFERROR(__xludf.dummyfunction("""COMPUTED_VALUE"""),"NOITE")</f>
        <v>NOITE</v>
      </c>
      <c r="K536" s="10" t="str">
        <f ca="1">IFERROR(__xludf.dummyfunction("""COMPUTED_VALUE"""),"TARDE")</f>
        <v>TARDE</v>
      </c>
      <c r="L536" s="10" t="str">
        <f ca="1">IFERROR(__xludf.dummyfunction("""COMPUTED_VALUE"""),"GOIÁS - GO")</f>
        <v>GOIÁS - GO</v>
      </c>
      <c r="M536" s="10">
        <f ca="1">IFERROR(__xludf.dummyfunction("""COMPUTED_VALUE"""),6)</f>
        <v>6</v>
      </c>
      <c r="N536" s="10" t="str">
        <f ca="1">IFERROR(__xludf.dummyfunction("""COMPUTED_VALUE"""),"DISPONÍVEL")</f>
        <v>DISPONÍVEL</v>
      </c>
      <c r="O536" s="11"/>
      <c r="P536" s="11"/>
      <c r="Q536" s="11"/>
      <c r="R536" s="11"/>
    </row>
    <row r="537" spans="1:18">
      <c r="A537" s="10">
        <f ca="1">IFERROR(__xludf.dummyfunction("""COMPUTED_VALUE"""),3)</f>
        <v>3</v>
      </c>
      <c r="B537" s="11" t="str">
        <f ca="1">IFERROR(__xludf.dummyfunction("""COMPUTED_VALUE"""),"ORION ALVES DE CASTRO NETO")</f>
        <v>ORION ALVES DE CASTRO NETO</v>
      </c>
      <c r="C537" s="11"/>
      <c r="D537" s="11" t="str">
        <f ca="1">IFERROR(__xludf.dummyfunction("""COMPUTED_VALUE"""),"06487693138")</f>
        <v>06487693138</v>
      </c>
      <c r="E537" s="11" t="str">
        <f ca="1">IFERROR(__xludf.dummyfunction("""COMPUTED_VALUE"""),"ORIONNETO@DISCENTE.UFG.BR")</f>
        <v>ORIONNETO@DISCENTE.UFG.BR</v>
      </c>
      <c r="F537" s="11" t="str">
        <f ca="1">IFERROR(__xludf.dummyfunction("""COMPUTED_VALUE"""),"(62) 33711718")</f>
        <v>(62) 33711718</v>
      </c>
      <c r="G537" s="11" t="str">
        <f ca="1">IFERROR(__xludf.dummyfunction("""COMPUTED_VALUE"""),"(62) 991381317")</f>
        <v>(62) 991381317</v>
      </c>
      <c r="H537" s="11" t="str">
        <f ca="1">IFERROR(__xludf.dummyfunction("""COMPUTED_VALUE"""),"SUPERIOR")</f>
        <v>SUPERIOR</v>
      </c>
      <c r="I537" s="10" t="str">
        <f ca="1">IFERROR(__xludf.dummyfunction("""COMPUTED_VALUE"""),"DIREITO")</f>
        <v>DIREITO</v>
      </c>
      <c r="J537" s="10" t="str">
        <f ca="1">IFERROR(__xludf.dummyfunction("""COMPUTED_VALUE"""),"NOITE")</f>
        <v>NOITE</v>
      </c>
      <c r="K537" s="10" t="str">
        <f ca="1">IFERROR(__xludf.dummyfunction("""COMPUTED_VALUE"""),"TARDE")</f>
        <v>TARDE</v>
      </c>
      <c r="L537" s="10" t="str">
        <f ca="1">IFERROR(__xludf.dummyfunction("""COMPUTED_VALUE"""),"GOIÁS - GO")</f>
        <v>GOIÁS - GO</v>
      </c>
      <c r="M537" s="10">
        <f ca="1">IFERROR(__xludf.dummyfunction("""COMPUTED_VALUE"""),7)</f>
        <v>7</v>
      </c>
      <c r="N537" s="10" t="str">
        <f ca="1">IFERROR(__xludf.dummyfunction("""COMPUTED_VALUE"""),"DISPONÍVEL")</f>
        <v>DISPONÍVEL</v>
      </c>
      <c r="O537" s="11"/>
      <c r="P537" s="11"/>
      <c r="Q537" s="11"/>
      <c r="R537" s="11"/>
    </row>
    <row r="538" spans="1:18">
      <c r="A538" s="10">
        <f ca="1">IFERROR(__xludf.dummyfunction("""COMPUTED_VALUE"""),4)</f>
        <v>4</v>
      </c>
      <c r="B538" s="11" t="str">
        <f ca="1">IFERROR(__xludf.dummyfunction("""COMPUTED_VALUE"""),"ANNA LYSSA FERREIRA CABALINE")</f>
        <v>ANNA LYSSA FERREIRA CABALINE</v>
      </c>
      <c r="C538" s="11"/>
      <c r="D538" s="11" t="str">
        <f ca="1">IFERROR(__xludf.dummyfunction("""COMPUTED_VALUE"""),"05798113108")</f>
        <v>05798113108</v>
      </c>
      <c r="E538" s="11" t="str">
        <f ca="1">IFERROR(__xludf.dummyfunction("""COMPUTED_VALUE"""),"ANNALYSSACABALINE@GMAIL.COM")</f>
        <v>ANNALYSSACABALINE@GMAIL.COM</v>
      </c>
      <c r="F538" s="11"/>
      <c r="G538" s="11" t="str">
        <f ca="1">IFERROR(__xludf.dummyfunction("""COMPUTED_VALUE"""),"(62) 991821227")</f>
        <v>(62) 991821227</v>
      </c>
      <c r="H538" s="11" t="str">
        <f ca="1">IFERROR(__xludf.dummyfunction("""COMPUTED_VALUE"""),"SUPERIOR")</f>
        <v>SUPERIOR</v>
      </c>
      <c r="I538" s="10" t="str">
        <f ca="1">IFERROR(__xludf.dummyfunction("""COMPUTED_VALUE"""),"DIREITO")</f>
        <v>DIREITO</v>
      </c>
      <c r="J538" s="10" t="str">
        <f ca="1">IFERROR(__xludf.dummyfunction("""COMPUTED_VALUE"""),"NOITE")</f>
        <v>NOITE</v>
      </c>
      <c r="K538" s="10" t="str">
        <f ca="1">IFERROR(__xludf.dummyfunction("""COMPUTED_VALUE"""),"TARDE")</f>
        <v>TARDE</v>
      </c>
      <c r="L538" s="10" t="str">
        <f ca="1">IFERROR(__xludf.dummyfunction("""COMPUTED_VALUE"""),"GOIÁS - GO")</f>
        <v>GOIÁS - GO</v>
      </c>
      <c r="M538" s="10">
        <f ca="1">IFERROR(__xludf.dummyfunction("""COMPUTED_VALUE"""),7)</f>
        <v>7</v>
      </c>
      <c r="N538" s="10" t="str">
        <f ca="1">IFERROR(__xludf.dummyfunction("""COMPUTED_VALUE"""),"DISPONÍVEL")</f>
        <v>DISPONÍVEL</v>
      </c>
      <c r="O538" s="11"/>
      <c r="P538" s="11"/>
      <c r="Q538" s="11"/>
      <c r="R538" s="11"/>
    </row>
    <row r="539" spans="1:18">
      <c r="A539" s="10">
        <f ca="1">IFERROR(__xludf.dummyfunction("""COMPUTED_VALUE"""),5)</f>
        <v>5</v>
      </c>
      <c r="B539" s="11" t="str">
        <f ca="1">IFERROR(__xludf.dummyfunction("""COMPUTED_VALUE"""),"LARA KAROLYNE SOUZA OLIVEIRA")</f>
        <v>LARA KAROLYNE SOUZA OLIVEIRA</v>
      </c>
      <c r="C539" s="11"/>
      <c r="D539" s="11" t="str">
        <f ca="1">IFERROR(__xludf.dummyfunction("""COMPUTED_VALUE"""),"70694661104")</f>
        <v>70694661104</v>
      </c>
      <c r="E539" s="11" t="str">
        <f ca="1">IFERROR(__xludf.dummyfunction("""COMPUTED_VALUE"""),"LARAKAROLYNESOUOLI@OUTLOOK.COM")</f>
        <v>LARAKAROLYNESOUOLI@OUTLOOK.COM</v>
      </c>
      <c r="F539" s="11" t="str">
        <f ca="1">IFERROR(__xludf.dummyfunction("""COMPUTED_VALUE"""),"(62) 33751819")</f>
        <v>(62) 33751819</v>
      </c>
      <c r="G539" s="11" t="str">
        <f ca="1">IFERROR(__xludf.dummyfunction("""COMPUTED_VALUE"""),"(62) 998348943")</f>
        <v>(62) 998348943</v>
      </c>
      <c r="H539" s="11" t="str">
        <f ca="1">IFERROR(__xludf.dummyfunction("""COMPUTED_VALUE"""),"SUPERIOR")</f>
        <v>SUPERIOR</v>
      </c>
      <c r="I539" s="10" t="str">
        <f ca="1">IFERROR(__xludf.dummyfunction("""COMPUTED_VALUE"""),"DIREITO")</f>
        <v>DIREITO</v>
      </c>
      <c r="J539" s="10" t="str">
        <f ca="1">IFERROR(__xludf.dummyfunction("""COMPUTED_VALUE"""),"NOITE")</f>
        <v>NOITE</v>
      </c>
      <c r="K539" s="10" t="str">
        <f ca="1">IFERROR(__xludf.dummyfunction("""COMPUTED_VALUE"""),"TARDE")</f>
        <v>TARDE</v>
      </c>
      <c r="L539" s="10" t="str">
        <f ca="1">IFERROR(__xludf.dummyfunction("""COMPUTED_VALUE"""),"GOIÁS - GO")</f>
        <v>GOIÁS - GO</v>
      </c>
      <c r="M539" s="10">
        <f ca="1">IFERROR(__xludf.dummyfunction("""COMPUTED_VALUE"""),9)</f>
        <v>9</v>
      </c>
      <c r="N539" s="10" t="str">
        <f ca="1">IFERROR(__xludf.dummyfunction("""COMPUTED_VALUE"""),"DISPONÍVEL")</f>
        <v>DISPONÍVEL</v>
      </c>
      <c r="O539" s="11"/>
      <c r="P539" s="11"/>
      <c r="Q539" s="11"/>
      <c r="R539" s="11"/>
    </row>
    <row r="540" spans="1:18">
      <c r="A540" s="10">
        <f ca="1">IFERROR(__xludf.dummyfunction("""COMPUTED_VALUE"""),6)</f>
        <v>6</v>
      </c>
      <c r="B540" s="11" t="str">
        <f ca="1">IFERROR(__xludf.dummyfunction("""COMPUTED_VALUE"""),"LUIZ EDUARDO QUINTÃO GUIMARÃES DOURADO TAVEIRA")</f>
        <v>LUIZ EDUARDO QUINTÃO GUIMARÃES DOURADO TAVEIRA</v>
      </c>
      <c r="C540" s="11" t="str">
        <f ca="1">IFERROR(__xludf.dummyfunction("""COMPUTED_VALUE"""),"7009772")</f>
        <v>7009772</v>
      </c>
      <c r="D540" s="11" t="str">
        <f ca="1">IFERROR(__xludf.dummyfunction("""COMPUTED_VALUE"""),"04920069111")</f>
        <v>04920069111</v>
      </c>
      <c r="E540" s="11" t="str">
        <f ca="1">IFERROR(__xludf.dummyfunction("""COMPUTED_VALUE"""),"LUIZEDU.TAVEIRA@GMAIL.COM")</f>
        <v>LUIZEDU.TAVEIRA@GMAIL.COM</v>
      </c>
      <c r="F540" s="11"/>
      <c r="G540" s="11" t="str">
        <f ca="1">IFERROR(__xludf.dummyfunction("""COMPUTED_VALUE"""),"(62) 999798926")</f>
        <v>(62) 999798926</v>
      </c>
      <c r="H540" s="11" t="str">
        <f ca="1">IFERROR(__xludf.dummyfunction("""COMPUTED_VALUE"""),"SUPERIOR")</f>
        <v>SUPERIOR</v>
      </c>
      <c r="I540" s="10" t="str">
        <f ca="1">IFERROR(__xludf.dummyfunction("""COMPUTED_VALUE"""),"DIREITO")</f>
        <v>DIREITO</v>
      </c>
      <c r="J540" s="10" t="str">
        <f ca="1">IFERROR(__xludf.dummyfunction("""COMPUTED_VALUE"""),"NOITE")</f>
        <v>NOITE</v>
      </c>
      <c r="K540" s="10" t="str">
        <f ca="1">IFERROR(__xludf.dummyfunction("""COMPUTED_VALUE"""),"TARDE")</f>
        <v>TARDE</v>
      </c>
      <c r="L540" s="10" t="str">
        <f ca="1">IFERROR(__xludf.dummyfunction("""COMPUTED_VALUE"""),"GOIÁS - GO")</f>
        <v>GOIÁS - GO</v>
      </c>
      <c r="M540" s="10">
        <f ca="1">IFERROR(__xludf.dummyfunction("""COMPUTED_VALUE"""),5)</f>
        <v>5</v>
      </c>
      <c r="N540" s="10" t="str">
        <f ca="1">IFERROR(__xludf.dummyfunction("""COMPUTED_VALUE"""),"DISPONÍVEL")</f>
        <v>DISPONÍVEL</v>
      </c>
      <c r="O540" s="11"/>
      <c r="P540" s="11"/>
      <c r="Q540" s="11"/>
      <c r="R540" s="11"/>
    </row>
    <row r="541" spans="1:18">
      <c r="A541" s="10">
        <f ca="1">IFERROR(__xludf.dummyfunction("""COMPUTED_VALUE"""),7)</f>
        <v>7</v>
      </c>
      <c r="B541" s="11" t="str">
        <f ca="1">IFERROR(__xludf.dummyfunction("""COMPUTED_VALUE"""),"LUIS HENRIQUE DE NAZARÉ NORONHA")</f>
        <v>LUIS HENRIQUE DE NAZARÉ NORONHA</v>
      </c>
      <c r="C541" s="11"/>
      <c r="D541" s="11" t="str">
        <f ca="1">IFERROR(__xludf.dummyfunction("""COMPUTED_VALUE"""),"70964820161")</f>
        <v>70964820161</v>
      </c>
      <c r="E541" s="11" t="str">
        <f ca="1">IFERROR(__xludf.dummyfunction("""COMPUTED_VALUE"""),"LUISNORONHA@DISCENTE.UFG.BR")</f>
        <v>LUISNORONHA@DISCENTE.UFG.BR</v>
      </c>
      <c r="F541" s="11" t="str">
        <f ca="1">IFERROR(__xludf.dummyfunction("""COMPUTED_VALUE"""),"(62) 33714346")</f>
        <v>(62) 33714346</v>
      </c>
      <c r="G541" s="11" t="str">
        <f ca="1">IFERROR(__xludf.dummyfunction("""COMPUTED_VALUE"""),"(62) 999900424")</f>
        <v>(62) 999900424</v>
      </c>
      <c r="H541" s="11" t="str">
        <f ca="1">IFERROR(__xludf.dummyfunction("""COMPUTED_VALUE"""),"SUPERIOR")</f>
        <v>SUPERIOR</v>
      </c>
      <c r="I541" s="10" t="str">
        <f ca="1">IFERROR(__xludf.dummyfunction("""COMPUTED_VALUE"""),"DIREITO")</f>
        <v>DIREITO</v>
      </c>
      <c r="J541" s="10" t="str">
        <f ca="1">IFERROR(__xludf.dummyfunction("""COMPUTED_VALUE"""),"NOITE")</f>
        <v>NOITE</v>
      </c>
      <c r="K541" s="10" t="str">
        <f ca="1">IFERROR(__xludf.dummyfunction("""COMPUTED_VALUE"""),"TARDE")</f>
        <v>TARDE</v>
      </c>
      <c r="L541" s="10" t="str">
        <f ca="1">IFERROR(__xludf.dummyfunction("""COMPUTED_VALUE"""),"GOIÁS - GO")</f>
        <v>GOIÁS - GO</v>
      </c>
      <c r="M541" s="10">
        <f ca="1">IFERROR(__xludf.dummyfunction("""COMPUTED_VALUE"""),5)</f>
        <v>5</v>
      </c>
      <c r="N541" s="10" t="str">
        <f ca="1">IFERROR(__xludf.dummyfunction("""COMPUTED_VALUE"""),"DISPONÍVEL")</f>
        <v>DISPONÍVEL</v>
      </c>
      <c r="O541" s="11"/>
      <c r="P541" s="11"/>
      <c r="Q541" s="11"/>
      <c r="R541" s="11"/>
    </row>
    <row r="542" spans="1:18">
      <c r="A542" s="10">
        <f ca="1">IFERROR(__xludf.dummyfunction("""COMPUTED_VALUE"""),8)</f>
        <v>8</v>
      </c>
      <c r="B542" s="11" t="str">
        <f ca="1">IFERROR(__xludf.dummyfunction("""COMPUTED_VALUE"""),"KALLYANE CAMPOS SOUZA")</f>
        <v>KALLYANE CAMPOS SOUZA</v>
      </c>
      <c r="C542" s="11" t="str">
        <f ca="1">IFERROR(__xludf.dummyfunction("""COMPUTED_VALUE"""),"7063523")</f>
        <v>7063523</v>
      </c>
      <c r="D542" s="11" t="str">
        <f ca="1">IFERROR(__xludf.dummyfunction("""COMPUTED_VALUE"""),"07024297166")</f>
        <v>07024297166</v>
      </c>
      <c r="E542" s="11" t="str">
        <f ca="1">IFERROR(__xludf.dummyfunction("""COMPUTED_VALUE"""),"KALLYANECAMPOS00@GMAIL.COM")</f>
        <v>KALLYANECAMPOS00@GMAIL.COM</v>
      </c>
      <c r="F542" s="11"/>
      <c r="G542" s="11" t="str">
        <f ca="1">IFERROR(__xludf.dummyfunction("""COMPUTED_VALUE"""),"(62) 993373863")</f>
        <v>(62) 993373863</v>
      </c>
      <c r="H542" s="11" t="str">
        <f ca="1">IFERROR(__xludf.dummyfunction("""COMPUTED_VALUE"""),"SUPERIOR")</f>
        <v>SUPERIOR</v>
      </c>
      <c r="I542" s="10" t="str">
        <f ca="1">IFERROR(__xludf.dummyfunction("""COMPUTED_VALUE"""),"DIREITO")</f>
        <v>DIREITO</v>
      </c>
      <c r="J542" s="10" t="str">
        <f ca="1">IFERROR(__xludf.dummyfunction("""COMPUTED_VALUE"""),"NOITE")</f>
        <v>NOITE</v>
      </c>
      <c r="K542" s="10" t="str">
        <f ca="1">IFERROR(__xludf.dummyfunction("""COMPUTED_VALUE"""),"TARDE")</f>
        <v>TARDE</v>
      </c>
      <c r="L542" s="10" t="str">
        <f ca="1">IFERROR(__xludf.dummyfunction("""COMPUTED_VALUE"""),"GOIÁS - GO")</f>
        <v>GOIÁS - GO</v>
      </c>
      <c r="M542" s="10">
        <f ca="1">IFERROR(__xludf.dummyfunction("""COMPUTED_VALUE"""),5)</f>
        <v>5</v>
      </c>
      <c r="N542" s="10" t="str">
        <f ca="1">IFERROR(__xludf.dummyfunction("""COMPUTED_VALUE"""),"DISPONÍVEL")</f>
        <v>DISPONÍVEL</v>
      </c>
      <c r="O542" s="11"/>
      <c r="P542" s="11"/>
      <c r="Q542" s="11"/>
      <c r="R542" s="11"/>
    </row>
    <row r="543" spans="1:18">
      <c r="A543" s="10">
        <f ca="1">IFERROR(__xludf.dummyfunction("""COMPUTED_VALUE"""),9)</f>
        <v>9</v>
      </c>
      <c r="B543" s="11" t="str">
        <f ca="1">IFERROR(__xludf.dummyfunction("""COMPUTED_VALUE"""),"GEOVANE AUGUSTO DE MATTOS GONÇALO CUNHA")</f>
        <v>GEOVANE AUGUSTO DE MATTOS GONÇALO CUNHA</v>
      </c>
      <c r="C543" s="11" t="str">
        <f ca="1">IFERROR(__xludf.dummyfunction("""COMPUTED_VALUE"""),"6577390")</f>
        <v>6577390</v>
      </c>
      <c r="D543" s="11" t="str">
        <f ca="1">IFERROR(__xludf.dummyfunction("""COMPUTED_VALUE"""),"06939921150")</f>
        <v>06939921150</v>
      </c>
      <c r="E543" s="11" t="str">
        <f ca="1">IFERROR(__xludf.dummyfunction("""COMPUTED_VALUE"""),"GEOVANE.558@HOTMAIL.COM")</f>
        <v>GEOVANE.558@HOTMAIL.COM</v>
      </c>
      <c r="F543" s="11"/>
      <c r="G543" s="11" t="str">
        <f ca="1">IFERROR(__xludf.dummyfunction("""COMPUTED_VALUE"""),"(62) 985308905")</f>
        <v>(62) 985308905</v>
      </c>
      <c r="H543" s="11" t="str">
        <f ca="1">IFERROR(__xludf.dummyfunction("""COMPUTED_VALUE"""),"SUPERIOR")</f>
        <v>SUPERIOR</v>
      </c>
      <c r="I543" s="10" t="str">
        <f ca="1">IFERROR(__xludf.dummyfunction("""COMPUTED_VALUE"""),"DIREITO")</f>
        <v>DIREITO</v>
      </c>
      <c r="J543" s="10" t="str">
        <f ca="1">IFERROR(__xludf.dummyfunction("""COMPUTED_VALUE"""),"NOITE")</f>
        <v>NOITE</v>
      </c>
      <c r="K543" s="10" t="str">
        <f ca="1">IFERROR(__xludf.dummyfunction("""COMPUTED_VALUE"""),"TARDE")</f>
        <v>TARDE</v>
      </c>
      <c r="L543" s="10" t="str">
        <f ca="1">IFERROR(__xludf.dummyfunction("""COMPUTED_VALUE"""),"GOIÁS - GO")</f>
        <v>GOIÁS - GO</v>
      </c>
      <c r="M543" s="10">
        <f ca="1">IFERROR(__xludf.dummyfunction("""COMPUTED_VALUE"""),5)</f>
        <v>5</v>
      </c>
      <c r="N543" s="10" t="str">
        <f ca="1">IFERROR(__xludf.dummyfunction("""COMPUTED_VALUE"""),"DISPONÍVEL")</f>
        <v>DISPONÍVEL</v>
      </c>
      <c r="O543" s="11"/>
      <c r="P543" s="11"/>
      <c r="Q543" s="11"/>
      <c r="R543" s="11"/>
    </row>
    <row r="544" spans="1:18">
      <c r="A544" s="10">
        <f ca="1">IFERROR(__xludf.dummyfunction("""COMPUTED_VALUE"""),10)</f>
        <v>10</v>
      </c>
      <c r="B544" s="11" t="str">
        <f ca="1">IFERROR(__xludf.dummyfunction("""COMPUTED_VALUE"""),"FERNANDA OLIVEIRA NASCIMENTO")</f>
        <v>FERNANDA OLIVEIRA NASCIMENTO</v>
      </c>
      <c r="C544" s="11" t="str">
        <f ca="1">IFERROR(__xludf.dummyfunction("""COMPUTED_VALUE"""),"5842101")</f>
        <v>5842101</v>
      </c>
      <c r="D544" s="11" t="str">
        <f ca="1">IFERROR(__xludf.dummyfunction("""COMPUTED_VALUE"""),"08233982180")</f>
        <v>08233982180</v>
      </c>
      <c r="E544" s="11" t="str">
        <f ca="1">IFERROR(__xludf.dummyfunction("""COMPUTED_VALUE"""),"FERNANDA.OLIVEIRA@DISCENTE.UFG.BR")</f>
        <v>FERNANDA.OLIVEIRA@DISCENTE.UFG.BR</v>
      </c>
      <c r="F544" s="11"/>
      <c r="G544" s="11" t="str">
        <f ca="1">IFERROR(__xludf.dummyfunction("""COMPUTED_VALUE"""),"(62) 993115280")</f>
        <v>(62) 993115280</v>
      </c>
      <c r="H544" s="11" t="str">
        <f ca="1">IFERROR(__xludf.dummyfunction("""COMPUTED_VALUE"""),"SUPERIOR")</f>
        <v>SUPERIOR</v>
      </c>
      <c r="I544" s="10" t="str">
        <f ca="1">IFERROR(__xludf.dummyfunction("""COMPUTED_VALUE"""),"DIREITO")</f>
        <v>DIREITO</v>
      </c>
      <c r="J544" s="10" t="str">
        <f ca="1">IFERROR(__xludf.dummyfunction("""COMPUTED_VALUE"""),"VARIÁVEL")</f>
        <v>VARIÁVEL</v>
      </c>
      <c r="K544" s="10" t="str">
        <f ca="1">IFERROR(__xludf.dummyfunction("""COMPUTED_VALUE"""),"TARDE")</f>
        <v>TARDE</v>
      </c>
      <c r="L544" s="10" t="str">
        <f ca="1">IFERROR(__xludf.dummyfunction("""COMPUTED_VALUE"""),"GOIÁS - GO")</f>
        <v>GOIÁS - GO</v>
      </c>
      <c r="M544" s="10">
        <f ca="1">IFERROR(__xludf.dummyfunction("""COMPUTED_VALUE"""),5)</f>
        <v>5</v>
      </c>
      <c r="N544" s="10" t="str">
        <f ca="1">IFERROR(__xludf.dummyfunction("""COMPUTED_VALUE"""),"DISPONÍVEL")</f>
        <v>DISPONÍVEL</v>
      </c>
      <c r="O544" s="11"/>
      <c r="P544" s="11"/>
      <c r="Q544" s="11"/>
      <c r="R544" s="11"/>
    </row>
    <row r="545" spans="1:18">
      <c r="A545" s="10">
        <f ca="1">IFERROR(__xludf.dummyfunction("""COMPUTED_VALUE"""),1)</f>
        <v>1</v>
      </c>
      <c r="B545" s="11" t="str">
        <f ca="1">IFERROR(__xludf.dummyfunction("""COMPUTED_VALUE"""),"MARIANA DOANNY DE PAULA")</f>
        <v>MARIANA DOANNY DE PAULA</v>
      </c>
      <c r="C545" s="11" t="str">
        <f ca="1">IFERROR(__xludf.dummyfunction("""COMPUTED_VALUE"""),"6776484")</f>
        <v>6776484</v>
      </c>
      <c r="D545" s="11" t="str">
        <f ca="1">IFERROR(__xludf.dummyfunction("""COMPUTED_VALUE"""),"70915151103")</f>
        <v>70915151103</v>
      </c>
      <c r="E545" s="11" t="str">
        <f ca="1">IFERROR(__xludf.dummyfunction("""COMPUTED_VALUE"""),"MARIDOANNY30@GMAIL.COM")</f>
        <v>MARIDOANNY30@GMAIL.COM</v>
      </c>
      <c r="F545" s="11"/>
      <c r="G545" s="11" t="str">
        <f ca="1">IFERROR(__xludf.dummyfunction("""COMPUTED_VALUE"""),"(62) 999038729")</f>
        <v>(62) 999038729</v>
      </c>
      <c r="H545" s="11" t="str">
        <f ca="1">IFERROR(__xludf.dummyfunction("""COMPUTED_VALUE"""),"SUPERIOR")</f>
        <v>SUPERIOR</v>
      </c>
      <c r="I545" s="10" t="str">
        <f ca="1">IFERROR(__xludf.dummyfunction("""COMPUTED_VALUE"""),"FISIOTERAPIA")</f>
        <v>FISIOTERAPIA</v>
      </c>
      <c r="J545" s="10" t="str">
        <f ca="1">IFERROR(__xludf.dummyfunction("""COMPUTED_VALUE"""),"MANHÃ")</f>
        <v>MANHÃ</v>
      </c>
      <c r="K545" s="10" t="str">
        <f ca="1">IFERROR(__xludf.dummyfunction("""COMPUTED_VALUE"""),"TARDE")</f>
        <v>TARDE</v>
      </c>
      <c r="L545" s="10" t="str">
        <f ca="1">IFERROR(__xludf.dummyfunction("""COMPUTED_VALUE"""),"GOIÁS - GO")</f>
        <v>GOIÁS - GO</v>
      </c>
      <c r="M545" s="10">
        <f ca="1">IFERROR(__xludf.dummyfunction("""COMPUTED_VALUE"""),5)</f>
        <v>5</v>
      </c>
      <c r="N545" s="10" t="str">
        <f ca="1">IFERROR(__xludf.dummyfunction("""COMPUTED_VALUE"""),"DISPONÍVEL")</f>
        <v>DISPONÍVEL</v>
      </c>
      <c r="O545" s="11"/>
      <c r="P545" s="11"/>
      <c r="Q545" s="11"/>
      <c r="R545" s="11"/>
    </row>
    <row r="546" spans="1:18">
      <c r="A546" s="10">
        <f ca="1">IFERROR(__xludf.dummyfunction("""COMPUTED_VALUE"""),2)</f>
        <v>2</v>
      </c>
      <c r="B546" s="11" t="str">
        <f ca="1">IFERROR(__xludf.dummyfunction("""COMPUTED_VALUE"""),"BRENO DA SILVA FERREIRA")</f>
        <v>BRENO DA SILVA FERREIRA</v>
      </c>
      <c r="C546" s="11" t="str">
        <f ca="1">IFERROR(__xludf.dummyfunction("""COMPUTED_VALUE"""),"7195060")</f>
        <v>7195060</v>
      </c>
      <c r="D546" s="11" t="str">
        <f ca="1">IFERROR(__xludf.dummyfunction("""COMPUTED_VALUE"""),"71153910179")</f>
        <v>71153910179</v>
      </c>
      <c r="E546" s="11" t="str">
        <f ca="1">IFERROR(__xludf.dummyfunction("""COMPUTED_VALUE"""),"BRENOSILVAFERREIRA07@HOTMAIL.COM")</f>
        <v>BRENOSILVAFERREIRA07@HOTMAIL.COM</v>
      </c>
      <c r="F546" s="11" t="str">
        <f ca="1">IFERROR(__xludf.dummyfunction("""COMPUTED_VALUE"""),"(62) 96789386")</f>
        <v>(62) 96789386</v>
      </c>
      <c r="G546" s="11" t="str">
        <f ca="1">IFERROR(__xludf.dummyfunction("""COMPUTED_VALUE"""),"(62) 996789386")</f>
        <v>(62) 996789386</v>
      </c>
      <c r="H546" s="11" t="str">
        <f ca="1">IFERROR(__xludf.dummyfunction("""COMPUTED_VALUE"""),"SUPERIOR")</f>
        <v>SUPERIOR</v>
      </c>
      <c r="I546" s="10" t="str">
        <f ca="1">IFERROR(__xludf.dummyfunction("""COMPUTED_VALUE"""),"FISIOTERAPIA")</f>
        <v>FISIOTERAPIA</v>
      </c>
      <c r="J546" s="10" t="str">
        <f ca="1">IFERROR(__xludf.dummyfunction("""COMPUTED_VALUE"""),"MANHÃ")</f>
        <v>MANHÃ</v>
      </c>
      <c r="K546" s="10" t="str">
        <f ca="1">IFERROR(__xludf.dummyfunction("""COMPUTED_VALUE"""),"TARDE")</f>
        <v>TARDE</v>
      </c>
      <c r="L546" s="10" t="str">
        <f ca="1">IFERROR(__xludf.dummyfunction("""COMPUTED_VALUE"""),"GOIÁS - GO")</f>
        <v>GOIÁS - GO</v>
      </c>
      <c r="M546" s="10">
        <f ca="1">IFERROR(__xludf.dummyfunction("""COMPUTED_VALUE"""),6)</f>
        <v>6</v>
      </c>
      <c r="N546" s="10" t="str">
        <f ca="1">IFERROR(__xludf.dummyfunction("""COMPUTED_VALUE"""),"DISPONÍVEL")</f>
        <v>DISPONÍVEL</v>
      </c>
      <c r="O546" s="11"/>
      <c r="P546" s="11"/>
      <c r="Q546" s="11"/>
      <c r="R546" s="11"/>
    </row>
    <row r="547" spans="1:18">
      <c r="A547" s="10">
        <f ca="1">IFERROR(__xludf.dummyfunction("""COMPUTED_VALUE"""),3)</f>
        <v>3</v>
      </c>
      <c r="B547" s="11" t="str">
        <f ca="1">IFERROR(__xludf.dummyfunction("""COMPUTED_VALUE"""),"ELIZAMAR FERREIRA DA SILVA")</f>
        <v>ELIZAMAR FERREIRA DA SILVA</v>
      </c>
      <c r="C547" s="11"/>
      <c r="D547" s="11" t="str">
        <f ca="1">IFERROR(__xludf.dummyfunction("""COMPUTED_VALUE"""),"01404936114")</f>
        <v>01404936114</v>
      </c>
      <c r="E547" s="11" t="str">
        <f ca="1">IFERROR(__xludf.dummyfunction("""COMPUTED_VALUE"""),"ELIZAMAR2812@HOTMAIL.COM")</f>
        <v>ELIZAMAR2812@HOTMAIL.COM</v>
      </c>
      <c r="F547" s="11"/>
      <c r="G547" s="11" t="str">
        <f ca="1">IFERROR(__xludf.dummyfunction("""COMPUTED_VALUE"""),"(62) 982445453")</f>
        <v>(62) 982445453</v>
      </c>
      <c r="H547" s="11" t="str">
        <f ca="1">IFERROR(__xludf.dummyfunction("""COMPUTED_VALUE"""),"SUPERIOR")</f>
        <v>SUPERIOR</v>
      </c>
      <c r="I547" s="10" t="str">
        <f ca="1">IFERROR(__xludf.dummyfunction("""COMPUTED_VALUE"""),"FISIOTERAPIA")</f>
        <v>FISIOTERAPIA</v>
      </c>
      <c r="J547" s="10" t="str">
        <f ca="1">IFERROR(__xludf.dummyfunction("""COMPUTED_VALUE"""),"MANHÃ")</f>
        <v>MANHÃ</v>
      </c>
      <c r="K547" s="10" t="str">
        <f ca="1">IFERROR(__xludf.dummyfunction("""COMPUTED_VALUE"""),"TARDE")</f>
        <v>TARDE</v>
      </c>
      <c r="L547" s="10" t="str">
        <f ca="1">IFERROR(__xludf.dummyfunction("""COMPUTED_VALUE"""),"GOIÁS - GO")</f>
        <v>GOIÁS - GO</v>
      </c>
      <c r="M547" s="10">
        <f ca="1">IFERROR(__xludf.dummyfunction("""COMPUTED_VALUE"""),5)</f>
        <v>5</v>
      </c>
      <c r="N547" s="10" t="str">
        <f ca="1">IFERROR(__xludf.dummyfunction("""COMPUTED_VALUE"""),"DISPONÍVEL")</f>
        <v>DISPONÍVEL</v>
      </c>
      <c r="O547" s="11"/>
      <c r="P547" s="11"/>
      <c r="Q547" s="11"/>
      <c r="R547" s="11"/>
    </row>
    <row r="548" spans="1:18">
      <c r="A548" s="10">
        <f ca="1">IFERROR(__xludf.dummyfunction("QUERY(GOIATUBA!A5:A8)"),1)</f>
        <v>1</v>
      </c>
      <c r="B548" s="11" t="str">
        <f ca="1">IFERROR(__xludf.dummyfunction("QUERY(GOIATUBA!B5:B8)"),"STHEFANNY PEREIRA NUNES")</f>
        <v>STHEFANNY PEREIRA NUNES</v>
      </c>
      <c r="C548" s="11" t="str">
        <f ca="1">IFERROR(__xludf.dummyfunction("QUERY(GOIATUBA!C5:C8)"),"")</f>
        <v/>
      </c>
      <c r="D548" s="11" t="str">
        <f ca="1">IFERROR(__xludf.dummyfunction("QUERY(GOIATUBA!D5:D8)"),"71200753143")</f>
        <v>71200753143</v>
      </c>
      <c r="E548" s="11" t="str">
        <f ca="1">IFERROR(__xludf.dummyfunction("QUERY(GOIATUBA!E5:E8)"),"STHEFANNYPEREIRANUNES@GMAIL.COM")</f>
        <v>STHEFANNYPEREIRANUNES@GMAIL.COM</v>
      </c>
      <c r="F548" s="11" t="str">
        <f ca="1">IFERROR(__xludf.dummyfunction("QUERY(GOIATUBA!F5:F8)"),"")</f>
        <v/>
      </c>
      <c r="G548" s="11" t="str">
        <f ca="1">IFERROR(__xludf.dummyfunction("QUERY(GOIATUBA!G5:G8)"),"(64) 984250249")</f>
        <v>(64) 984250249</v>
      </c>
      <c r="H548" s="11" t="str">
        <f ca="1">IFERROR(__xludf.dummyfunction("QUERY(GOIATUBA!H5:H8)"),"SUPERIOR")</f>
        <v>SUPERIOR</v>
      </c>
      <c r="I548" s="10" t="str">
        <f ca="1">IFERROR(__xludf.dummyfunction("QUERY(GOIATUBA!I5:I8)"),"DIREITO")</f>
        <v>DIREITO</v>
      </c>
      <c r="J548" s="10" t="str">
        <f ca="1">IFERROR(__xludf.dummyfunction("QUERY(GOIATUBA!J5:J8)"),"NOITE")</f>
        <v>NOITE</v>
      </c>
      <c r="K548" s="10" t="str">
        <f ca="1">IFERROR(__xludf.dummyfunction("QUERY(GOIATUBA!K5:K8)"),"TARDE")</f>
        <v>TARDE</v>
      </c>
      <c r="L548" s="10" t="str">
        <f ca="1">IFERROR(__xludf.dummyfunction("QUERY(GOIATUBA!L5:L8)"),"GOIATUBA - GO")</f>
        <v>GOIATUBA - GO</v>
      </c>
      <c r="M548" s="10">
        <f ca="1">IFERROR(__xludf.dummyfunction("QUERY(GOIATUBA!M5:M8)"),5)</f>
        <v>5</v>
      </c>
      <c r="N548" s="10" t="str">
        <f ca="1">IFERROR(__xludf.dummyfunction("QUERY(GOIATUBA!N5:N8)"),"CONTRATADO")</f>
        <v>CONTRATADO</v>
      </c>
      <c r="O548" s="11" t="str">
        <f ca="1">IFERROR(__xludf.dummyfunction("QUERY(GOIATUBA!O5:O8)"),"")</f>
        <v/>
      </c>
      <c r="P548" s="11" t="str">
        <f ca="1">IFERROR(__xludf.dummyfunction("QUERY(GOIATUBA!P5:P8)"),"")</f>
        <v/>
      </c>
      <c r="Q548" s="11" t="str">
        <f ca="1">IFERROR(__xludf.dummyfunction("QUERY(GOIATUBA!Q5:Q8)"),"")</f>
        <v/>
      </c>
      <c r="R548" s="11" t="str">
        <f ca="1">IFERROR(__xludf.dummyfunction("QUERY(GOIATUBA!R5)"),"")</f>
        <v/>
      </c>
    </row>
    <row r="549" spans="1:18">
      <c r="A549" s="10">
        <f ca="1">IFERROR(__xludf.dummyfunction("""COMPUTED_VALUE"""),2)</f>
        <v>2</v>
      </c>
      <c r="B549" s="11" t="str">
        <f ca="1">IFERROR(__xludf.dummyfunction("""COMPUTED_VALUE"""),"RHAYANE PEREIRA CASTILHO MEDEIROS")</f>
        <v>RHAYANE PEREIRA CASTILHO MEDEIROS</v>
      </c>
      <c r="C549" s="11" t="str">
        <f ca="1">IFERROR(__xludf.dummyfunction("""COMPUTED_VALUE"""),"6745973")</f>
        <v>6745973</v>
      </c>
      <c r="D549" s="11" t="str">
        <f ca="1">IFERROR(__xludf.dummyfunction("""COMPUTED_VALUE"""),"05659357121")</f>
        <v>05659357121</v>
      </c>
      <c r="E549" s="11" t="str">
        <f ca="1">IFERROR(__xludf.dummyfunction("""COMPUTED_VALUE"""),"RHAYANEPCMEDEIROS@HOTMAIL.COM")</f>
        <v>RHAYANEPCMEDEIROS@HOTMAIL.COM</v>
      </c>
      <c r="F549" s="11"/>
      <c r="G549" s="11" t="str">
        <f ca="1">IFERROR(__xludf.dummyfunction("""COMPUTED_VALUE"""),"(64) 984386669")</f>
        <v>(64) 984386669</v>
      </c>
      <c r="H549" s="11" t="str">
        <f ca="1">IFERROR(__xludf.dummyfunction("""COMPUTED_VALUE"""),"SUPERIOR")</f>
        <v>SUPERIOR</v>
      </c>
      <c r="I549" s="10" t="str">
        <f ca="1">IFERROR(__xludf.dummyfunction("""COMPUTED_VALUE"""),"DIREITO")</f>
        <v>DIREITO</v>
      </c>
      <c r="J549" s="10" t="str">
        <f ca="1">IFERROR(__xludf.dummyfunction("""COMPUTED_VALUE"""),"NOITE")</f>
        <v>NOITE</v>
      </c>
      <c r="K549" s="10" t="str">
        <f ca="1">IFERROR(__xludf.dummyfunction("""COMPUTED_VALUE"""),"TARDE")</f>
        <v>TARDE</v>
      </c>
      <c r="L549" s="10" t="str">
        <f ca="1">IFERROR(__xludf.dummyfunction("""COMPUTED_VALUE"""),"GOIATUBA - GO")</f>
        <v>GOIATUBA - GO</v>
      </c>
      <c r="M549" s="10">
        <f ca="1">IFERROR(__xludf.dummyfunction("""COMPUTED_VALUE"""),5)</f>
        <v>5</v>
      </c>
      <c r="N549" s="10" t="str">
        <f ca="1">IFERROR(__xludf.dummyfunction("""COMPUTED_VALUE"""),"CONTRATADO")</f>
        <v>CONTRATADO</v>
      </c>
      <c r="O549" s="11"/>
      <c r="P549" s="11"/>
      <c r="Q549" s="11"/>
    </row>
    <row r="550" spans="1:18">
      <c r="A550" s="10">
        <f ca="1">IFERROR(__xludf.dummyfunction("""COMPUTED_VALUE"""),3)</f>
        <v>3</v>
      </c>
      <c r="B550" s="11" t="str">
        <f ca="1">IFERROR(__xludf.dummyfunction("""COMPUTED_VALUE"""),"JHEMILY RAISSA PIEDADE MATIAS SILVA")</f>
        <v>JHEMILY RAISSA PIEDADE MATIAS SILVA</v>
      </c>
      <c r="C550" s="11" t="str">
        <f ca="1">IFERROR(__xludf.dummyfunction("""COMPUTED_VALUE"""),"6478539")</f>
        <v>6478539</v>
      </c>
      <c r="D550" s="11" t="str">
        <f ca="1">IFERROR(__xludf.dummyfunction("""COMPUTED_VALUE"""),"06424529110")</f>
        <v>06424529110</v>
      </c>
      <c r="E550" s="11" t="str">
        <f ca="1">IFERROR(__xludf.dummyfunction("""COMPUTED_VALUE"""),"JHEMILY.RAISSA@GMAIL.COM")</f>
        <v>JHEMILY.RAISSA@GMAIL.COM</v>
      </c>
      <c r="F550" s="11"/>
      <c r="G550" s="11" t="str">
        <f ca="1">IFERROR(__xludf.dummyfunction("""COMPUTED_VALUE"""),"(64) 984436222")</f>
        <v>(64) 984436222</v>
      </c>
      <c r="H550" s="11" t="str">
        <f ca="1">IFERROR(__xludf.dummyfunction("""COMPUTED_VALUE"""),"SUPERIOR")</f>
        <v>SUPERIOR</v>
      </c>
      <c r="I550" s="10" t="str">
        <f ca="1">IFERROR(__xludf.dummyfunction("""COMPUTED_VALUE"""),"DIREITO")</f>
        <v>DIREITO</v>
      </c>
      <c r="J550" s="10" t="str">
        <f ca="1">IFERROR(__xludf.dummyfunction("""COMPUTED_VALUE"""),"NOITE")</f>
        <v>NOITE</v>
      </c>
      <c r="K550" s="10" t="str">
        <f ca="1">IFERROR(__xludf.dummyfunction("""COMPUTED_VALUE"""),"TARDE")</f>
        <v>TARDE</v>
      </c>
      <c r="L550" s="10" t="str">
        <f ca="1">IFERROR(__xludf.dummyfunction("""COMPUTED_VALUE"""),"GOIATUBA - GO")</f>
        <v>GOIATUBA - GO</v>
      </c>
      <c r="M550" s="10">
        <f ca="1">IFERROR(__xludf.dummyfunction("""COMPUTED_VALUE"""),5)</f>
        <v>5</v>
      </c>
      <c r="N550" s="10" t="str">
        <f ca="1">IFERROR(__xludf.dummyfunction("""COMPUTED_VALUE"""),"DESCLASSIFICADO")</f>
        <v>DESCLASSIFICADO</v>
      </c>
      <c r="O550" s="11" t="str">
        <f ca="1">IFERROR(__xludf.dummyfunction("""COMPUTED_VALUE"""),"10/10 - 13:56")</f>
        <v>10/10 - 13:56</v>
      </c>
      <c r="P550" s="11"/>
      <c r="Q550" s="11" t="str">
        <f ca="1">IFERROR(__xludf.dummyfunction("""COMPUTED_VALUE"""),"16/11 - 09:59")</f>
        <v>16/11 - 09:59</v>
      </c>
    </row>
    <row r="551" spans="1:18">
      <c r="A551" s="10">
        <f ca="1">IFERROR(__xludf.dummyfunction("""COMPUTED_VALUE"""),4)</f>
        <v>4</v>
      </c>
      <c r="B551" s="11" t="str">
        <f ca="1">IFERROR(__xludf.dummyfunction("""COMPUTED_VALUE"""),"FELIPE DE FREITAS GAUDERETO")</f>
        <v>FELIPE DE FREITAS GAUDERETO</v>
      </c>
      <c r="C551" s="11"/>
      <c r="D551" s="11" t="str">
        <f ca="1">IFERROR(__xludf.dummyfunction("""COMPUTED_VALUE"""),"05223330102")</f>
        <v>05223330102</v>
      </c>
      <c r="E551" s="11" t="str">
        <f ca="1">IFERROR(__xludf.dummyfunction("""COMPUTED_VALUE"""),"FELIPEFGAUDERETO@GMAIL.COM")</f>
        <v>FELIPEFGAUDERETO@GMAIL.COM</v>
      </c>
      <c r="F551" s="11"/>
      <c r="G551" s="11" t="str">
        <f ca="1">IFERROR(__xludf.dummyfunction("""COMPUTED_VALUE"""),"(64) 992172183")</f>
        <v>(64) 992172183</v>
      </c>
      <c r="H551" s="11" t="str">
        <f ca="1">IFERROR(__xludf.dummyfunction("""COMPUTED_VALUE"""),"SUPERIOR")</f>
        <v>SUPERIOR</v>
      </c>
      <c r="I551" s="10" t="str">
        <f ca="1">IFERROR(__xludf.dummyfunction("""COMPUTED_VALUE"""),"DIREITO")</f>
        <v>DIREITO</v>
      </c>
      <c r="J551" s="10" t="str">
        <f ca="1">IFERROR(__xludf.dummyfunction("""COMPUTED_VALUE"""),"NOITE")</f>
        <v>NOITE</v>
      </c>
      <c r="K551" s="10" t="str">
        <f ca="1">IFERROR(__xludf.dummyfunction("""COMPUTED_VALUE"""),"TARDE")</f>
        <v>TARDE</v>
      </c>
      <c r="L551" s="10" t="str">
        <f ca="1">IFERROR(__xludf.dummyfunction("""COMPUTED_VALUE"""),"GOIATUBA - GO")</f>
        <v>GOIATUBA - GO</v>
      </c>
      <c r="M551" s="10">
        <f ca="1">IFERROR(__xludf.dummyfunction("""COMPUTED_VALUE"""),5)</f>
        <v>5</v>
      </c>
      <c r="N551" s="10" t="str">
        <f ca="1">IFERROR(__xludf.dummyfunction("""COMPUTED_VALUE"""),"CONTRATADO")</f>
        <v>CONTRATADO</v>
      </c>
      <c r="O551" s="11"/>
      <c r="P551" s="11"/>
      <c r="Q551" s="11"/>
    </row>
    <row r="552" spans="1:18">
      <c r="A552" s="10">
        <f ca="1">IFERROR(__xludf.dummyfunction("QUERY('HIDROLÂNIDA'!A5:A8)"),1)</f>
        <v>1</v>
      </c>
      <c r="B552" s="11" t="str">
        <f ca="1">IFERROR(__xludf.dummyfunction("QUERY('HIDROLÂNIDA'!B5:B8)"),"VERÔNICA EDUARDA SILVA FERREIRA MOREIRA")</f>
        <v>VERÔNICA EDUARDA SILVA FERREIRA MOREIRA</v>
      </c>
      <c r="C552" s="11" t="str">
        <f ca="1">IFERROR(__xludf.dummyfunction("QUERY('HIDROLÂNIDA'!C5:C8)"),"6536785")</f>
        <v>6536785</v>
      </c>
      <c r="D552" s="11" t="str">
        <f ca="1">IFERROR(__xludf.dummyfunction("QUERY('HIDROLÂNIDA'!D5:D8)"),"70509680135")</f>
        <v>70509680135</v>
      </c>
      <c r="E552" s="11" t="str">
        <f ca="1">IFERROR(__xludf.dummyfunction("QUERY('HIDROLÂNIDA'!E5:E8)"),"VERONICAEDUARDASILVA28@GMAIL.COM")</f>
        <v>VERONICAEDUARDASILVA28@GMAIL.COM</v>
      </c>
      <c r="F552" s="11" t="str">
        <f ca="1">IFERROR(__xludf.dummyfunction("QUERY('HIDROLÂNIDA'!F5:F8)"),"")</f>
        <v/>
      </c>
      <c r="G552" s="11" t="str">
        <f ca="1">IFERROR(__xludf.dummyfunction("QUERY('HIDROLÂNIDA'!G5:G8)"),"(62) 993334884")</f>
        <v>(62) 993334884</v>
      </c>
      <c r="H552" s="11" t="str">
        <f ca="1">IFERROR(__xludf.dummyfunction("QUERY('HIDROLÂNIDA'!H5:H8)"),"SUPERIOR")</f>
        <v>SUPERIOR</v>
      </c>
      <c r="I552" s="10" t="str">
        <f ca="1">IFERROR(__xludf.dummyfunction("QUERY('HIDROLÂNIDA'!I5:I8)"),"DIREITO")</f>
        <v>DIREITO</v>
      </c>
      <c r="J552" s="10" t="str">
        <f ca="1">IFERROR(__xludf.dummyfunction("QUERY('HIDROLÂNIDA'!J5:J8)"),"NOITE")</f>
        <v>NOITE</v>
      </c>
      <c r="K552" s="10" t="str">
        <f ca="1">IFERROR(__xludf.dummyfunction("QUERY('HIDROLÂNIDA'!K5:K8)"),"TARDE")</f>
        <v>TARDE</v>
      </c>
      <c r="L552" s="10" t="str">
        <f ca="1">IFERROR(__xludf.dummyfunction("QUERY('HIDROLÂNIDA'!L5:L8)"),"HIDROLÂNDIA - GO")</f>
        <v>HIDROLÂNDIA - GO</v>
      </c>
      <c r="M552" s="10">
        <f ca="1">IFERROR(__xludf.dummyfunction("QUERY('HIDROLÂNIDA'!M5:M8)"),6)</f>
        <v>6</v>
      </c>
      <c r="N552" s="10" t="str">
        <f ca="1">IFERROR(__xludf.dummyfunction("QUERY('HIDROLÂNIDA'!N5:N8)"),"CONTRATADO")</f>
        <v>CONTRATADO</v>
      </c>
      <c r="O552" s="11" t="str">
        <f ca="1">IFERROR(__xludf.dummyfunction("QUERY('HIDROLÂNIDA'!O5:O8)"),"16/11 - 12:01 / CONTRATADO")</f>
        <v>16/11 - 12:01 / CONTRATADO</v>
      </c>
      <c r="P552" s="11" t="str">
        <f ca="1">IFERROR(__xludf.dummyfunction("QUERY('HIDROLÂNIDA'!P5:P8)"),"")</f>
        <v/>
      </c>
      <c r="Q552" s="11" t="str">
        <f ca="1">IFERROR(__xludf.dummyfunction("QUERY('HIDROLÂNIDA'!Q5:Q8)"),"")</f>
        <v/>
      </c>
    </row>
    <row r="553" spans="1:18">
      <c r="A553" s="10">
        <f ca="1">IFERROR(__xludf.dummyfunction("""COMPUTED_VALUE"""),2)</f>
        <v>2</v>
      </c>
      <c r="B553" s="11" t="str">
        <f ca="1">IFERROR(__xludf.dummyfunction("""COMPUTED_VALUE"""),"LUANA MACIEL DE ARAUJO SILVA BARBOSA")</f>
        <v>LUANA MACIEL DE ARAUJO SILVA BARBOSA</v>
      </c>
      <c r="C553" s="11" t="str">
        <f ca="1">IFERROR(__xludf.dummyfunction("""COMPUTED_VALUE"""),"6383524")</f>
        <v>6383524</v>
      </c>
      <c r="D553" s="11" t="str">
        <f ca="1">IFERROR(__xludf.dummyfunction("""COMPUTED_VALUE"""),"70455269114")</f>
        <v>70455269114</v>
      </c>
      <c r="E553" s="11" t="str">
        <f ca="1">IFERROR(__xludf.dummyfunction("""COMPUTED_VALUE"""),"LUANNAMACIEL26033@GMAIL.COM")</f>
        <v>LUANNAMACIEL26033@GMAIL.COM</v>
      </c>
      <c r="F553" s="11"/>
      <c r="G553" s="11" t="str">
        <f ca="1">IFERROR(__xludf.dummyfunction("""COMPUTED_VALUE"""),"(62) 981997702")</f>
        <v>(62) 981997702</v>
      </c>
      <c r="H553" s="11" t="str">
        <f ca="1">IFERROR(__xludf.dummyfunction("""COMPUTED_VALUE"""),"SUPERIOR")</f>
        <v>SUPERIOR</v>
      </c>
      <c r="I553" s="10" t="str">
        <f ca="1">IFERROR(__xludf.dummyfunction("""COMPUTED_VALUE"""),"DIREITO")</f>
        <v>DIREITO</v>
      </c>
      <c r="J553" s="10" t="str">
        <f ca="1">IFERROR(__xludf.dummyfunction("""COMPUTED_VALUE"""),"NOITE")</f>
        <v>NOITE</v>
      </c>
      <c r="K553" s="10" t="str">
        <f ca="1">IFERROR(__xludf.dummyfunction("""COMPUTED_VALUE"""),"TARDE")</f>
        <v>TARDE</v>
      </c>
      <c r="L553" s="10" t="str">
        <f ca="1">IFERROR(__xludf.dummyfunction("""COMPUTED_VALUE"""),"HIDROLÂNDIA - GO")</f>
        <v>HIDROLÂNDIA - GO</v>
      </c>
      <c r="M553" s="10">
        <f ca="1">IFERROR(__xludf.dummyfunction("""COMPUTED_VALUE"""),9)</f>
        <v>9</v>
      </c>
      <c r="N553" s="10" t="str">
        <f ca="1">IFERROR(__xludf.dummyfunction("""COMPUTED_VALUE"""),"CONTRATADO")</f>
        <v>CONTRATADO</v>
      </c>
      <c r="O553" s="11" t="str">
        <f ca="1">IFERROR(__xludf.dummyfunction("""COMPUTED_VALUE"""),"16/11 - 12:01")</f>
        <v>16/11 - 12:01</v>
      </c>
      <c r="P553" s="11"/>
      <c r="Q553" s="11"/>
    </row>
    <row r="554" spans="1:18">
      <c r="A554" s="10">
        <f ca="1">IFERROR(__xludf.dummyfunction("""COMPUTED_VALUE"""),3)</f>
        <v>3</v>
      </c>
      <c r="B554" s="11" t="str">
        <f ca="1">IFERROR(__xludf.dummyfunction("""COMPUTED_VALUE"""),"THAISE DE SENA CARDOSO")</f>
        <v>THAISE DE SENA CARDOSO</v>
      </c>
      <c r="C554" s="11"/>
      <c r="D554" s="11" t="str">
        <f ca="1">IFERROR(__xludf.dummyfunction("""COMPUTED_VALUE"""),"05444975114")</f>
        <v>05444975114</v>
      </c>
      <c r="E554" s="11" t="str">
        <f ca="1">IFERROR(__xludf.dummyfunction("""COMPUTED_VALUE"""),"THAISE_SENA18@HOTMAIL.COM")</f>
        <v>THAISE_SENA18@HOTMAIL.COM</v>
      </c>
      <c r="F554" s="11" t="str">
        <f ca="1">IFERROR(__xludf.dummyfunction("""COMPUTED_VALUE"""),"(62) 35532201")</f>
        <v>(62) 35532201</v>
      </c>
      <c r="G554" s="11" t="str">
        <f ca="1">IFERROR(__xludf.dummyfunction("""COMPUTED_VALUE"""),"(62) 986057210")</f>
        <v>(62) 986057210</v>
      </c>
      <c r="H554" s="11" t="str">
        <f ca="1">IFERROR(__xludf.dummyfunction("""COMPUTED_VALUE"""),"SUPERIOR")</f>
        <v>SUPERIOR</v>
      </c>
      <c r="I554" s="10" t="str">
        <f ca="1">IFERROR(__xludf.dummyfunction("""COMPUTED_VALUE"""),"DIREITO")</f>
        <v>DIREITO</v>
      </c>
      <c r="J554" s="10" t="str">
        <f ca="1">IFERROR(__xludf.dummyfunction("""COMPUTED_VALUE"""),"NOITE")</f>
        <v>NOITE</v>
      </c>
      <c r="K554" s="10" t="str">
        <f ca="1">IFERROR(__xludf.dummyfunction("""COMPUTED_VALUE"""),"TARDE")</f>
        <v>TARDE</v>
      </c>
      <c r="L554" s="10" t="str">
        <f ca="1">IFERROR(__xludf.dummyfunction("""COMPUTED_VALUE"""),"HIDROLÂNDIA - GO")</f>
        <v>HIDROLÂNDIA - GO</v>
      </c>
      <c r="M554" s="10">
        <f ca="1">IFERROR(__xludf.dummyfunction("""COMPUTED_VALUE"""),7)</f>
        <v>7</v>
      </c>
      <c r="N554" s="10" t="str">
        <f ca="1">IFERROR(__xludf.dummyfunction("""COMPUTED_VALUE"""),"DISPONÍVEL")</f>
        <v>DISPONÍVEL</v>
      </c>
      <c r="O554" s="11"/>
      <c r="P554" s="11"/>
      <c r="Q554" s="11"/>
    </row>
    <row r="555" spans="1:18">
      <c r="A555" s="10">
        <f ca="1">IFERROR(__xludf.dummyfunction("""COMPUTED_VALUE"""),4)</f>
        <v>4</v>
      </c>
      <c r="B555" s="11" t="str">
        <f ca="1">IFERROR(__xludf.dummyfunction("""COMPUTED_VALUE"""),"ALBERT LINO LEÃO")</f>
        <v>ALBERT LINO LEÃO</v>
      </c>
      <c r="C555" s="11"/>
      <c r="D555" s="11" t="str">
        <f ca="1">IFERROR(__xludf.dummyfunction("""COMPUTED_VALUE"""),"70951003143")</f>
        <v>70951003143</v>
      </c>
      <c r="E555" s="11" t="str">
        <f ca="1">IFERROR(__xludf.dummyfunction("""COMPUTED_VALUE"""),"ALBERTLEAO_ADV@OUTLOOK.COM.BR")</f>
        <v>ALBERTLEAO_ADV@OUTLOOK.COM.BR</v>
      </c>
      <c r="F555" s="11"/>
      <c r="G555" s="11" t="str">
        <f ca="1">IFERROR(__xludf.dummyfunction("""COMPUTED_VALUE"""),"(62) 993028147")</f>
        <v>(62) 993028147</v>
      </c>
      <c r="H555" s="11" t="str">
        <f ca="1">IFERROR(__xludf.dummyfunction("""COMPUTED_VALUE"""),"SUPERIOR")</f>
        <v>SUPERIOR</v>
      </c>
      <c r="I555" s="10" t="str">
        <f ca="1">IFERROR(__xludf.dummyfunction("""COMPUTED_VALUE"""),"DIREITO")</f>
        <v>DIREITO</v>
      </c>
      <c r="J555" s="10" t="str">
        <f ca="1">IFERROR(__xludf.dummyfunction("""COMPUTED_VALUE"""),"NOITE")</f>
        <v>NOITE</v>
      </c>
      <c r="K555" s="10" t="str">
        <f ca="1">IFERROR(__xludf.dummyfunction("""COMPUTED_VALUE"""),"TARDE")</f>
        <v>TARDE</v>
      </c>
      <c r="L555" s="10" t="str">
        <f ca="1">IFERROR(__xludf.dummyfunction("""COMPUTED_VALUE"""),"HIDROLÂNDIA - GO")</f>
        <v>HIDROLÂNDIA - GO</v>
      </c>
      <c r="M555" s="10">
        <f ca="1">IFERROR(__xludf.dummyfunction("""COMPUTED_VALUE"""),6)</f>
        <v>6</v>
      </c>
      <c r="N555" s="10" t="str">
        <f ca="1">IFERROR(__xludf.dummyfunction("""COMPUTED_VALUE"""),"DISPONÍVEL")</f>
        <v>DISPONÍVEL</v>
      </c>
      <c r="O555" s="11"/>
      <c r="P555" s="11"/>
      <c r="Q555" s="11"/>
    </row>
    <row r="556" spans="1:18">
      <c r="A556" s="10">
        <f ca="1">IFERROR(__xludf.dummyfunction("QUERY(IACIARA!A5)"),1)</f>
        <v>1</v>
      </c>
      <c r="B556" s="11" t="str">
        <f ca="1">IFERROR(__xludf.dummyfunction("QUERY(IACIARA!B5)"),"POLIANA NASCIMENTO SOUSA")</f>
        <v>POLIANA NASCIMENTO SOUSA</v>
      </c>
      <c r="C556" s="11" t="str">
        <f ca="1">IFERROR(__xludf.dummyfunction("QUERY(IACIARA!C5)"),"")</f>
        <v/>
      </c>
      <c r="D556" s="11" t="str">
        <f ca="1">IFERROR(__xludf.dummyfunction("QUERY(IACIARA!D5)"),"70715531140")</f>
        <v>70715531140</v>
      </c>
      <c r="E556" s="11" t="str">
        <f ca="1">IFERROR(__xludf.dummyfunction("QUERY(IACIARA!E5)"),"POLIANASOUSA3443@GMAIL.COM")</f>
        <v>POLIANASOUSA3443@GMAIL.COM</v>
      </c>
      <c r="F556" s="11" t="str">
        <f ca="1">IFERROR(__xludf.dummyfunction("QUERY(IACIARA!F5)"),"")</f>
        <v/>
      </c>
      <c r="G556" s="11" t="str">
        <f ca="1">IFERROR(__xludf.dummyfunction("QUERY(IACIARA!G5)"),"(62) 998519655")</f>
        <v>(62) 998519655</v>
      </c>
      <c r="H556" s="11" t="str">
        <f ca="1">IFERROR(__xludf.dummyfunction("QUERY(IACIARA!H5)"),"SUPERIOR")</f>
        <v>SUPERIOR</v>
      </c>
      <c r="I556" s="10" t="str">
        <f ca="1">IFERROR(__xludf.dummyfunction("QUERY(IACIARA!I5)"),"ADMINISTRAÇÃO")</f>
        <v>ADMINISTRAÇÃO</v>
      </c>
      <c r="J556" s="10" t="str">
        <f ca="1">IFERROR(__xludf.dummyfunction("QUERY(IACIARA!J5)"),"NOITE")</f>
        <v>NOITE</v>
      </c>
      <c r="K556" s="10" t="str">
        <f ca="1">IFERROR(__xludf.dummyfunction("QUERY(IACIARA!K5)"),"TARDE")</f>
        <v>TARDE</v>
      </c>
      <c r="L556" s="10" t="str">
        <f ca="1">IFERROR(__xludf.dummyfunction("QUERY(IACIARA!L5)"),"IACIARA - GO")</f>
        <v>IACIARA - GO</v>
      </c>
      <c r="M556" s="10">
        <f ca="1">IFERROR(__xludf.dummyfunction("QUERY(IACIARA!M5)"),4)</f>
        <v>4</v>
      </c>
      <c r="N556" s="10" t="str">
        <f ca="1">IFERROR(__xludf.dummyfunction("QUERY(IACIARA!N5)"),"CONTRATADO")</f>
        <v>CONTRATADO</v>
      </c>
      <c r="O556" s="11" t="str">
        <f ca="1">IFERROR(__xludf.dummyfunction("QUERY(IACIARA!O5)"),"16/11 - 08:19")</f>
        <v>16/11 - 08:19</v>
      </c>
      <c r="P556" s="11" t="str">
        <f ca="1">IFERROR(__xludf.dummyfunction("QUERY(IACIARA!P5)"),"")</f>
        <v/>
      </c>
      <c r="Q556" s="11" t="str">
        <f ca="1">IFERROR(__xludf.dummyfunction("QUERY(IACIARA!Q5)"),"")</f>
        <v/>
      </c>
      <c r="R556" s="11" t="str">
        <f ca="1">IFERROR(__xludf.dummyfunction("QUERY(IACIARA!R5)"),"")</f>
        <v/>
      </c>
    </row>
    <row r="557" spans="1:18">
      <c r="A557" s="10">
        <f ca="1">IFERROR(__xludf.dummyfunction("QUERY(INHUMAS!A5:A8)"),1)</f>
        <v>1</v>
      </c>
      <c r="B557" s="11" t="str">
        <f ca="1">IFERROR(__xludf.dummyfunction("QUERY(INHUMAS!B5:B8)"),"GUSTAVO FERNANDES PEREIRA")</f>
        <v>GUSTAVO FERNANDES PEREIRA</v>
      </c>
      <c r="C557" s="11" t="str">
        <f ca="1">IFERROR(__xludf.dummyfunction("QUERY(INHUMAS!C5:C8)"),"")</f>
        <v/>
      </c>
      <c r="D557" s="11" t="str">
        <f ca="1">IFERROR(__xludf.dummyfunction("QUERY(INHUMAS!D5:D8)"),"01736074113")</f>
        <v>01736074113</v>
      </c>
      <c r="E557" s="11" t="str">
        <f ca="1">IFERROR(__xludf.dummyfunction("QUERY(INHUMAS!E5:E8)"),"GUSTAVOFERNANDESRESERVA@GMAIL.COM")</f>
        <v>GUSTAVOFERNANDESRESERVA@GMAIL.COM</v>
      </c>
      <c r="F557" s="11" t="str">
        <f ca="1">IFERROR(__xludf.dummyfunction("QUERY(INHUMAS!F5:F8)"),"")</f>
        <v/>
      </c>
      <c r="G557" s="11" t="str">
        <f ca="1">IFERROR(__xludf.dummyfunction("QUERY(INHUMAS!G5:G8)"),"(62) 992753661")</f>
        <v>(62) 992753661</v>
      </c>
      <c r="H557" s="11" t="str">
        <f ca="1">IFERROR(__xludf.dummyfunction("QUERY(INHUMAS!H5:H8)"),"SUPERIOR")</f>
        <v>SUPERIOR</v>
      </c>
      <c r="I557" s="10" t="str">
        <f ca="1">IFERROR(__xludf.dummyfunction("QUERY(INHUMAS!I5:I8)"),"ADMINISTRAÇÃO")</f>
        <v>ADMINISTRAÇÃO</v>
      </c>
      <c r="J557" s="10" t="str">
        <f ca="1">IFERROR(__xludf.dummyfunction("QUERY(INHUMAS!J5:J8)"),"NOITE")</f>
        <v>NOITE</v>
      </c>
      <c r="K557" s="10" t="str">
        <f ca="1">IFERROR(__xludf.dummyfunction("QUERY(INHUMAS!K5:K8)"),"TARDE")</f>
        <v>TARDE</v>
      </c>
      <c r="L557" s="10" t="str">
        <f ca="1">IFERROR(__xludf.dummyfunction("QUERY(INHUMAS!L5:L8)"),"INHUMAS - GO")</f>
        <v>INHUMAS - GO</v>
      </c>
      <c r="M557" s="10">
        <f ca="1">IFERROR(__xludf.dummyfunction("QUERY(INHUMAS!M5:M8)"),4)</f>
        <v>4</v>
      </c>
      <c r="N557" s="10" t="str">
        <f ca="1">IFERROR(__xludf.dummyfunction("QUERY(INHUMAS!N5:N8)"),"CONTRATADO")</f>
        <v>CONTRATADO</v>
      </c>
      <c r="O557" s="11" t="str">
        <f ca="1">IFERROR(__xludf.dummyfunction("QUERY(INHUMAS!O5:O8)"),"16/11 - 10:07")</f>
        <v>16/11 - 10:07</v>
      </c>
      <c r="P557" s="11" t="str">
        <f ca="1">IFERROR(__xludf.dummyfunction("QUERY(INHUMAS!P5:P8)"),"")</f>
        <v/>
      </c>
      <c r="Q557" s="11" t="str">
        <f ca="1">IFERROR(__xludf.dummyfunction("QUERY(INHUMAS!Q5:Q8)"),"")</f>
        <v/>
      </c>
    </row>
    <row r="558" spans="1:18">
      <c r="A558" s="10">
        <f ca="1">IFERROR(__xludf.dummyfunction("""COMPUTED_VALUE"""),1)</f>
        <v>1</v>
      </c>
      <c r="B558" s="11" t="str">
        <f ca="1">IFERROR(__xludf.dummyfunction("""COMPUTED_VALUE"""),"KAROLINE SOARES LINO")</f>
        <v>KAROLINE SOARES LINO</v>
      </c>
      <c r="C558" s="11" t="str">
        <f ca="1">IFERROR(__xludf.dummyfunction("""COMPUTED_VALUE"""),"6600934")</f>
        <v>6600934</v>
      </c>
      <c r="D558" s="11" t="str">
        <f ca="1">IFERROR(__xludf.dummyfunction("""COMPUTED_VALUE"""),"70129051152")</f>
        <v>70129051152</v>
      </c>
      <c r="E558" s="11" t="str">
        <f ca="1">IFERROR(__xludf.dummyfunction("""COMPUTED_VALUE"""),"KAROLSOARESM@ICLOUD.COM")</f>
        <v>KAROLSOARESM@ICLOUD.COM</v>
      </c>
      <c r="F558" s="11" t="str">
        <f ca="1">IFERROR(__xludf.dummyfunction("""COMPUTED_VALUE"""),"(62) 35111629")</f>
        <v>(62) 35111629</v>
      </c>
      <c r="G558" s="11" t="str">
        <f ca="1">IFERROR(__xludf.dummyfunction("""COMPUTED_VALUE"""),"(94) 984336997")</f>
        <v>(94) 984336997</v>
      </c>
      <c r="H558" s="11" t="str">
        <f ca="1">IFERROR(__xludf.dummyfunction("""COMPUTED_VALUE"""),"SUPERIOR")</f>
        <v>SUPERIOR</v>
      </c>
      <c r="I558" s="10" t="str">
        <f ca="1">IFERROR(__xludf.dummyfunction("""COMPUTED_VALUE"""),"DIREITO")</f>
        <v>DIREITO</v>
      </c>
      <c r="J558" s="10" t="str">
        <f ca="1">IFERROR(__xludf.dummyfunction("""COMPUTED_VALUE"""),"MANHÃ")</f>
        <v>MANHÃ</v>
      </c>
      <c r="K558" s="10" t="str">
        <f ca="1">IFERROR(__xludf.dummyfunction("""COMPUTED_VALUE"""),"TARDE")</f>
        <v>TARDE</v>
      </c>
      <c r="L558" s="10" t="str">
        <f ca="1">IFERROR(__xludf.dummyfunction("""COMPUTED_VALUE"""),"INHUMAS - GO")</f>
        <v>INHUMAS - GO</v>
      </c>
      <c r="M558" s="10">
        <f ca="1">IFERROR(__xludf.dummyfunction("""COMPUTED_VALUE"""),5)</f>
        <v>5</v>
      </c>
      <c r="N558" s="10" t="str">
        <f ca="1">IFERROR(__xludf.dummyfunction("""COMPUTED_VALUE"""),"CONTRATADO")</f>
        <v>CONTRATADO</v>
      </c>
      <c r="O558" s="11" t="str">
        <f ca="1">IFERROR(__xludf.dummyfunction("""COMPUTED_VALUE"""),"16/11 - 10:07")</f>
        <v>16/11 - 10:07</v>
      </c>
      <c r="P558" s="11"/>
      <c r="Q558" s="11"/>
    </row>
    <row r="559" spans="1:18">
      <c r="A559" s="10">
        <f ca="1">IFERROR(__xludf.dummyfunction("""COMPUTED_VALUE"""),2)</f>
        <v>2</v>
      </c>
      <c r="B559" s="11" t="str">
        <f ca="1">IFERROR(__xludf.dummyfunction("""COMPUTED_VALUE"""),"ANA ALMEIDA CARVALHO")</f>
        <v>ANA ALMEIDA CARVALHO</v>
      </c>
      <c r="C559" s="11" t="str">
        <f ca="1">IFERROR(__xludf.dummyfunction("""COMPUTED_VALUE"""),"7016451")</f>
        <v>7016451</v>
      </c>
      <c r="D559" s="11" t="str">
        <f ca="1">IFERROR(__xludf.dummyfunction("""COMPUTED_VALUE"""),"71055628118")</f>
        <v>71055628118</v>
      </c>
      <c r="E559" s="11" t="str">
        <f ca="1">IFERROR(__xludf.dummyfunction("""COMPUTED_VALUE"""),"ANAACARVALHO06@GMAIL.COM")</f>
        <v>ANAACARVALHO06@GMAIL.COM</v>
      </c>
      <c r="F559" s="11"/>
      <c r="G559" s="11" t="str">
        <f ca="1">IFERROR(__xludf.dummyfunction("""COMPUTED_VALUE"""),"(62) 984784156")</f>
        <v>(62) 984784156</v>
      </c>
      <c r="H559" s="11" t="str">
        <f ca="1">IFERROR(__xludf.dummyfunction("""COMPUTED_VALUE"""),"SUPERIOR")</f>
        <v>SUPERIOR</v>
      </c>
      <c r="I559" s="10" t="str">
        <f ca="1">IFERROR(__xludf.dummyfunction("""COMPUTED_VALUE"""),"DIREITO")</f>
        <v>DIREITO</v>
      </c>
      <c r="J559" s="10" t="str">
        <f ca="1">IFERROR(__xludf.dummyfunction("""COMPUTED_VALUE"""),"NOITE")</f>
        <v>NOITE</v>
      </c>
      <c r="K559" s="10" t="str">
        <f ca="1">IFERROR(__xludf.dummyfunction("""COMPUTED_VALUE"""),"TARDE")</f>
        <v>TARDE</v>
      </c>
      <c r="L559" s="10" t="str">
        <f ca="1">IFERROR(__xludf.dummyfunction("""COMPUTED_VALUE"""),"INHUMAS - GO")</f>
        <v>INHUMAS - GO</v>
      </c>
      <c r="M559" s="10">
        <f ca="1">IFERROR(__xludf.dummyfunction("""COMPUTED_VALUE"""),5)</f>
        <v>5</v>
      </c>
      <c r="N559" s="10" t="str">
        <f ca="1">IFERROR(__xludf.dummyfunction("""COMPUTED_VALUE"""),"CONTRATADO")</f>
        <v>CONTRATADO</v>
      </c>
      <c r="O559" s="11" t="str">
        <f ca="1">IFERROR(__xludf.dummyfunction("""COMPUTED_VALUE"""),"16/11 - 10:07")</f>
        <v>16/11 - 10:07</v>
      </c>
      <c r="P559" s="11"/>
      <c r="Q559" s="11"/>
    </row>
    <row r="560" spans="1:18">
      <c r="A560" s="10">
        <f ca="1">IFERROR(__xludf.dummyfunction("""COMPUTED_VALUE"""),3)</f>
        <v>3</v>
      </c>
      <c r="B560" s="11" t="str">
        <f ca="1">IFERROR(__xludf.dummyfunction("""COMPUTED_VALUE"""),"YASMIN VITTORIA CRISTINA SILVA SANTIAGO")</f>
        <v>YASMIN VITTORIA CRISTINA SILVA SANTIAGO</v>
      </c>
      <c r="C560" s="11" t="str">
        <f ca="1">IFERROR(__xludf.dummyfunction("""COMPUTED_VALUE"""),"6866289")</f>
        <v>6866289</v>
      </c>
      <c r="D560" s="11" t="str">
        <f ca="1">IFERROR(__xludf.dummyfunction("""COMPUTED_VALUE"""),"70897110137")</f>
        <v>70897110137</v>
      </c>
      <c r="E560" s="11" t="str">
        <f ca="1">IFERROR(__xludf.dummyfunction("""COMPUTED_VALUE"""),"YASMINCRISTINA237@GMAIL.COM")</f>
        <v>YASMINCRISTINA237@GMAIL.COM</v>
      </c>
      <c r="F560" s="11" t="str">
        <f ca="1">IFERROR(__xludf.dummyfunction("""COMPUTED_VALUE"""),"(62) 85355415")</f>
        <v>(62) 85355415</v>
      </c>
      <c r="G560" s="11" t="str">
        <f ca="1">IFERROR(__xludf.dummyfunction("""COMPUTED_VALUE"""),"(62) 985355415")</f>
        <v>(62) 985355415</v>
      </c>
      <c r="H560" s="11" t="str">
        <f ca="1">IFERROR(__xludf.dummyfunction("""COMPUTED_VALUE"""),"SUPERIOR")</f>
        <v>SUPERIOR</v>
      </c>
      <c r="I560" s="10" t="str">
        <f ca="1">IFERROR(__xludf.dummyfunction("""COMPUTED_VALUE"""),"DIREITO")</f>
        <v>DIREITO</v>
      </c>
      <c r="J560" s="10" t="str">
        <f ca="1">IFERROR(__xludf.dummyfunction("""COMPUTED_VALUE"""),"NOITE")</f>
        <v>NOITE</v>
      </c>
      <c r="K560" s="10" t="str">
        <f ca="1">IFERROR(__xludf.dummyfunction("""COMPUTED_VALUE"""),"TARDE")</f>
        <v>TARDE</v>
      </c>
      <c r="L560" s="10" t="str">
        <f ca="1">IFERROR(__xludf.dummyfunction("""COMPUTED_VALUE"""),"INHUMAS - GO")</f>
        <v>INHUMAS - GO</v>
      </c>
      <c r="M560" s="10">
        <f ca="1">IFERROR(__xludf.dummyfunction("""COMPUTED_VALUE"""),5)</f>
        <v>5</v>
      </c>
      <c r="N560" s="10" t="str">
        <f ca="1">IFERROR(__xludf.dummyfunction("""COMPUTED_VALUE"""),"CONTRATADO")</f>
        <v>CONTRATADO</v>
      </c>
      <c r="O560" s="11" t="str">
        <f ca="1">IFERROR(__xludf.dummyfunction("""COMPUTED_VALUE"""),"16/11 - 10:07")</f>
        <v>16/11 - 10:07</v>
      </c>
      <c r="P560" s="11"/>
      <c r="Q560" s="11"/>
    </row>
    <row r="561" spans="1:18">
      <c r="A561" s="10">
        <f ca="1">IFERROR(__xludf.dummyfunction("QUERY(IPAMERI!A5:A6)"),1)</f>
        <v>1</v>
      </c>
      <c r="B561" s="11" t="str">
        <f ca="1">IFERROR(__xludf.dummyfunction("QUERY(IPAMERI!B5:B6)"),"GABRIEL ANTONIO OLIVEIRA")</f>
        <v>GABRIEL ANTONIO OLIVEIRA</v>
      </c>
      <c r="C561" s="11" t="str">
        <f ca="1">IFERROR(__xludf.dummyfunction("QUERY(IPAMERI!C5:C6)"),"7177133")</f>
        <v>7177133</v>
      </c>
      <c r="D561" s="11" t="str">
        <f ca="1">IFERROR(__xludf.dummyfunction("QUERY(IPAMERI!D5:D6)"),"06462211164")</f>
        <v>06462211164</v>
      </c>
      <c r="E561" s="11" t="str">
        <f ca="1">IFERROR(__xludf.dummyfunction("QUERY(IPAMERI!E5:E6)"),"GAAHOLIVEIRA45@GMAIL.COM")</f>
        <v>GAAHOLIVEIRA45@GMAIL.COM</v>
      </c>
      <c r="F561" s="11" t="str">
        <f ca="1">IFERROR(__xludf.dummyfunction("QUERY(IPAMERI!F5:F6)"),"(64) 34913327")</f>
        <v>(64) 34913327</v>
      </c>
      <c r="G561" s="11" t="str">
        <f ca="1">IFERROR(__xludf.dummyfunction("QUERY(IPAMERI!G5:G6)"),"(64) 999311006")</f>
        <v>(64) 999311006</v>
      </c>
      <c r="H561" s="11" t="str">
        <f ca="1">IFERROR(__xludf.dummyfunction("QUERY(IPAMERI!H5:H6)"),"SUPERIOR")</f>
        <v>SUPERIOR</v>
      </c>
      <c r="I561" s="10" t="str">
        <f ca="1">IFERROR(__xludf.dummyfunction("QUERY(IPAMERI!I5:I6)"),"DIREITO")</f>
        <v>DIREITO</v>
      </c>
      <c r="J561" s="10" t="str">
        <f ca="1">IFERROR(__xludf.dummyfunction("QUERY(IPAMERI!J5:J6)"),"MANHÃ")</f>
        <v>MANHÃ</v>
      </c>
      <c r="K561" s="10" t="str">
        <f ca="1">IFERROR(__xludf.dummyfunction("QUERY(IPAMERI!K5:K6)"),"TARDE")</f>
        <v>TARDE</v>
      </c>
      <c r="L561" s="10" t="str">
        <f ca="1">IFERROR(__xludf.dummyfunction("QUERY(IPAMERI!L5:L6)"),"IPAMERI - GO")</f>
        <v>IPAMERI - GO</v>
      </c>
      <c r="M561" s="10">
        <f ca="1">IFERROR(__xludf.dummyfunction("QUERY(IPAMERI!M5:M6)"),5)</f>
        <v>5</v>
      </c>
      <c r="N561" s="10" t="str">
        <f ca="1">IFERROR(__xludf.dummyfunction("QUERY(IPAMERI!N5:N6)"),"CONTRATADO")</f>
        <v>CONTRATADO</v>
      </c>
      <c r="O561" s="11" t="str">
        <f ca="1">IFERROR(__xludf.dummyfunction("QUERY(IPAMERI!O5:O6)"),"")</f>
        <v/>
      </c>
      <c r="P561" s="11" t="str">
        <f ca="1">IFERROR(__xludf.dummyfunction("QUERY(IPAMERI!P5:P6)"),"")</f>
        <v/>
      </c>
      <c r="Q561" s="11" t="str">
        <f ca="1">IFERROR(__xludf.dummyfunction("QUERY(IPAMERI!Q5:Q6)"),"")</f>
        <v/>
      </c>
      <c r="R561" s="11" t="str">
        <f ca="1">IFERROR(__xludf.dummyfunction("QUERY(IPAMERI!R5:R6)"),"")</f>
        <v/>
      </c>
    </row>
    <row r="562" spans="1:18">
      <c r="A562" s="10">
        <f ca="1">IFERROR(__xludf.dummyfunction("""COMPUTED_VALUE"""),2)</f>
        <v>2</v>
      </c>
      <c r="B562" s="11" t="str">
        <f ca="1">IFERROR(__xludf.dummyfunction("""COMPUTED_VALUE"""),"ANA BEATRIZ DA SILVA PEIXOTO")</f>
        <v>ANA BEATRIZ DA SILVA PEIXOTO</v>
      </c>
      <c r="C562" s="11"/>
      <c r="D562" s="11" t="str">
        <f ca="1">IFERROR(__xludf.dummyfunction("""COMPUTED_VALUE"""),"04377408119")</f>
        <v>04377408119</v>
      </c>
      <c r="E562" s="11" t="str">
        <f ca="1">IFERROR(__xludf.dummyfunction("""COMPUTED_VALUE"""),"ANABEATRIZDASILVAPEIXOTO@HOTMAIL.COM")</f>
        <v>ANABEATRIZDASILVAPEIXOTO@HOTMAIL.COM</v>
      </c>
      <c r="F562" s="11"/>
      <c r="G562" s="11" t="str">
        <f ca="1">IFERROR(__xludf.dummyfunction("""COMPUTED_VALUE"""),"(64) 992825783")</f>
        <v>(64) 992825783</v>
      </c>
      <c r="H562" s="11" t="str">
        <f ca="1">IFERROR(__xludf.dummyfunction("""COMPUTED_VALUE"""),"SUPERIOR")</f>
        <v>SUPERIOR</v>
      </c>
      <c r="I562" s="10" t="str">
        <f ca="1">IFERROR(__xludf.dummyfunction("""COMPUTED_VALUE"""),"DIREITO")</f>
        <v>DIREITO</v>
      </c>
      <c r="J562" s="10" t="str">
        <f ca="1">IFERROR(__xludf.dummyfunction("""COMPUTED_VALUE"""),"NOITE")</f>
        <v>NOITE</v>
      </c>
      <c r="K562" s="10" t="str">
        <f ca="1">IFERROR(__xludf.dummyfunction("""COMPUTED_VALUE"""),"TARDE")</f>
        <v>TARDE</v>
      </c>
      <c r="L562" s="10" t="str">
        <f ca="1">IFERROR(__xludf.dummyfunction("""COMPUTED_VALUE"""),"IPAMERI - GO")</f>
        <v>IPAMERI - GO</v>
      </c>
      <c r="M562" s="10">
        <f ca="1">IFERROR(__xludf.dummyfunction("""COMPUTED_VALUE"""),8)</f>
        <v>8</v>
      </c>
      <c r="N562" s="10" t="str">
        <f ca="1">IFERROR(__xludf.dummyfunction("""COMPUTED_VALUE"""),"DISPONÍVEL")</f>
        <v>DISPONÍVEL</v>
      </c>
      <c r="O562" s="11"/>
      <c r="P562" s="11"/>
      <c r="Q562" s="11"/>
      <c r="R562" s="11"/>
    </row>
    <row r="563" spans="1:18">
      <c r="A563" s="10">
        <f ca="1">IFERROR(__xludf.dummyfunction("QUERY('IPORÁ'!A5:A15)"),1)</f>
        <v>1</v>
      </c>
      <c r="B563" s="11" t="str">
        <f ca="1">IFERROR(__xludf.dummyfunction("QUERY('IPORÁ'!B5:B15)"),"ANDRÉ LUIS MARTINS PAIVA")</f>
        <v>ANDRÉ LUIS MARTINS PAIVA</v>
      </c>
      <c r="C563" s="11" t="str">
        <f ca="1">IFERROR(__xludf.dummyfunction("QUERY('IPORÁ'!C5:C15)"),"")</f>
        <v/>
      </c>
      <c r="D563" s="11" t="str">
        <f ca="1">IFERROR(__xludf.dummyfunction("QUERY('IPORÁ'!D5:D15)"),"70872087131")</f>
        <v>70872087131</v>
      </c>
      <c r="E563" s="11" t="str">
        <f ca="1">IFERROR(__xludf.dummyfunction("QUERY('IPORÁ'!E5:E15)"),"ANDREPAIVA1412@GMAIL.COM")</f>
        <v>ANDREPAIVA1412@GMAIL.COM</v>
      </c>
      <c r="F563" s="11" t="str">
        <f ca="1">IFERROR(__xludf.dummyfunction("QUERY('IPORÁ'!F5:F15)"),"(64) 36742059")</f>
        <v>(64) 36742059</v>
      </c>
      <c r="G563" s="11" t="str">
        <f ca="1">IFERROR(__xludf.dummyfunction("QUERY('IPORÁ'!G5:G15)"),"(64) 984193527")</f>
        <v>(64) 984193527</v>
      </c>
      <c r="H563" s="11" t="str">
        <f ca="1">IFERROR(__xludf.dummyfunction("QUERY('IPORÁ'!H5:H15)"),"SUPERIOR")</f>
        <v>SUPERIOR</v>
      </c>
      <c r="I563" s="10" t="str">
        <f ca="1">IFERROR(__xludf.dummyfunction("QUERY('IPORÁ'!I5:I15)"),"DIREITO")</f>
        <v>DIREITO</v>
      </c>
      <c r="J563" s="10" t="str">
        <f ca="1">IFERROR(__xludf.dummyfunction("QUERY('IPORÁ'!J5:J15)"),"MANHÃ")</f>
        <v>MANHÃ</v>
      </c>
      <c r="K563" s="10" t="str">
        <f ca="1">IFERROR(__xludf.dummyfunction("QUERY('IPORÁ'!K5:K15)"),"TARDE")</f>
        <v>TARDE</v>
      </c>
      <c r="L563" s="10" t="str">
        <f ca="1">IFERROR(__xludf.dummyfunction("QUERY('IPORÁ'!L5:L15)"),"IPORÁ - GO")</f>
        <v>IPORÁ - GO</v>
      </c>
      <c r="M563" s="10">
        <f ca="1">IFERROR(__xludf.dummyfunction("QUERY('IPORÁ'!M5:M15)"),6)</f>
        <v>6</v>
      </c>
      <c r="N563" s="10" t="str">
        <f ca="1">IFERROR(__xludf.dummyfunction("QUERY('IPORÁ'!N5:N15)"),"DISPONÍVEL")</f>
        <v>DISPONÍVEL</v>
      </c>
      <c r="O563" s="11" t="str">
        <f ca="1">IFERROR(__xludf.dummyfunction("QUERY('IPORÁ'!O5:O15)"),"")</f>
        <v/>
      </c>
      <c r="P563" s="11" t="str">
        <f ca="1">IFERROR(__xludf.dummyfunction("QUERY('IPORÁ'!P5:P15)"),"")</f>
        <v/>
      </c>
      <c r="Q563" s="11" t="str">
        <f ca="1">IFERROR(__xludf.dummyfunction("QUERY('IPORÁ'!Q5:Q15)"),"")</f>
        <v/>
      </c>
      <c r="R563" s="11" t="str">
        <f ca="1">IFERROR(__xludf.dummyfunction("QUERY('IPORÁ'!R5:R15)"),"")</f>
        <v/>
      </c>
    </row>
    <row r="564" spans="1:18">
      <c r="A564" s="10">
        <f ca="1">IFERROR(__xludf.dummyfunction("""COMPUTED_VALUE"""),2)</f>
        <v>2</v>
      </c>
      <c r="B564" s="11" t="str">
        <f ca="1">IFERROR(__xludf.dummyfunction("""COMPUTED_VALUE"""),"ANA LUISA DINIZ MAGALHÃES")</f>
        <v>ANA LUISA DINIZ MAGALHÃES</v>
      </c>
      <c r="C564" s="11"/>
      <c r="D564" s="11" t="str">
        <f ca="1">IFERROR(__xludf.dummyfunction("""COMPUTED_VALUE"""),"04856319116")</f>
        <v>04856319116</v>
      </c>
      <c r="E564" s="11" t="str">
        <f ca="1">IFERROR(__xludf.dummyfunction("""COMPUTED_VALUE"""),"ANALUISADINIZM@GMAIL.COM")</f>
        <v>ANALUISADINIZM@GMAIL.COM</v>
      </c>
      <c r="F564" s="11" t="str">
        <f ca="1">IFERROR(__xludf.dummyfunction("""COMPUTED_VALUE"""),"(64) 98171609")</f>
        <v>(64) 98171609</v>
      </c>
      <c r="G564" s="11" t="str">
        <f ca="1">IFERROR(__xludf.dummyfunction("""COMPUTED_VALUE"""),"(64) 981716099")</f>
        <v>(64) 981716099</v>
      </c>
      <c r="H564" s="11" t="str">
        <f ca="1">IFERROR(__xludf.dummyfunction("""COMPUTED_VALUE"""),"SUPERIOR")</f>
        <v>SUPERIOR</v>
      </c>
      <c r="I564" s="10" t="str">
        <f ca="1">IFERROR(__xludf.dummyfunction("""COMPUTED_VALUE"""),"DIREITO")</f>
        <v>DIREITO</v>
      </c>
      <c r="J564" s="10" t="str">
        <f ca="1">IFERROR(__xludf.dummyfunction("""COMPUTED_VALUE"""),"MANHÃ")</f>
        <v>MANHÃ</v>
      </c>
      <c r="K564" s="10" t="str">
        <f ca="1">IFERROR(__xludf.dummyfunction("""COMPUTED_VALUE"""),"TARDE")</f>
        <v>TARDE</v>
      </c>
      <c r="L564" s="10" t="str">
        <f ca="1">IFERROR(__xludf.dummyfunction("""COMPUTED_VALUE"""),"IPORÁ - GO")</f>
        <v>IPORÁ - GO</v>
      </c>
      <c r="M564" s="10">
        <f ca="1">IFERROR(__xludf.dummyfunction("""COMPUTED_VALUE"""),6)</f>
        <v>6</v>
      </c>
      <c r="N564" s="10" t="str">
        <f ca="1">IFERROR(__xludf.dummyfunction("""COMPUTED_VALUE"""),"DISPONÍVEL")</f>
        <v>DISPONÍVEL</v>
      </c>
      <c r="O564" s="11"/>
      <c r="P564" s="11"/>
      <c r="Q564" s="11"/>
      <c r="R564" s="11"/>
    </row>
    <row r="565" spans="1:18">
      <c r="A565" s="10">
        <f ca="1">IFERROR(__xludf.dummyfunction("""COMPUTED_VALUE"""),3)</f>
        <v>3</v>
      </c>
      <c r="B565" s="11" t="str">
        <f ca="1">IFERROR(__xludf.dummyfunction("""COMPUTED_VALUE"""),"HIAGO AUGUSTO SILVA MATIAS")</f>
        <v>HIAGO AUGUSTO SILVA MATIAS</v>
      </c>
      <c r="C565" s="11" t="str">
        <f ca="1">IFERROR(__xludf.dummyfunction("""COMPUTED_VALUE"""),"7170178")</f>
        <v>7170178</v>
      </c>
      <c r="D565" s="11" t="str">
        <f ca="1">IFERROR(__xludf.dummyfunction("""COMPUTED_VALUE"""),"08625463118")</f>
        <v>08625463118</v>
      </c>
      <c r="E565" s="11" t="str">
        <f ca="1">IFERROR(__xludf.dummyfunction("""COMPUTED_VALUE"""),"HIAGO13MATIAS13@HOTMAIL.COM")</f>
        <v>HIAGO13MATIAS13@HOTMAIL.COM</v>
      </c>
      <c r="F565" s="11" t="str">
        <f ca="1">IFERROR(__xludf.dummyfunction("""COMPUTED_VALUE"""),"(64) 36744688")</f>
        <v>(64) 36744688</v>
      </c>
      <c r="G565" s="11" t="str">
        <f ca="1">IFERROR(__xludf.dummyfunction("""COMPUTED_VALUE"""),"(64) 984128798")</f>
        <v>(64) 984128798</v>
      </c>
      <c r="H565" s="11" t="str">
        <f ca="1">IFERROR(__xludf.dummyfunction("""COMPUTED_VALUE"""),"SUPERIOR")</f>
        <v>SUPERIOR</v>
      </c>
      <c r="I565" s="10" t="str">
        <f ca="1">IFERROR(__xludf.dummyfunction("""COMPUTED_VALUE"""),"DIREITO")</f>
        <v>DIREITO</v>
      </c>
      <c r="J565" s="10" t="str">
        <f ca="1">IFERROR(__xludf.dummyfunction("""COMPUTED_VALUE"""),"MANHÃ")</f>
        <v>MANHÃ</v>
      </c>
      <c r="K565" s="10" t="str">
        <f ca="1">IFERROR(__xludf.dummyfunction("""COMPUTED_VALUE"""),"TARDE")</f>
        <v>TARDE</v>
      </c>
      <c r="L565" s="10" t="str">
        <f ca="1">IFERROR(__xludf.dummyfunction("""COMPUTED_VALUE"""),"IPORÁ - GO")</f>
        <v>IPORÁ - GO</v>
      </c>
      <c r="M565" s="10">
        <f ca="1">IFERROR(__xludf.dummyfunction("""COMPUTED_VALUE"""),6)</f>
        <v>6</v>
      </c>
      <c r="N565" s="10" t="str">
        <f ca="1">IFERROR(__xludf.dummyfunction("""COMPUTED_VALUE"""),"DISPONÍVEL")</f>
        <v>DISPONÍVEL</v>
      </c>
      <c r="O565" s="11"/>
      <c r="P565" s="11"/>
      <c r="Q565" s="11"/>
      <c r="R565" s="11"/>
    </row>
    <row r="566" spans="1:18">
      <c r="A566" s="10">
        <f ca="1">IFERROR(__xludf.dummyfunction("""COMPUTED_VALUE"""),4)</f>
        <v>4</v>
      </c>
      <c r="B566" s="11" t="str">
        <f ca="1">IFERROR(__xludf.dummyfunction("""COMPUTED_VALUE"""),"DANIELLE SANTOS BARBOSA")</f>
        <v>DANIELLE SANTOS BARBOSA</v>
      </c>
      <c r="C566" s="11"/>
      <c r="D566" s="11" t="str">
        <f ca="1">IFERROR(__xludf.dummyfunction("""COMPUTED_VALUE"""),"05072109135")</f>
        <v>05072109135</v>
      </c>
      <c r="E566" s="11" t="str">
        <f ca="1">IFERROR(__xludf.dummyfunction("""COMPUTED_VALUE"""),"DANISB1403@GMAIL.COM")</f>
        <v>DANISB1403@GMAIL.COM</v>
      </c>
      <c r="F566" s="11" t="str">
        <f ca="1">IFERROR(__xludf.dummyfunction("""COMPUTED_VALUE"""),"(64) 92243819")</f>
        <v>(64) 92243819</v>
      </c>
      <c r="G566" s="11" t="str">
        <f ca="1">IFERROR(__xludf.dummyfunction("""COMPUTED_VALUE"""),"(64) 992243819")</f>
        <v>(64) 992243819</v>
      </c>
      <c r="H566" s="11" t="str">
        <f ca="1">IFERROR(__xludf.dummyfunction("""COMPUTED_VALUE"""),"SUPERIOR")</f>
        <v>SUPERIOR</v>
      </c>
      <c r="I566" s="10" t="str">
        <f ca="1">IFERROR(__xludf.dummyfunction("""COMPUTED_VALUE"""),"DIREITO")</f>
        <v>DIREITO</v>
      </c>
      <c r="J566" s="10" t="str">
        <f ca="1">IFERROR(__xludf.dummyfunction("""COMPUTED_VALUE"""),"MANHÃ")</f>
        <v>MANHÃ</v>
      </c>
      <c r="K566" s="10" t="str">
        <f ca="1">IFERROR(__xludf.dummyfunction("""COMPUTED_VALUE"""),"TARDE")</f>
        <v>TARDE</v>
      </c>
      <c r="L566" s="10" t="str">
        <f ca="1">IFERROR(__xludf.dummyfunction("""COMPUTED_VALUE"""),"IPORÁ - GO")</f>
        <v>IPORÁ - GO</v>
      </c>
      <c r="M566" s="10">
        <f ca="1">IFERROR(__xludf.dummyfunction("""COMPUTED_VALUE"""),6)</f>
        <v>6</v>
      </c>
      <c r="N566" s="10" t="str">
        <f ca="1">IFERROR(__xludf.dummyfunction("""COMPUTED_VALUE"""),"DISPONÍVEL")</f>
        <v>DISPONÍVEL</v>
      </c>
      <c r="O566" s="11"/>
      <c r="P566" s="11"/>
      <c r="Q566" s="11"/>
      <c r="R566" s="11"/>
    </row>
    <row r="567" spans="1:18">
      <c r="A567" s="10">
        <f ca="1">IFERROR(__xludf.dummyfunction("""COMPUTED_VALUE"""),5)</f>
        <v>5</v>
      </c>
      <c r="B567" s="11" t="str">
        <f ca="1">IFERROR(__xludf.dummyfunction("""COMPUTED_VALUE"""),"ANA LAURA DINIZ MAGALHÃES")</f>
        <v>ANA LAURA DINIZ MAGALHÃES</v>
      </c>
      <c r="C567" s="11"/>
      <c r="D567" s="11" t="str">
        <f ca="1">IFERROR(__xludf.dummyfunction("""COMPUTED_VALUE"""),"04856320122")</f>
        <v>04856320122</v>
      </c>
      <c r="E567" s="11" t="str">
        <f ca="1">IFERROR(__xludf.dummyfunction("""COMPUTED_VALUE"""),"ANALAURADINIZM@GMAIL.COM")</f>
        <v>ANALAURADINIZM@GMAIL.COM</v>
      </c>
      <c r="F567" s="11"/>
      <c r="G567" s="11" t="str">
        <f ca="1">IFERROR(__xludf.dummyfunction("""COMPUTED_VALUE"""),"(64) 984017621")</f>
        <v>(64) 984017621</v>
      </c>
      <c r="H567" s="11" t="str">
        <f ca="1">IFERROR(__xludf.dummyfunction("""COMPUTED_VALUE"""),"SUPERIOR")</f>
        <v>SUPERIOR</v>
      </c>
      <c r="I567" s="10" t="str">
        <f ca="1">IFERROR(__xludf.dummyfunction("""COMPUTED_VALUE"""),"DIREITO")</f>
        <v>DIREITO</v>
      </c>
      <c r="J567" s="10" t="str">
        <f ca="1">IFERROR(__xludf.dummyfunction("""COMPUTED_VALUE"""),"MANHÃ")</f>
        <v>MANHÃ</v>
      </c>
      <c r="K567" s="10" t="str">
        <f ca="1">IFERROR(__xludf.dummyfunction("""COMPUTED_VALUE"""),"TARDE")</f>
        <v>TARDE</v>
      </c>
      <c r="L567" s="10" t="str">
        <f ca="1">IFERROR(__xludf.dummyfunction("""COMPUTED_VALUE"""),"IPORÁ - GO")</f>
        <v>IPORÁ - GO</v>
      </c>
      <c r="M567" s="10">
        <f ca="1">IFERROR(__xludf.dummyfunction("""COMPUTED_VALUE"""),6)</f>
        <v>6</v>
      </c>
      <c r="N567" s="10" t="str">
        <f ca="1">IFERROR(__xludf.dummyfunction("""COMPUTED_VALUE"""),"DISPONÍVEL")</f>
        <v>DISPONÍVEL</v>
      </c>
      <c r="O567" s="11"/>
      <c r="P567" s="11"/>
      <c r="Q567" s="11"/>
      <c r="R567" s="11"/>
    </row>
    <row r="568" spans="1:18">
      <c r="A568" s="10">
        <f ca="1">IFERROR(__xludf.dummyfunction("""COMPUTED_VALUE"""),6)</f>
        <v>6</v>
      </c>
      <c r="B568" s="11" t="str">
        <f ca="1">IFERROR(__xludf.dummyfunction("""COMPUTED_VALUE"""),"DOGLLAS PEREIRA BRITO")</f>
        <v>DOGLLAS PEREIRA BRITO</v>
      </c>
      <c r="C568" s="11"/>
      <c r="D568" s="11" t="str">
        <f ca="1">IFERROR(__xludf.dummyfunction("""COMPUTED_VALUE"""),"04008458140")</f>
        <v>04008458140</v>
      </c>
      <c r="E568" s="11" t="str">
        <f ca="1">IFERROR(__xludf.dummyfunction("""COMPUTED_VALUE"""),"DOGLLAS4@GMAIL.COM")</f>
        <v>DOGLLAS4@GMAIL.COM</v>
      </c>
      <c r="F568" s="11"/>
      <c r="G568" s="11" t="str">
        <f ca="1">IFERROR(__xludf.dummyfunction("""COMPUTED_VALUE"""),"(66) 992545270")</f>
        <v>(66) 992545270</v>
      </c>
      <c r="H568" s="11" t="str">
        <f ca="1">IFERROR(__xludf.dummyfunction("""COMPUTED_VALUE"""),"SUPERIOR")</f>
        <v>SUPERIOR</v>
      </c>
      <c r="I568" s="10" t="str">
        <f ca="1">IFERROR(__xludf.dummyfunction("""COMPUTED_VALUE"""),"DIREITO")</f>
        <v>DIREITO</v>
      </c>
      <c r="J568" s="10" t="str">
        <f ca="1">IFERROR(__xludf.dummyfunction("""COMPUTED_VALUE"""),"MANHÃ")</f>
        <v>MANHÃ</v>
      </c>
      <c r="K568" s="10" t="str">
        <f ca="1">IFERROR(__xludf.dummyfunction("""COMPUTED_VALUE"""),"TARDE")</f>
        <v>TARDE</v>
      </c>
      <c r="L568" s="10" t="str">
        <f ca="1">IFERROR(__xludf.dummyfunction("""COMPUTED_VALUE"""),"IPORÁ - GO")</f>
        <v>IPORÁ - GO</v>
      </c>
      <c r="M568" s="10">
        <f ca="1">IFERROR(__xludf.dummyfunction("""COMPUTED_VALUE"""),5)</f>
        <v>5</v>
      </c>
      <c r="N568" s="10" t="str">
        <f ca="1">IFERROR(__xludf.dummyfunction("""COMPUTED_VALUE"""),"DISPONÍVEL")</f>
        <v>DISPONÍVEL</v>
      </c>
      <c r="O568" s="11"/>
      <c r="P568" s="11"/>
      <c r="Q568" s="11"/>
      <c r="R568" s="11"/>
    </row>
    <row r="569" spans="1:18">
      <c r="A569" s="10">
        <f ca="1">IFERROR(__xludf.dummyfunction("""COMPUTED_VALUE"""),7)</f>
        <v>7</v>
      </c>
      <c r="B569" s="11" t="str">
        <f ca="1">IFERROR(__xludf.dummyfunction("""COMPUTED_VALUE"""),"JULIANA PIRES PAES")</f>
        <v>JULIANA PIRES PAES</v>
      </c>
      <c r="C569" s="11"/>
      <c r="D569" s="11" t="str">
        <f ca="1">IFERROR(__xludf.dummyfunction("""COMPUTED_VALUE"""),"06681155138")</f>
        <v>06681155138</v>
      </c>
      <c r="E569" s="11" t="str">
        <f ca="1">IFERROR(__xludf.dummyfunction("""COMPUTED_VALUE"""),"JULLIANAPAES14@GMAIL.COM")</f>
        <v>JULLIANAPAES14@GMAIL.COM</v>
      </c>
      <c r="F569" s="11"/>
      <c r="G569" s="11" t="str">
        <f ca="1">IFERROR(__xludf.dummyfunction("""COMPUTED_VALUE"""),"(64) 984428846")</f>
        <v>(64) 984428846</v>
      </c>
      <c r="H569" s="11" t="str">
        <f ca="1">IFERROR(__xludf.dummyfunction("""COMPUTED_VALUE"""),"SUPERIOR")</f>
        <v>SUPERIOR</v>
      </c>
      <c r="I569" s="10" t="str">
        <f ca="1">IFERROR(__xludf.dummyfunction("""COMPUTED_VALUE"""),"DIREITO")</f>
        <v>DIREITO</v>
      </c>
      <c r="J569" s="10" t="str">
        <f ca="1">IFERROR(__xludf.dummyfunction("""COMPUTED_VALUE"""),"MANHÃ")</f>
        <v>MANHÃ</v>
      </c>
      <c r="K569" s="10" t="str">
        <f ca="1">IFERROR(__xludf.dummyfunction("""COMPUTED_VALUE"""),"TARDE")</f>
        <v>TARDE</v>
      </c>
      <c r="L569" s="10" t="str">
        <f ca="1">IFERROR(__xludf.dummyfunction("""COMPUTED_VALUE"""),"IPORÁ - GO")</f>
        <v>IPORÁ - GO</v>
      </c>
      <c r="M569" s="10">
        <f ca="1">IFERROR(__xludf.dummyfunction("""COMPUTED_VALUE"""),8)</f>
        <v>8</v>
      </c>
      <c r="N569" s="10" t="str">
        <f ca="1">IFERROR(__xludf.dummyfunction("""COMPUTED_VALUE"""),"DISPONÍVEL")</f>
        <v>DISPONÍVEL</v>
      </c>
      <c r="O569" s="11"/>
      <c r="P569" s="11"/>
      <c r="Q569" s="11"/>
      <c r="R569" s="11"/>
    </row>
    <row r="570" spans="1:18">
      <c r="A570" s="10">
        <f ca="1">IFERROR(__xludf.dummyfunction("""COMPUTED_VALUE"""),8)</f>
        <v>8</v>
      </c>
      <c r="B570" s="11" t="str">
        <f ca="1">IFERROR(__xludf.dummyfunction("""COMPUTED_VALUE"""),"ANA BEATRIZ ROCHA SILVA")</f>
        <v>ANA BEATRIZ ROCHA SILVA</v>
      </c>
      <c r="C570" s="11"/>
      <c r="D570" s="11" t="str">
        <f ca="1">IFERROR(__xludf.dummyfunction("""COMPUTED_VALUE"""),"04723696105")</f>
        <v>04723696105</v>
      </c>
      <c r="E570" s="11" t="str">
        <f ca="1">IFERROR(__xludf.dummyfunction("""COMPUTED_VALUE"""),"ANAROCHA1302@GMAIL.COM")</f>
        <v>ANAROCHA1302@GMAIL.COM</v>
      </c>
      <c r="F570" s="11" t="str">
        <f ca="1">IFERROR(__xludf.dummyfunction("""COMPUTED_VALUE"""),"(64) 99657461")</f>
        <v>(64) 99657461</v>
      </c>
      <c r="G570" s="11" t="str">
        <f ca="1">IFERROR(__xludf.dummyfunction("""COMPUTED_VALUE"""),"(64) 992029497")</f>
        <v>(64) 992029497</v>
      </c>
      <c r="H570" s="11" t="str">
        <f ca="1">IFERROR(__xludf.dummyfunction("""COMPUTED_VALUE"""),"SUPERIOR")</f>
        <v>SUPERIOR</v>
      </c>
      <c r="I570" s="10" t="str">
        <f ca="1">IFERROR(__xludf.dummyfunction("""COMPUTED_VALUE"""),"DIREITO")</f>
        <v>DIREITO</v>
      </c>
      <c r="J570" s="10" t="str">
        <f ca="1">IFERROR(__xludf.dummyfunction("""COMPUTED_VALUE"""),"MANHÃ")</f>
        <v>MANHÃ</v>
      </c>
      <c r="K570" s="10" t="str">
        <f ca="1">IFERROR(__xludf.dummyfunction("""COMPUTED_VALUE"""),"TARDE")</f>
        <v>TARDE</v>
      </c>
      <c r="L570" s="10" t="str">
        <f ca="1">IFERROR(__xludf.dummyfunction("""COMPUTED_VALUE"""),"IPORÁ - GO")</f>
        <v>IPORÁ - GO</v>
      </c>
      <c r="M570" s="10">
        <f ca="1">IFERROR(__xludf.dummyfunction("""COMPUTED_VALUE"""),6)</f>
        <v>6</v>
      </c>
      <c r="N570" s="10" t="str">
        <f ca="1">IFERROR(__xludf.dummyfunction("""COMPUTED_VALUE"""),"DISPONÍVEL")</f>
        <v>DISPONÍVEL</v>
      </c>
      <c r="O570" s="11"/>
      <c r="P570" s="11"/>
      <c r="Q570" s="11"/>
      <c r="R570" s="11"/>
    </row>
    <row r="571" spans="1:18">
      <c r="A571" s="10">
        <f ca="1">IFERROR(__xludf.dummyfunction("""COMPUTED_VALUE"""),9)</f>
        <v>9</v>
      </c>
      <c r="B571" s="11" t="str">
        <f ca="1">IFERROR(__xludf.dummyfunction("""COMPUTED_VALUE"""),"BRUNA CÁSSIA FERNANDES CARVALHO")</f>
        <v>BRUNA CÁSSIA FERNANDES CARVALHO</v>
      </c>
      <c r="C571" s="11"/>
      <c r="D571" s="11" t="str">
        <f ca="1">IFERROR(__xludf.dummyfunction("""COMPUTED_VALUE"""),"06871797181")</f>
        <v>06871797181</v>
      </c>
      <c r="E571" s="11" t="str">
        <f ca="1">IFERROR(__xludf.dummyfunction("""COMPUTED_VALUE"""),"BRUNINHACARVALHO2002@GMAIL.COM")</f>
        <v>BRUNINHACARVALHO2002@GMAIL.COM</v>
      </c>
      <c r="F571" s="11"/>
      <c r="G571" s="11" t="str">
        <f ca="1">IFERROR(__xludf.dummyfunction("""COMPUTED_VALUE"""),"(64) 993294795")</f>
        <v>(64) 993294795</v>
      </c>
      <c r="H571" s="11" t="str">
        <f ca="1">IFERROR(__xludf.dummyfunction("""COMPUTED_VALUE"""),"SUPERIOR")</f>
        <v>SUPERIOR</v>
      </c>
      <c r="I571" s="10" t="str">
        <f ca="1">IFERROR(__xludf.dummyfunction("""COMPUTED_VALUE"""),"DIREITO")</f>
        <v>DIREITO</v>
      </c>
      <c r="J571" s="10" t="str">
        <f ca="1">IFERROR(__xludf.dummyfunction("""COMPUTED_VALUE"""),"NOITE")</f>
        <v>NOITE</v>
      </c>
      <c r="K571" s="10" t="str">
        <f ca="1">IFERROR(__xludf.dummyfunction("""COMPUTED_VALUE"""),"TARDE")</f>
        <v>TARDE</v>
      </c>
      <c r="L571" s="10" t="str">
        <f ca="1">IFERROR(__xludf.dummyfunction("""COMPUTED_VALUE"""),"IPORÁ - GO")</f>
        <v>IPORÁ - GO</v>
      </c>
      <c r="M571" s="10">
        <f ca="1">IFERROR(__xludf.dummyfunction("""COMPUTED_VALUE"""),5)</f>
        <v>5</v>
      </c>
      <c r="N571" s="10" t="str">
        <f ca="1">IFERROR(__xludf.dummyfunction("""COMPUTED_VALUE"""),"DISPONÍVEL")</f>
        <v>DISPONÍVEL</v>
      </c>
      <c r="O571" s="11"/>
      <c r="P571" s="11"/>
      <c r="Q571" s="11"/>
      <c r="R571" s="11"/>
    </row>
    <row r="572" spans="1:18">
      <c r="A572" s="10">
        <f ca="1">IFERROR(__xludf.dummyfunction("""COMPUTED_VALUE"""),10)</f>
        <v>10</v>
      </c>
      <c r="B572" s="11" t="str">
        <f ca="1">IFERROR(__xludf.dummyfunction("""COMPUTED_VALUE"""),"THAYANE KAROLINE COSTA PIRES")</f>
        <v>THAYANE KAROLINE COSTA PIRES</v>
      </c>
      <c r="C572" s="11"/>
      <c r="D572" s="11" t="str">
        <f ca="1">IFERROR(__xludf.dummyfunction("""COMPUTED_VALUE"""),"06867884199")</f>
        <v>06867884199</v>
      </c>
      <c r="E572" s="11" t="str">
        <f ca="1">IFERROR(__xludf.dummyfunction("""COMPUTED_VALUE"""),"THAYANEKAROLINE86@GMAIL.COM")</f>
        <v>THAYANEKAROLINE86@GMAIL.COM</v>
      </c>
      <c r="F572" s="11" t="str">
        <f ca="1">IFERROR(__xludf.dummyfunction("""COMPUTED_VALUE"""),"(64) 36742208")</f>
        <v>(64) 36742208</v>
      </c>
      <c r="G572" s="11" t="str">
        <f ca="1">IFERROR(__xludf.dummyfunction("""COMPUTED_VALUE"""),"(64) 984599138")</f>
        <v>(64) 984599138</v>
      </c>
      <c r="H572" s="11" t="str">
        <f ca="1">IFERROR(__xludf.dummyfunction("""COMPUTED_VALUE"""),"SUPERIOR")</f>
        <v>SUPERIOR</v>
      </c>
      <c r="I572" s="10" t="str">
        <f ca="1">IFERROR(__xludf.dummyfunction("""COMPUTED_VALUE"""),"DIREITO")</f>
        <v>DIREITO</v>
      </c>
      <c r="J572" s="10" t="str">
        <f ca="1">IFERROR(__xludf.dummyfunction("""COMPUTED_VALUE"""),"MANHÃ")</f>
        <v>MANHÃ</v>
      </c>
      <c r="K572" s="10" t="str">
        <f ca="1">IFERROR(__xludf.dummyfunction("""COMPUTED_VALUE"""),"TARDE")</f>
        <v>TARDE</v>
      </c>
      <c r="L572" s="10" t="str">
        <f ca="1">IFERROR(__xludf.dummyfunction("""COMPUTED_VALUE"""),"IPORÁ - GO")</f>
        <v>IPORÁ - GO</v>
      </c>
      <c r="M572" s="10">
        <f ca="1">IFERROR(__xludf.dummyfunction("""COMPUTED_VALUE"""),6)</f>
        <v>6</v>
      </c>
      <c r="N572" s="10" t="str">
        <f ca="1">IFERROR(__xludf.dummyfunction("""COMPUTED_VALUE"""),"DISPONÍVEL")</f>
        <v>DISPONÍVEL</v>
      </c>
      <c r="O572" s="11"/>
      <c r="P572" s="11"/>
      <c r="Q572" s="11"/>
      <c r="R572" s="11"/>
    </row>
    <row r="573" spans="1:18">
      <c r="A573" s="10">
        <f ca="1">IFERROR(__xludf.dummyfunction("""COMPUTED_VALUE"""),11)</f>
        <v>11</v>
      </c>
      <c r="B573" s="11" t="str">
        <f ca="1">IFERROR(__xludf.dummyfunction("""COMPUTED_VALUE"""),"ISTEFANI SOUSA GUEDES")</f>
        <v>ISTEFANI SOUSA GUEDES</v>
      </c>
      <c r="C573" s="11"/>
      <c r="D573" s="11" t="str">
        <f ca="1">IFERROR(__xludf.dummyfunction("""COMPUTED_VALUE"""),"08044018107")</f>
        <v>08044018107</v>
      </c>
      <c r="E573" s="11" t="str">
        <f ca="1">IFERROR(__xludf.dummyfunction("""COMPUTED_VALUE"""),"ISTEFANIGUEDES15@GMAIL.COM")</f>
        <v>ISTEFANIGUEDES15@GMAIL.COM</v>
      </c>
      <c r="F573" s="11"/>
      <c r="G573" s="11" t="str">
        <f ca="1">IFERROR(__xludf.dummyfunction("""COMPUTED_VALUE"""),"(64) 999843019")</f>
        <v>(64) 999843019</v>
      </c>
      <c r="H573" s="11" t="str">
        <f ca="1">IFERROR(__xludf.dummyfunction("""COMPUTED_VALUE"""),"SUPERIOR")</f>
        <v>SUPERIOR</v>
      </c>
      <c r="I573" s="10" t="str">
        <f ca="1">IFERROR(__xludf.dummyfunction("""COMPUTED_VALUE"""),"DIREITO")</f>
        <v>DIREITO</v>
      </c>
      <c r="J573" s="10" t="str">
        <f ca="1">IFERROR(__xludf.dummyfunction("""COMPUTED_VALUE"""),"NOITE")</f>
        <v>NOITE</v>
      </c>
      <c r="K573" s="10" t="str">
        <f ca="1">IFERROR(__xludf.dummyfunction("""COMPUTED_VALUE"""),"TARDE")</f>
        <v>TARDE</v>
      </c>
      <c r="L573" s="10" t="str">
        <f ca="1">IFERROR(__xludf.dummyfunction("""COMPUTED_VALUE"""),"IPORÁ - GO")</f>
        <v>IPORÁ - GO</v>
      </c>
      <c r="M573" s="10">
        <f ca="1">IFERROR(__xludf.dummyfunction("""COMPUTED_VALUE"""),5)</f>
        <v>5</v>
      </c>
      <c r="N573" s="10" t="str">
        <f ca="1">IFERROR(__xludf.dummyfunction("""COMPUTED_VALUE"""),"DISPONÍVEL")</f>
        <v>DISPONÍVEL</v>
      </c>
      <c r="O573" s="11"/>
      <c r="P573" s="11"/>
      <c r="Q573" s="11"/>
      <c r="R573" s="11"/>
    </row>
    <row r="574" spans="1:18">
      <c r="A574" s="10">
        <f ca="1">IFERROR(__xludf.dummyfunction("QUERY('ISRAELÂNDIA'!A5)"),1)</f>
        <v>1</v>
      </c>
      <c r="B574" s="11" t="str">
        <f ca="1">IFERROR(__xludf.dummyfunction("QUERY('ISRAELÂNDIA'!B5)"),"DIONATAN VIEIRA DE ALMEIDA")</f>
        <v>DIONATAN VIEIRA DE ALMEIDA</v>
      </c>
      <c r="C574" s="11" t="str">
        <f ca="1">IFERROR(__xludf.dummyfunction("QUERY('ISRAELÂNDIA'!C5)"),"")</f>
        <v/>
      </c>
      <c r="D574" s="11" t="str">
        <f ca="1">IFERROR(__xludf.dummyfunction("QUERY('ISRAELÂNDIA'!D5)"),"70558387110")</f>
        <v>70558387110</v>
      </c>
      <c r="E574" s="11" t="str">
        <f ca="1">IFERROR(__xludf.dummyfunction("QUERY('ISRAELÂNDIA'!E5)"),"DIONATANVIEIRA78@GMAIL.COM")</f>
        <v>DIONATANVIEIRA78@GMAIL.COM</v>
      </c>
      <c r="F574" s="11" t="str">
        <f ca="1">IFERROR(__xludf.dummyfunction("QUERY('ISRAELÂNDIA'!F5)"),"")</f>
        <v/>
      </c>
      <c r="G574" s="11" t="str">
        <f ca="1">IFERROR(__xludf.dummyfunction("QUERY('ISRAELÂNDIA'!G5)"),"(64) 993046411")</f>
        <v>(64) 993046411</v>
      </c>
      <c r="H574" s="11" t="str">
        <f ca="1">IFERROR(__xludf.dummyfunction("QUERY('ISRAELÂNDIA'!H5)"),"SUPERIOR")</f>
        <v>SUPERIOR</v>
      </c>
      <c r="I574" s="10" t="str">
        <f ca="1">IFERROR(__xludf.dummyfunction("QUERY('ISRAELÂNDIA'!I5)"),"DIREITO")</f>
        <v>DIREITO</v>
      </c>
      <c r="J574" s="10" t="str">
        <f ca="1">IFERROR(__xludf.dummyfunction("QUERY('ISRAELÂNDIA'!J5)"),"MANHÃ")</f>
        <v>MANHÃ</v>
      </c>
      <c r="K574" s="10" t="str">
        <f ca="1">IFERROR(__xludf.dummyfunction("QUERY('ISRAELÂNDIA'!K5)"),"TARDE")</f>
        <v>TARDE</v>
      </c>
      <c r="L574" s="10" t="str">
        <f ca="1">IFERROR(__xludf.dummyfunction("QUERY('ISRAELÂNDIA'!L5)"),"ISRAELÂNDIA - GO")</f>
        <v>ISRAELÂNDIA - GO</v>
      </c>
      <c r="M574" s="10">
        <f ca="1">IFERROR(__xludf.dummyfunction("QUERY('ISRAELÂNDIA'!M5)"),6)</f>
        <v>6</v>
      </c>
      <c r="N574" s="10" t="str">
        <f ca="1">IFERROR(__xludf.dummyfunction("QUERY('ISRAELÂNDIA'!N5)"),"DISPONÍVEL")</f>
        <v>DISPONÍVEL</v>
      </c>
      <c r="O574" s="11" t="str">
        <f ca="1">IFERROR(__xludf.dummyfunction("QUERY('ISRAELÂNDIA'!O5)"),"")</f>
        <v/>
      </c>
      <c r="P574" s="11" t="str">
        <f ca="1">IFERROR(__xludf.dummyfunction("QUERY('ISRAELÂNDIA'!P5)"),"")</f>
        <v/>
      </c>
      <c r="Q574" s="11" t="str">
        <f ca="1">IFERROR(__xludf.dummyfunction("QUERY('ISRAELÂNDIA'!Q5)"),"")</f>
        <v/>
      </c>
      <c r="R574" s="11" t="str">
        <f ca="1">IFERROR(__xludf.dummyfunction("QUERY('ISRAELÂNDIA'!R5)"),"")</f>
        <v/>
      </c>
    </row>
    <row r="575" spans="1:18">
      <c r="A575" s="10">
        <f ca="1">IFERROR(__xludf.dummyfunction("QUERY('ITABERAÍ'!A5:A7)"),1)</f>
        <v>1</v>
      </c>
      <c r="B575" s="11" t="str">
        <f ca="1">IFERROR(__xludf.dummyfunction("QUERY('ITABERAÍ'!B5:B7)"),"KELLY MARIA ARAÚJO RIBEIRO")</f>
        <v>KELLY MARIA ARAÚJO RIBEIRO</v>
      </c>
      <c r="C575" s="11" t="str">
        <f ca="1">IFERROR(__xludf.dummyfunction("QUERY('ITABERAÍ'!C5:C7)"),"")</f>
        <v/>
      </c>
      <c r="D575" s="11" t="str">
        <f ca="1">IFERROR(__xludf.dummyfunction("QUERY('ITABERAÍ'!D5:D7)"),"07614142152")</f>
        <v>07614142152</v>
      </c>
      <c r="E575" s="11" t="str">
        <f ca="1">IFERROR(__xludf.dummyfunction("QUERY('ITABERAÍ'!E5:E7)"),"MARIAKELLY586@GMAIL.COM")</f>
        <v>MARIAKELLY586@GMAIL.COM</v>
      </c>
      <c r="F575" s="11" t="str">
        <f ca="1">IFERROR(__xludf.dummyfunction("QUERY('ITABERAÍ'!F5:F7)"),"")</f>
        <v/>
      </c>
      <c r="G575" s="11" t="str">
        <f ca="1">IFERROR(__xludf.dummyfunction("QUERY('ITABERAÍ'!G5:G7)"),"(62) 999098361")</f>
        <v>(62) 999098361</v>
      </c>
      <c r="H575" s="11" t="str">
        <f ca="1">IFERROR(__xludf.dummyfunction("QUERY('ITABERAÍ'!H5:H7)"),"SUPERIOR")</f>
        <v>SUPERIOR</v>
      </c>
      <c r="I575" s="10" t="str">
        <f ca="1">IFERROR(__xludf.dummyfunction("QUERY('ITABERAÍ'!I5:I7)"),"ADMINISTRAÇÃO")</f>
        <v>ADMINISTRAÇÃO</v>
      </c>
      <c r="J575" s="10" t="str">
        <f ca="1">IFERROR(__xludf.dummyfunction("QUERY('ITABERAÍ'!J5:J7)"),"NOITE")</f>
        <v>NOITE</v>
      </c>
      <c r="K575" s="10" t="str">
        <f ca="1">IFERROR(__xludf.dummyfunction("QUERY('ITABERAÍ'!K5:K7)"),"TARDE")</f>
        <v>TARDE</v>
      </c>
      <c r="L575" s="10" t="str">
        <f ca="1">IFERROR(__xludf.dummyfunction("QUERY('ITABERAÍ'!L5:L7)"),"ITABERAÍ - GO")</f>
        <v>ITABERAÍ - GO</v>
      </c>
      <c r="M575" s="10">
        <f ca="1">IFERROR(__xludf.dummyfunction("QUERY('ITABERAÍ'!M5:M7)"),3)</f>
        <v>3</v>
      </c>
      <c r="N575" s="10" t="str">
        <f ca="1">IFERROR(__xludf.dummyfunction("QUERY('ITABERAÍ'!N5:N7)"),"DISPONÍVEL")</f>
        <v>DISPONÍVEL</v>
      </c>
      <c r="O575" s="11" t="str">
        <f ca="1">IFERROR(__xludf.dummyfunction("QUERY('ITABERAÍ'!O5:O7)"),"")</f>
        <v/>
      </c>
      <c r="P575" s="11" t="str">
        <f ca="1">IFERROR(__xludf.dummyfunction("QUERY('ITABERAÍ'!P5:P7)"),"")</f>
        <v/>
      </c>
      <c r="Q575" s="11" t="str">
        <f ca="1">IFERROR(__xludf.dummyfunction("QUERY('ITABERAÍ'!Q5:Q7)"),"")</f>
        <v/>
      </c>
      <c r="R575" s="11" t="str">
        <f ca="1">IFERROR(__xludf.dummyfunction("QUERY('ITABERAÍ'!R5:R7)"),"")</f>
        <v/>
      </c>
    </row>
    <row r="576" spans="1:18">
      <c r="A576" s="10">
        <f ca="1">IFERROR(__xludf.dummyfunction("""COMPUTED_VALUE"""),1)</f>
        <v>1</v>
      </c>
      <c r="B576" s="11" t="str">
        <f ca="1">IFERROR(__xludf.dummyfunction("""COMPUTED_VALUE"""),"WHANDER RADANIO DE S FILHO")</f>
        <v>WHANDER RADANIO DE S FILHO</v>
      </c>
      <c r="C576" s="11" t="str">
        <f ca="1">IFERROR(__xludf.dummyfunction("""COMPUTED_VALUE"""),"571251")</f>
        <v>571251</v>
      </c>
      <c r="D576" s="11" t="str">
        <f ca="1">IFERROR(__xludf.dummyfunction("""COMPUTED_VALUE"""),"04410352130")</f>
        <v>04410352130</v>
      </c>
      <c r="E576" s="11" t="str">
        <f ca="1">IFERROR(__xludf.dummyfunction("""COMPUTED_VALUE"""),"WHANDERADANIO@GMAIL.COM")</f>
        <v>WHANDERADANIO@GMAIL.COM</v>
      </c>
      <c r="F576" s="11"/>
      <c r="G576" s="11" t="str">
        <f ca="1">IFERROR(__xludf.dummyfunction("""COMPUTED_VALUE"""),"(62) 999921453")</f>
        <v>(62) 999921453</v>
      </c>
      <c r="H576" s="11" t="str">
        <f ca="1">IFERROR(__xludf.dummyfunction("""COMPUTED_VALUE"""),"SUPERIOR")</f>
        <v>SUPERIOR</v>
      </c>
      <c r="I576" s="10" t="str">
        <f ca="1">IFERROR(__xludf.dummyfunction("""COMPUTED_VALUE"""),"DIREITO")</f>
        <v>DIREITO</v>
      </c>
      <c r="J576" s="10" t="str">
        <f ca="1">IFERROR(__xludf.dummyfunction("""COMPUTED_VALUE"""),"NOITE")</f>
        <v>NOITE</v>
      </c>
      <c r="K576" s="10" t="str">
        <f ca="1">IFERROR(__xludf.dummyfunction("""COMPUTED_VALUE"""),"TARDE")</f>
        <v>TARDE</v>
      </c>
      <c r="L576" s="10" t="str">
        <f ca="1">IFERROR(__xludf.dummyfunction("""COMPUTED_VALUE"""),"ITABERAÍ - GO")</f>
        <v>ITABERAÍ - GO</v>
      </c>
      <c r="M576" s="10">
        <f ca="1">IFERROR(__xludf.dummyfunction("""COMPUTED_VALUE"""),6)</f>
        <v>6</v>
      </c>
      <c r="N576" s="10" t="str">
        <f ca="1">IFERROR(__xludf.dummyfunction("""COMPUTED_VALUE"""),"CONTRATADO")</f>
        <v>CONTRATADO</v>
      </c>
      <c r="O576" s="11"/>
      <c r="P576" s="11"/>
      <c r="Q576" s="11"/>
      <c r="R576" s="11"/>
    </row>
    <row r="577" spans="1:18">
      <c r="A577" s="10">
        <f ca="1">IFERROR(__xludf.dummyfunction("""COMPUTED_VALUE"""),2)</f>
        <v>2</v>
      </c>
      <c r="B577" s="11" t="str">
        <f ca="1">IFERROR(__xludf.dummyfunction("""COMPUTED_VALUE"""),"FELIPE SOARES MENDES")</f>
        <v>FELIPE SOARES MENDES</v>
      </c>
      <c r="C577" s="11"/>
      <c r="D577" s="11" t="str">
        <f ca="1">IFERROR(__xludf.dummyfunction("""COMPUTED_VALUE"""),"08303737139")</f>
        <v>08303737139</v>
      </c>
      <c r="E577" s="11" t="str">
        <f ca="1">IFERROR(__xludf.dummyfunction("""COMPUTED_VALUE"""),"FELIPEMENDESFM969282@GMAIL.COM")</f>
        <v>FELIPEMENDESFM969282@GMAIL.COM</v>
      </c>
      <c r="F577" s="11"/>
      <c r="G577" s="11" t="str">
        <f ca="1">IFERROR(__xludf.dummyfunction("""COMPUTED_VALUE"""),"(62) 993356542")</f>
        <v>(62) 993356542</v>
      </c>
      <c r="H577" s="11" t="str">
        <f ca="1">IFERROR(__xludf.dummyfunction("""COMPUTED_VALUE"""),"SUPERIOR")</f>
        <v>SUPERIOR</v>
      </c>
      <c r="I577" s="10" t="str">
        <f ca="1">IFERROR(__xludf.dummyfunction("""COMPUTED_VALUE"""),"DIREITO")</f>
        <v>DIREITO</v>
      </c>
      <c r="J577" s="10" t="str">
        <f ca="1">IFERROR(__xludf.dummyfunction("""COMPUTED_VALUE"""),"NOITE")</f>
        <v>NOITE</v>
      </c>
      <c r="K577" s="10" t="str">
        <f ca="1">IFERROR(__xludf.dummyfunction("""COMPUTED_VALUE"""),"TARDE")</f>
        <v>TARDE</v>
      </c>
      <c r="L577" s="10" t="str">
        <f ca="1">IFERROR(__xludf.dummyfunction("""COMPUTED_VALUE"""),"ITABERAÍ - GO")</f>
        <v>ITABERAÍ - GO</v>
      </c>
      <c r="M577" s="10">
        <f ca="1">IFERROR(__xludf.dummyfunction("""COMPUTED_VALUE"""),5)</f>
        <v>5</v>
      </c>
      <c r="N577" s="10" t="str">
        <f ca="1">IFERROR(__xludf.dummyfunction("""COMPUTED_VALUE"""),"CONTRATADO")</f>
        <v>CONTRATADO</v>
      </c>
      <c r="O577" s="11"/>
      <c r="P577" s="11"/>
      <c r="Q577" s="11"/>
      <c r="R577" s="11"/>
    </row>
    <row r="578" spans="1:18">
      <c r="A578" s="10">
        <f ca="1">IFERROR(__xludf.dummyfunction("QUERY(ITAGUARU!A5)"),1)</f>
        <v>1</v>
      </c>
      <c r="B578" s="11" t="str">
        <f ca="1">IFERROR(__xludf.dummyfunction("QUERY(ITAGUARU!B5)"),"ANNA CLARA PEREIRA ZACARIAS")</f>
        <v>ANNA CLARA PEREIRA ZACARIAS</v>
      </c>
      <c r="C578" s="11" t="str">
        <f ca="1">IFERROR(__xludf.dummyfunction("QUERY(ITAGUARU!C5)"),"")</f>
        <v/>
      </c>
      <c r="D578" s="11" t="str">
        <f ca="1">IFERROR(__xludf.dummyfunction("QUERY(ITAGUARU!D5)"),"70861205103")</f>
        <v>70861205103</v>
      </c>
      <c r="E578" s="11" t="str">
        <f ca="1">IFERROR(__xludf.dummyfunction("QUERY(ITAGUARU!E5)"),"ANNINHAZACARIAS@GMAIL.COM")</f>
        <v>ANNINHAZACARIAS@GMAIL.COM</v>
      </c>
      <c r="F578" s="11" t="str">
        <f ca="1">IFERROR(__xludf.dummyfunction("QUERY(ITAGUARU!F5)"),"(62) 91424893")</f>
        <v>(62) 91424893</v>
      </c>
      <c r="G578" s="11" t="str">
        <f ca="1">IFERROR(__xludf.dummyfunction("QUERY(ITAGUARU!G5)"),"(62) 994640881")</f>
        <v>(62) 994640881</v>
      </c>
      <c r="H578" s="11" t="str">
        <f ca="1">IFERROR(__xludf.dummyfunction("QUERY(ITAGUARU!H5)"),"SUPERIOR")</f>
        <v>SUPERIOR</v>
      </c>
      <c r="I578" s="10" t="str">
        <f ca="1">IFERROR(__xludf.dummyfunction("QUERY(ITAGUARU!I5)"),"DIREITO")</f>
        <v>DIREITO</v>
      </c>
      <c r="J578" s="10" t="str">
        <f ca="1">IFERROR(__xludf.dummyfunction("QUERY(ITAGUARU!J5)"),"NOITE")</f>
        <v>NOITE</v>
      </c>
      <c r="K578" s="10" t="str">
        <f ca="1">IFERROR(__xludf.dummyfunction("QUERY(ITAGUARU!K5)"),"TARDE")</f>
        <v>TARDE</v>
      </c>
      <c r="L578" s="10" t="str">
        <f ca="1">IFERROR(__xludf.dummyfunction("QUERY(ITAGUARU!L5)"),"ITAGUARU - GO")</f>
        <v>ITAGUARU - GO</v>
      </c>
      <c r="M578" s="10">
        <f ca="1">IFERROR(__xludf.dummyfunction("QUERY(ITAGUARU!M5)"),5)</f>
        <v>5</v>
      </c>
      <c r="N578" s="10" t="str">
        <f ca="1">IFERROR(__xludf.dummyfunction("QUERY(ITAGUARU!N5)"),"DISPONÍVEL")</f>
        <v>DISPONÍVEL</v>
      </c>
      <c r="O578" s="11" t="str">
        <f ca="1">IFERROR(__xludf.dummyfunction("QUERY(ITAGUARU!O5)"),"")</f>
        <v/>
      </c>
      <c r="P578" s="11" t="str">
        <f ca="1">IFERROR(__xludf.dummyfunction("QUERY(ITAGUARU!P5)"),"")</f>
        <v/>
      </c>
    </row>
    <row r="579" spans="1:18">
      <c r="A579" s="10">
        <f ca="1">IFERROR(__xludf.dummyfunction("QUERY(ITAPACI!A5:A10)"),1)</f>
        <v>1</v>
      </c>
      <c r="B579" s="11" t="str">
        <f ca="1">IFERROR(__xludf.dummyfunction("QUERY(ITAPACI!B5:B10)"),"NATÁLIA SOUSA CARVALHO")</f>
        <v>NATÁLIA SOUSA CARVALHO</v>
      </c>
      <c r="C579" s="11" t="str">
        <f ca="1">IFERROR(__xludf.dummyfunction("QUERY(ITAPACI!C5:C10)"),"")</f>
        <v/>
      </c>
      <c r="D579" s="11" t="str">
        <f ca="1">IFERROR(__xludf.dummyfunction("QUERY(ITAPACI!D5:D10)"),"08760036176")</f>
        <v>08760036176</v>
      </c>
      <c r="E579" s="11" t="str">
        <f ca="1">IFERROR(__xludf.dummyfunction("QUERY(ITAPACI!E5:E10)"),"NATALIASOUSCAR@GMAIL.COM")</f>
        <v>NATALIASOUSCAR@GMAIL.COM</v>
      </c>
      <c r="F579" s="11" t="str">
        <f ca="1">IFERROR(__xludf.dummyfunction("QUERY(ITAPACI!F5:F10)"),"(62) 85206574")</f>
        <v>(62) 85206574</v>
      </c>
      <c r="G579" s="11" t="str">
        <f ca="1">IFERROR(__xludf.dummyfunction("QUERY(ITAPACI!G5:G10)"),"(62) 984944277")</f>
        <v>(62) 984944277</v>
      </c>
      <c r="H579" s="11" t="str">
        <f ca="1">IFERROR(__xludf.dummyfunction("QUERY(ITAPACI!H5:H10)"),"SUPERIOR")</f>
        <v>SUPERIOR</v>
      </c>
      <c r="I579" s="10" t="str">
        <f ca="1">IFERROR(__xludf.dummyfunction("QUERY(ITAPACI!I5:I10)"),"ADMINISTRAÇÃO")</f>
        <v>ADMINISTRAÇÃO</v>
      </c>
      <c r="J579" s="10" t="str">
        <f ca="1">IFERROR(__xludf.dummyfunction("QUERY(ITAPACI!J5:J10)"),"NOITE")</f>
        <v>NOITE</v>
      </c>
      <c r="K579" s="10" t="str">
        <f ca="1">IFERROR(__xludf.dummyfunction("QUERY(ITAPACI!K5:K10)"),"TARDE")</f>
        <v>TARDE</v>
      </c>
      <c r="L579" s="10" t="str">
        <f ca="1">IFERROR(__xludf.dummyfunction("QUERY(ITAPACI!L5:L10)"),"ITAPACI - GO")</f>
        <v>ITAPACI - GO</v>
      </c>
      <c r="M579" s="10">
        <f ca="1">IFERROR(__xludf.dummyfunction("QUERY(ITAPACI!M5:M10)"),3)</f>
        <v>3</v>
      </c>
      <c r="N579" s="10" t="str">
        <f ca="1">IFERROR(__xludf.dummyfunction("QUERY(ITAPACI!N5:N10)"),"DISPONÍVEL")</f>
        <v>DISPONÍVEL</v>
      </c>
      <c r="O579" s="11" t="str">
        <f ca="1">IFERROR(__xludf.dummyfunction("QUERY(ITAPACI!O5:O10)"),"")</f>
        <v/>
      </c>
      <c r="P579" s="11" t="str">
        <f ca="1">IFERROR(__xludf.dummyfunction("QUERY(ITAPACI!P5:P10)"),"")</f>
        <v/>
      </c>
      <c r="Q579" s="11" t="str">
        <f ca="1">IFERROR(__xludf.dummyfunction("QUERY(ITAPACI!Q5:Q10)"),"")</f>
        <v/>
      </c>
      <c r="R579" s="11" t="str">
        <f ca="1">IFERROR(__xludf.dummyfunction("QUERY(ITAPACI!R5:R10)"),"")</f>
        <v/>
      </c>
    </row>
    <row r="580" spans="1:18">
      <c r="A580" s="10">
        <f ca="1">IFERROR(__xludf.dummyfunction("""COMPUTED_VALUE"""),1)</f>
        <v>1</v>
      </c>
      <c r="B580" s="11" t="str">
        <f ca="1">IFERROR(__xludf.dummyfunction("""COMPUTED_VALUE"""),"JOSEFA FLORÊNCIA DE SOUSA")</f>
        <v>JOSEFA FLORÊNCIA DE SOUSA</v>
      </c>
      <c r="C580" s="11"/>
      <c r="D580" s="11" t="str">
        <f ca="1">IFERROR(__xludf.dummyfunction("""COMPUTED_VALUE"""),"08615815399")</f>
        <v>08615815399</v>
      </c>
      <c r="E580" s="11" t="str">
        <f ca="1">IFERROR(__xludf.dummyfunction("""COMPUTED_VALUE"""),"FLORENCIASOUSA313@GMAIL.COM")</f>
        <v>FLORENCIASOUSA313@GMAIL.COM</v>
      </c>
      <c r="F580" s="11" t="str">
        <f ca="1">IFERROR(__xludf.dummyfunction("""COMPUTED_VALUE"""),"(62) 99188394")</f>
        <v>(62) 99188394</v>
      </c>
      <c r="G580" s="11" t="str">
        <f ca="1">IFERROR(__xludf.dummyfunction("""COMPUTED_VALUE"""),"(89) 981376471")</f>
        <v>(89) 981376471</v>
      </c>
      <c r="H580" s="11" t="str">
        <f ca="1">IFERROR(__xludf.dummyfunction("""COMPUTED_VALUE"""),"SUPERIOR")</f>
        <v>SUPERIOR</v>
      </c>
      <c r="I580" s="10" t="str">
        <f ca="1">IFERROR(__xludf.dummyfunction("""COMPUTED_VALUE"""),"DIREITO")</f>
        <v>DIREITO</v>
      </c>
      <c r="J580" s="10" t="str">
        <f ca="1">IFERROR(__xludf.dummyfunction("""COMPUTED_VALUE"""),"NOITE")</f>
        <v>NOITE</v>
      </c>
      <c r="K580" s="10" t="str">
        <f ca="1">IFERROR(__xludf.dummyfunction("""COMPUTED_VALUE"""),"TARDE")</f>
        <v>TARDE</v>
      </c>
      <c r="L580" s="10" t="str">
        <f ca="1">IFERROR(__xludf.dummyfunction("""COMPUTED_VALUE"""),"ITAPACI - GO")</f>
        <v>ITAPACI - GO</v>
      </c>
      <c r="M580" s="10">
        <f ca="1">IFERROR(__xludf.dummyfunction("""COMPUTED_VALUE"""),6)</f>
        <v>6</v>
      </c>
      <c r="N580" s="10" t="str">
        <f ca="1">IFERROR(__xludf.dummyfunction("""COMPUTED_VALUE"""),"CONTRATADO")</f>
        <v>CONTRATADO</v>
      </c>
      <c r="O580" s="11" t="str">
        <f ca="1">IFERROR(__xludf.dummyfunction("""COMPUTED_VALUE"""),"16/11 - 12:09")</f>
        <v>16/11 - 12:09</v>
      </c>
      <c r="P580" s="11"/>
      <c r="Q580" s="11"/>
      <c r="R580" s="11"/>
    </row>
    <row r="581" spans="1:18">
      <c r="A581" s="10">
        <f ca="1">IFERROR(__xludf.dummyfunction("""COMPUTED_VALUE"""),2)</f>
        <v>2</v>
      </c>
      <c r="B581" s="11" t="str">
        <f ca="1">IFERROR(__xludf.dummyfunction("""COMPUTED_VALUE"""),"POLIANA ALMEIDA DO CARMO")</f>
        <v>POLIANA ALMEIDA DO CARMO</v>
      </c>
      <c r="C581" s="11"/>
      <c r="D581" s="11" t="str">
        <f ca="1">IFERROR(__xludf.dummyfunction("""COMPUTED_VALUE"""),"06792037109")</f>
        <v>06792037109</v>
      </c>
      <c r="E581" s="11" t="str">
        <f ca="1">IFERROR(__xludf.dummyfunction("""COMPUTED_VALUE"""),"POLYALMEIDA2014@HOTMAIL.COM")</f>
        <v>POLYALMEIDA2014@HOTMAIL.COM</v>
      </c>
      <c r="F581" s="11"/>
      <c r="G581" s="11" t="str">
        <f ca="1">IFERROR(__xludf.dummyfunction("""COMPUTED_VALUE"""),"(62) 986043176")</f>
        <v>(62) 986043176</v>
      </c>
      <c r="H581" s="11" t="str">
        <f ca="1">IFERROR(__xludf.dummyfunction("""COMPUTED_VALUE"""),"SUPERIOR")</f>
        <v>SUPERIOR</v>
      </c>
      <c r="I581" s="10" t="str">
        <f ca="1">IFERROR(__xludf.dummyfunction("""COMPUTED_VALUE"""),"DIREITO")</f>
        <v>DIREITO</v>
      </c>
      <c r="J581" s="10" t="str">
        <f ca="1">IFERROR(__xludf.dummyfunction("""COMPUTED_VALUE"""),"NOITE")</f>
        <v>NOITE</v>
      </c>
      <c r="K581" s="10" t="str">
        <f ca="1">IFERROR(__xludf.dummyfunction("""COMPUTED_VALUE"""),"TARDE")</f>
        <v>TARDE</v>
      </c>
      <c r="L581" s="10" t="str">
        <f ca="1">IFERROR(__xludf.dummyfunction("""COMPUTED_VALUE"""),"ITAPACI - GO")</f>
        <v>ITAPACI - GO</v>
      </c>
      <c r="M581" s="10">
        <f ca="1">IFERROR(__xludf.dummyfunction("""COMPUTED_VALUE"""),8)</f>
        <v>8</v>
      </c>
      <c r="N581" s="10" t="str">
        <f ca="1">IFERROR(__xludf.dummyfunction("""COMPUTED_VALUE"""),"REMANEJADO")</f>
        <v>REMANEJADO</v>
      </c>
      <c r="O581" s="11" t="str">
        <f ca="1">IFERROR(__xludf.dummyfunction("""COMPUTED_VALUE"""),"16/11 - 12:09")</f>
        <v>16/11 - 12:09</v>
      </c>
      <c r="P581" s="11" t="str">
        <f ca="1">IFERROR(__xludf.dummyfunction("""COMPUTED_VALUE"""),"sem retorno")</f>
        <v>sem retorno</v>
      </c>
      <c r="Q581" s="11"/>
      <c r="R581" s="11"/>
    </row>
    <row r="582" spans="1:18">
      <c r="A582" s="10">
        <f ca="1">IFERROR(__xludf.dummyfunction("""COMPUTED_VALUE"""),3)</f>
        <v>3</v>
      </c>
      <c r="B582" s="11" t="str">
        <f ca="1">IFERROR(__xludf.dummyfunction("""COMPUTED_VALUE"""),"KATHLEEN SOUSA SILVA")</f>
        <v>KATHLEEN SOUSA SILVA</v>
      </c>
      <c r="C582" s="11"/>
      <c r="D582" s="11" t="str">
        <f ca="1">IFERROR(__xludf.dummyfunction("""COMPUTED_VALUE"""),"08121721164")</f>
        <v>08121721164</v>
      </c>
      <c r="E582" s="11" t="str">
        <f ca="1">IFERROR(__xludf.dummyfunction("""COMPUTED_VALUE"""),"KATHLEENSOUSASILVA2@GMAIL.COM")</f>
        <v>KATHLEENSOUSASILVA2@GMAIL.COM</v>
      </c>
      <c r="F582" s="11"/>
      <c r="G582" s="11" t="str">
        <f ca="1">IFERROR(__xludf.dummyfunction("""COMPUTED_VALUE"""),"(62) 996575630")</f>
        <v>(62) 996575630</v>
      </c>
      <c r="H582" s="11" t="str">
        <f ca="1">IFERROR(__xludf.dummyfunction("""COMPUTED_VALUE"""),"SUPERIOR")</f>
        <v>SUPERIOR</v>
      </c>
      <c r="I582" s="10" t="str">
        <f ca="1">IFERROR(__xludf.dummyfunction("""COMPUTED_VALUE"""),"DIREITO")</f>
        <v>DIREITO</v>
      </c>
      <c r="J582" s="10" t="str">
        <f ca="1">IFERROR(__xludf.dummyfunction("""COMPUTED_VALUE"""),"NOITE")</f>
        <v>NOITE</v>
      </c>
      <c r="K582" s="10" t="str">
        <f ca="1">IFERROR(__xludf.dummyfunction("""COMPUTED_VALUE"""),"TARDE")</f>
        <v>TARDE</v>
      </c>
      <c r="L582" s="10" t="str">
        <f ca="1">IFERROR(__xludf.dummyfunction("""COMPUTED_VALUE"""),"ITAPACI - GO")</f>
        <v>ITAPACI - GO</v>
      </c>
      <c r="M582" s="10">
        <f ca="1">IFERROR(__xludf.dummyfunction("""COMPUTED_VALUE"""),5)</f>
        <v>5</v>
      </c>
      <c r="N582" s="10" t="str">
        <f ca="1">IFERROR(__xludf.dummyfunction("""COMPUTED_VALUE"""),"CONTRATADO")</f>
        <v>CONTRATADO</v>
      </c>
      <c r="O582" s="11" t="str">
        <f ca="1">IFERROR(__xludf.dummyfunction("""COMPUTED_VALUE"""),"16/11 - 12:09")</f>
        <v>16/11 - 12:09</v>
      </c>
      <c r="P582" s="11"/>
      <c r="Q582" s="11"/>
      <c r="R582" s="11"/>
    </row>
    <row r="583" spans="1:18">
      <c r="A583" s="10">
        <f ca="1">IFERROR(__xludf.dummyfunction("""COMPUTED_VALUE"""),4)</f>
        <v>4</v>
      </c>
      <c r="B583" s="11" t="str">
        <f ca="1">IFERROR(__xludf.dummyfunction("""COMPUTED_VALUE"""),"FABRICIOBARBOSA CAMPOS SILVA")</f>
        <v>FABRICIOBARBOSA CAMPOS SILVA</v>
      </c>
      <c r="C583" s="11"/>
      <c r="D583" s="11" t="str">
        <f ca="1">IFERROR(__xludf.dummyfunction("""COMPUTED_VALUE"""),"06487046108")</f>
        <v>06487046108</v>
      </c>
      <c r="E583" s="11" t="str">
        <f ca="1">IFERROR(__xludf.dummyfunction("""COMPUTED_VALUE"""),"FABRICIO_CAMPOS98@OUTLOOK.COM")</f>
        <v>FABRICIO_CAMPOS98@OUTLOOK.COM</v>
      </c>
      <c r="F583" s="11"/>
      <c r="G583" s="11" t="str">
        <f ca="1">IFERROR(__xludf.dummyfunction("""COMPUTED_VALUE"""),"(62) 993647922")</f>
        <v>(62) 993647922</v>
      </c>
      <c r="H583" s="11" t="str">
        <f ca="1">IFERROR(__xludf.dummyfunction("""COMPUTED_VALUE"""),"SUPERIOR")</f>
        <v>SUPERIOR</v>
      </c>
      <c r="I583" s="10" t="str">
        <f ca="1">IFERROR(__xludf.dummyfunction("""COMPUTED_VALUE"""),"DIREITO")</f>
        <v>DIREITO</v>
      </c>
      <c r="J583" s="10" t="str">
        <f ca="1">IFERROR(__xludf.dummyfunction("""COMPUTED_VALUE"""),"NOITE")</f>
        <v>NOITE</v>
      </c>
      <c r="K583" s="10" t="str">
        <f ca="1">IFERROR(__xludf.dummyfunction("""COMPUTED_VALUE"""),"TARDE")</f>
        <v>TARDE</v>
      </c>
      <c r="L583" s="10" t="str">
        <f ca="1">IFERROR(__xludf.dummyfunction("""COMPUTED_VALUE"""),"ITAPACI - GO")</f>
        <v>ITAPACI - GO</v>
      </c>
      <c r="M583" s="10">
        <f ca="1">IFERROR(__xludf.dummyfunction("""COMPUTED_VALUE"""),8)</f>
        <v>8</v>
      </c>
      <c r="N583" s="10" t="str">
        <f ca="1">IFERROR(__xludf.dummyfunction("""COMPUTED_VALUE"""),"DISPONÍVEL")</f>
        <v>DISPONÍVEL</v>
      </c>
      <c r="O583" s="11"/>
      <c r="P583" s="11"/>
      <c r="Q583" s="11"/>
      <c r="R583" s="11"/>
    </row>
    <row r="584" spans="1:18">
      <c r="A584" s="10">
        <f ca="1">IFERROR(__xludf.dummyfunction("""COMPUTED_VALUE"""),5)</f>
        <v>5</v>
      </c>
      <c r="B584" s="11" t="str">
        <f ca="1">IFERROR(__xludf.dummyfunction("""COMPUTED_VALUE"""),"TAYLINE LUIZA ROCHA MORAIS")</f>
        <v>TAYLINE LUIZA ROCHA MORAIS</v>
      </c>
      <c r="C584" s="11"/>
      <c r="D584" s="11" t="str">
        <f ca="1">IFERROR(__xludf.dummyfunction("""COMPUTED_VALUE"""),"70635158108")</f>
        <v>70635158108</v>
      </c>
      <c r="E584" s="11" t="str">
        <f ca="1">IFERROR(__xludf.dummyfunction("""COMPUTED_VALUE"""),"LUIZATAYLINE62@GMAIL.COM")</f>
        <v>LUIZATAYLINE62@GMAIL.COM</v>
      </c>
      <c r="F584" s="11"/>
      <c r="G584" s="11" t="str">
        <f ca="1">IFERROR(__xludf.dummyfunction("""COMPUTED_VALUE"""),"(62) 982569356")</f>
        <v>(62) 982569356</v>
      </c>
      <c r="H584" s="11" t="str">
        <f ca="1">IFERROR(__xludf.dummyfunction("""COMPUTED_VALUE"""),"SUPERIOR")</f>
        <v>SUPERIOR</v>
      </c>
      <c r="I584" s="10" t="str">
        <f ca="1">IFERROR(__xludf.dummyfunction("""COMPUTED_VALUE"""),"DIREITO")</f>
        <v>DIREITO</v>
      </c>
      <c r="J584" s="10" t="str">
        <f ca="1">IFERROR(__xludf.dummyfunction("""COMPUTED_VALUE"""),"NOITE")</f>
        <v>NOITE</v>
      </c>
      <c r="K584" s="10" t="str">
        <f ca="1">IFERROR(__xludf.dummyfunction("""COMPUTED_VALUE"""),"TARDE")</f>
        <v>TARDE</v>
      </c>
      <c r="L584" s="10" t="str">
        <f ca="1">IFERROR(__xludf.dummyfunction("""COMPUTED_VALUE"""),"ITAPACI - GO")</f>
        <v>ITAPACI - GO</v>
      </c>
      <c r="M584" s="10">
        <f ca="1">IFERROR(__xludf.dummyfunction("""COMPUTED_VALUE"""),6)</f>
        <v>6</v>
      </c>
      <c r="N584" s="10" t="str">
        <f ca="1">IFERROR(__xludf.dummyfunction("""COMPUTED_VALUE"""),"DISPONÍVEL")</f>
        <v>DISPONÍVEL</v>
      </c>
      <c r="O584" s="11"/>
      <c r="P584" s="11"/>
      <c r="Q584" s="11"/>
      <c r="R584" s="11"/>
    </row>
    <row r="585" spans="1:18">
      <c r="A585" s="10">
        <f ca="1">IFERROR(__xludf.dummyfunction("QUERY('ITAPIRAPUÃ'!A5)"),1)</f>
        <v>1</v>
      </c>
      <c r="B585" s="11" t="str">
        <f ca="1">IFERROR(__xludf.dummyfunction("QUERY('ITAPIRAPUÃ'!B5)"),"IGOR NOGUEIRA DE OLIVEIRA")</f>
        <v>IGOR NOGUEIRA DE OLIVEIRA</v>
      </c>
      <c r="C585" s="11" t="str">
        <f ca="1">IFERROR(__xludf.dummyfunction("QUERY('ITAPIRAPUÃ'!C5)"),"")</f>
        <v/>
      </c>
      <c r="D585" s="11" t="str">
        <f ca="1">IFERROR(__xludf.dummyfunction("QUERY('ITAPIRAPUÃ'!D5)"),"07238783150")</f>
        <v>07238783150</v>
      </c>
      <c r="E585" s="11" t="str">
        <f ca="1">IFERROR(__xludf.dummyfunction("QUERY('ITAPIRAPUÃ'!E5)"),"IGORNOGUEIRAOL997@GMAIL.COM")</f>
        <v>IGORNOGUEIRAOL997@GMAIL.COM</v>
      </c>
      <c r="F585" s="11" t="str">
        <f ca="1">IFERROR(__xludf.dummyfunction("QUERY('ITAPIRAPUÃ'!F5)"),"")</f>
        <v/>
      </c>
      <c r="G585" s="11" t="str">
        <f ca="1">IFERROR(__xludf.dummyfunction("QUERY('ITAPIRAPUÃ'!G5)"),"(62) 984657983")</f>
        <v>(62) 984657983</v>
      </c>
      <c r="H585" s="11" t="str">
        <f ca="1">IFERROR(__xludf.dummyfunction("QUERY('ITAPIRAPUÃ'!H5)"),"SUPERIOR")</f>
        <v>SUPERIOR</v>
      </c>
      <c r="I585" s="10" t="str">
        <f ca="1">IFERROR(__xludf.dummyfunction("QUERY('ITAPIRAPUÃ'!I5)"),"DIREITO")</f>
        <v>DIREITO</v>
      </c>
      <c r="J585" s="10" t="str">
        <f ca="1">IFERROR(__xludf.dummyfunction("QUERY('ITAPIRAPUÃ'!J5)"),"NOITE")</f>
        <v>NOITE</v>
      </c>
      <c r="K585" s="10" t="str">
        <f ca="1">IFERROR(__xludf.dummyfunction("QUERY('ITAPIRAPUÃ'!K5)"),"TARDE")</f>
        <v>TARDE</v>
      </c>
      <c r="L585" s="10" t="str">
        <f ca="1">IFERROR(__xludf.dummyfunction("QUERY('ITAPIRAPUÃ'!L5)"),"ITAPIRAPUÃ - GO")</f>
        <v>ITAPIRAPUÃ - GO</v>
      </c>
      <c r="M585" s="10">
        <f ca="1">IFERROR(__xludf.dummyfunction("QUERY('ITAPIRAPUÃ'!M5)"),6)</f>
        <v>6</v>
      </c>
      <c r="N585" s="10" t="str">
        <f ca="1">IFERROR(__xludf.dummyfunction("QUERY('ITAPIRAPUÃ'!N5)"),"CONTRATADO")</f>
        <v>CONTRATADO</v>
      </c>
      <c r="O585" s="12">
        <f ca="1">IFERROR(__xludf.dummyfunction("QUERY('ITAPIRAPUÃ'!O5)"),45219)</f>
        <v>45219</v>
      </c>
      <c r="P585" s="11" t="str">
        <f ca="1">IFERROR(__xludf.dummyfunction("QUERY('ITAPIRAPUÃ'!P5)"),"")</f>
        <v/>
      </c>
    </row>
    <row r="586" spans="1:18">
      <c r="A586" s="10">
        <f ca="1">IFERROR(__xludf.dummyfunction("QUERY(ITAPURANGA!A5:A8)"),1)</f>
        <v>1</v>
      </c>
      <c r="B586" s="11" t="str">
        <f ca="1">IFERROR(__xludf.dummyfunction("QUERY(ITAPURANGA!B5:B8)"),"KAYKE SANTOS GONTIJO")</f>
        <v>KAYKE SANTOS GONTIJO</v>
      </c>
      <c r="C586" s="11" t="str">
        <f ca="1">IFERROR(__xludf.dummyfunction("QUERY(ITAPURANGA!C5:C8)"),"6319524")</f>
        <v>6319524</v>
      </c>
      <c r="D586" s="11" t="str">
        <f ca="1">IFERROR(__xludf.dummyfunction("QUERY(ITAPURANGA!D5:D8)"),"02355652104")</f>
        <v>02355652104</v>
      </c>
      <c r="E586" s="11" t="str">
        <f ca="1">IFERROR(__xludf.dummyfunction("QUERY(ITAPURANGA!E5:E8)"),"DORCELIMARIA@HOTMAIL.COM")</f>
        <v>DORCELIMARIA@HOTMAIL.COM</v>
      </c>
      <c r="F586" s="11" t="str">
        <f ca="1">IFERROR(__xludf.dummyfunction("QUERY(ITAPURANGA!F5:F8)"),"")</f>
        <v/>
      </c>
      <c r="G586" s="11" t="str">
        <f ca="1">IFERROR(__xludf.dummyfunction("QUERY(ITAPURANGA!G5:G8)"),"(62) 984391545")</f>
        <v>(62) 984391545</v>
      </c>
      <c r="H586" s="11" t="str">
        <f ca="1">IFERROR(__xludf.dummyfunction("QUERY(ITAPURANGA!H5:H8)"),"SUPERIOR")</f>
        <v>SUPERIOR</v>
      </c>
      <c r="I586" s="10" t="str">
        <f ca="1">IFERROR(__xludf.dummyfunction("QUERY(ITAPURANGA!I5:I8)"),"DIREITO")</f>
        <v>DIREITO</v>
      </c>
      <c r="J586" s="10" t="str">
        <f ca="1">IFERROR(__xludf.dummyfunction("QUERY(ITAPURANGA!J5:J8)"),"NOITE")</f>
        <v>NOITE</v>
      </c>
      <c r="K586" s="10" t="str">
        <f ca="1">IFERROR(__xludf.dummyfunction("QUERY(ITAPURANGA!K5:K8)"),"TARDE")</f>
        <v>TARDE</v>
      </c>
      <c r="L586" s="10" t="str">
        <f ca="1">IFERROR(__xludf.dummyfunction("QUERY(ITAPURANGA!L5:L8)"),"ITAPURANGA - GO")</f>
        <v>ITAPURANGA - GO</v>
      </c>
      <c r="M586" s="10">
        <f ca="1">IFERROR(__xludf.dummyfunction("QUERY(ITAPURANGA!M5:M8)"),5)</f>
        <v>5</v>
      </c>
      <c r="N586" s="10" t="str">
        <f ca="1">IFERROR(__xludf.dummyfunction("QUERY(ITAPURANGA!N5:N8)"),"DISPONÍVEL")</f>
        <v>DISPONÍVEL</v>
      </c>
      <c r="O586" s="11" t="str">
        <f ca="1">IFERROR(__xludf.dummyfunction("QUERY(ITAPURANGA!O5:O8)"),"")</f>
        <v/>
      </c>
      <c r="P586" s="11" t="str">
        <f ca="1">IFERROR(__xludf.dummyfunction("QUERY(ITAPURANGA!P5:P8)"),"")</f>
        <v/>
      </c>
      <c r="Q586" s="11" t="str">
        <f ca="1">IFERROR(__xludf.dummyfunction("QUERY(ITAPURANGA!Q5:Q8)"),"")</f>
        <v/>
      </c>
      <c r="R586" s="11" t="str">
        <f ca="1">IFERROR(__xludf.dummyfunction("QUERY(ITAPURANGA!R5:R8)"),"")</f>
        <v/>
      </c>
    </row>
    <row r="587" spans="1:18">
      <c r="A587" s="10">
        <f ca="1">IFERROR(__xludf.dummyfunction("""COMPUTED_VALUE"""),2)</f>
        <v>2</v>
      </c>
      <c r="B587" s="11" t="str">
        <f ca="1">IFERROR(__xludf.dummyfunction("""COMPUTED_VALUE"""),"IZABELLA PATRÍCIA FERRAZ MAGALHÃES")</f>
        <v>IZABELLA PATRÍCIA FERRAZ MAGALHÃES</v>
      </c>
      <c r="C587" s="11"/>
      <c r="D587" s="11" t="str">
        <f ca="1">IFERROR(__xludf.dummyfunction("""COMPUTED_VALUE"""),"07232237189")</f>
        <v>07232237189</v>
      </c>
      <c r="E587" s="11" t="str">
        <f ca="1">IFERROR(__xludf.dummyfunction("""COMPUTED_VALUE"""),"IZABELLAFERRAZ138@GMAIL.COM")</f>
        <v>IZABELLAFERRAZ138@GMAIL.COM</v>
      </c>
      <c r="F587" s="11" t="str">
        <f ca="1">IFERROR(__xludf.dummyfunction("""COMPUTED_VALUE"""),"(62) 84005070")</f>
        <v>(62) 84005070</v>
      </c>
      <c r="G587" s="11" t="str">
        <f ca="1">IFERROR(__xludf.dummyfunction("""COMPUTED_VALUE"""),"(62) 999403139")</f>
        <v>(62) 999403139</v>
      </c>
      <c r="H587" s="11" t="str">
        <f ca="1">IFERROR(__xludf.dummyfunction("""COMPUTED_VALUE"""),"SUPERIOR")</f>
        <v>SUPERIOR</v>
      </c>
      <c r="I587" s="10" t="str">
        <f ca="1">IFERROR(__xludf.dummyfunction("""COMPUTED_VALUE"""),"DIREITO")</f>
        <v>DIREITO</v>
      </c>
      <c r="J587" s="10" t="str">
        <f ca="1">IFERROR(__xludf.dummyfunction("""COMPUTED_VALUE"""),"NOITE")</f>
        <v>NOITE</v>
      </c>
      <c r="K587" s="10" t="str">
        <f ca="1">IFERROR(__xludf.dummyfunction("""COMPUTED_VALUE"""),"TARDE")</f>
        <v>TARDE</v>
      </c>
      <c r="L587" s="10" t="str">
        <f ca="1">IFERROR(__xludf.dummyfunction("""COMPUTED_VALUE"""),"ITAPURANGA - GO")</f>
        <v>ITAPURANGA - GO</v>
      </c>
      <c r="M587" s="10">
        <f ca="1">IFERROR(__xludf.dummyfunction("""COMPUTED_VALUE"""),8)</f>
        <v>8</v>
      </c>
      <c r="N587" s="10" t="str">
        <f ca="1">IFERROR(__xludf.dummyfunction("""COMPUTED_VALUE"""),"DISPONÍVEL")</f>
        <v>DISPONÍVEL</v>
      </c>
      <c r="O587" s="11"/>
      <c r="P587" s="11"/>
      <c r="Q587" s="11"/>
      <c r="R587" s="11"/>
    </row>
    <row r="588" spans="1:18">
      <c r="A588" s="10">
        <f ca="1">IFERROR(__xludf.dummyfunction("""COMPUTED_VALUE"""),3)</f>
        <v>3</v>
      </c>
      <c r="B588" s="11" t="str">
        <f ca="1">IFERROR(__xludf.dummyfunction("""COMPUTED_VALUE"""),"THAUANE DUARTE DE ALMEIDA")</f>
        <v>THAUANE DUARTE DE ALMEIDA</v>
      </c>
      <c r="C588" s="11"/>
      <c r="D588" s="11" t="str">
        <f ca="1">IFERROR(__xludf.dummyfunction("""COMPUTED_VALUE"""),"71144416140")</f>
        <v>71144416140</v>
      </c>
      <c r="E588" s="11" t="str">
        <f ca="1">IFERROR(__xludf.dummyfunction("""COMPUTED_VALUE"""),"THAUANEDUARTE33@HOTMAIL.COM")</f>
        <v>THAUANEDUARTE33@HOTMAIL.COM</v>
      </c>
      <c r="F588" s="11"/>
      <c r="G588" s="11" t="str">
        <f ca="1">IFERROR(__xludf.dummyfunction("""COMPUTED_VALUE"""),"(62) 998153439")</f>
        <v>(62) 998153439</v>
      </c>
      <c r="H588" s="11" t="str">
        <f ca="1">IFERROR(__xludf.dummyfunction("""COMPUTED_VALUE"""),"SUPERIOR")</f>
        <v>SUPERIOR</v>
      </c>
      <c r="I588" s="10" t="str">
        <f ca="1">IFERROR(__xludf.dummyfunction("""COMPUTED_VALUE"""),"DIREITO")</f>
        <v>DIREITO</v>
      </c>
      <c r="J588" s="10" t="str">
        <f ca="1">IFERROR(__xludf.dummyfunction("""COMPUTED_VALUE"""),"NOITE")</f>
        <v>NOITE</v>
      </c>
      <c r="K588" s="10" t="str">
        <f ca="1">IFERROR(__xludf.dummyfunction("""COMPUTED_VALUE"""),"TARDE")</f>
        <v>TARDE</v>
      </c>
      <c r="L588" s="10" t="str">
        <f ca="1">IFERROR(__xludf.dummyfunction("""COMPUTED_VALUE"""),"ITAPURANGA - GO")</f>
        <v>ITAPURANGA - GO</v>
      </c>
      <c r="M588" s="10">
        <f ca="1">IFERROR(__xludf.dummyfunction("""COMPUTED_VALUE"""),6)</f>
        <v>6</v>
      </c>
      <c r="N588" s="10" t="str">
        <f ca="1">IFERROR(__xludf.dummyfunction("""COMPUTED_VALUE"""),"DISPONÍVEL")</f>
        <v>DISPONÍVEL</v>
      </c>
      <c r="O588" s="11"/>
      <c r="P588" s="11"/>
      <c r="Q588" s="11"/>
      <c r="R588" s="11"/>
    </row>
    <row r="589" spans="1:18">
      <c r="A589" s="10">
        <f ca="1">IFERROR(__xludf.dummyfunction("""COMPUTED_VALUE"""),4)</f>
        <v>4</v>
      </c>
      <c r="B589" s="11" t="str">
        <f ca="1">IFERROR(__xludf.dummyfunction("""COMPUTED_VALUE"""),"HALEF CARRILHO SILVA FRANCO")</f>
        <v>HALEF CARRILHO SILVA FRANCO</v>
      </c>
      <c r="C589" s="11" t="str">
        <f ca="1">IFERROR(__xludf.dummyfunction("""COMPUTED_VALUE"""),"6765607")</f>
        <v>6765607</v>
      </c>
      <c r="D589" s="11" t="str">
        <f ca="1">IFERROR(__xludf.dummyfunction("""COMPUTED_VALUE"""),"07425443112")</f>
        <v>07425443112</v>
      </c>
      <c r="E589" s="11" t="str">
        <f ca="1">IFERROR(__xludf.dummyfunction("""COMPUTED_VALUE"""),"HALEFCARRILHO16@GMAIL.COM")</f>
        <v>HALEFCARRILHO16@GMAIL.COM</v>
      </c>
      <c r="F589" s="11"/>
      <c r="G589" s="11" t="str">
        <f ca="1">IFERROR(__xludf.dummyfunction("""COMPUTED_VALUE"""),"(62) 996815060")</f>
        <v>(62) 996815060</v>
      </c>
      <c r="H589" s="11" t="str">
        <f ca="1">IFERROR(__xludf.dummyfunction("""COMPUTED_VALUE"""),"SUPERIOR")</f>
        <v>SUPERIOR</v>
      </c>
      <c r="I589" s="10" t="str">
        <f ca="1">IFERROR(__xludf.dummyfunction("""COMPUTED_VALUE"""),"DIREITO")</f>
        <v>DIREITO</v>
      </c>
      <c r="J589" s="10" t="str">
        <f ca="1">IFERROR(__xludf.dummyfunction("""COMPUTED_VALUE"""),"NOITE")</f>
        <v>NOITE</v>
      </c>
      <c r="K589" s="10" t="str">
        <f ca="1">IFERROR(__xludf.dummyfunction("""COMPUTED_VALUE"""),"TARDE")</f>
        <v>TARDE</v>
      </c>
      <c r="L589" s="10" t="str">
        <f ca="1">IFERROR(__xludf.dummyfunction("""COMPUTED_VALUE"""),"ITAPURANGA - GO")</f>
        <v>ITAPURANGA - GO</v>
      </c>
      <c r="M589" s="10">
        <f ca="1">IFERROR(__xludf.dummyfunction("""COMPUTED_VALUE"""),6)</f>
        <v>6</v>
      </c>
      <c r="N589" s="10" t="str">
        <f ca="1">IFERROR(__xludf.dummyfunction("""COMPUTED_VALUE"""),"DISPONÍVEL")</f>
        <v>DISPONÍVEL</v>
      </c>
      <c r="O589" s="11"/>
      <c r="P589" s="11"/>
      <c r="Q589" s="11"/>
      <c r="R589" s="11"/>
    </row>
    <row r="590" spans="1:18">
      <c r="A590" s="10">
        <f ca="1">IFERROR(__xludf.dummyfunction("QUERY(ITUMBIARA!A5:A9)"),1)</f>
        <v>1</v>
      </c>
      <c r="B590" s="11" t="str">
        <f ca="1">IFERROR(__xludf.dummyfunction("QUERY(ITUMBIARA!B5:B9)"),"MARIA EDUARDA BARROSO MARQUES")</f>
        <v>MARIA EDUARDA BARROSO MARQUES</v>
      </c>
      <c r="C590" s="11" t="str">
        <f ca="1">IFERROR(__xludf.dummyfunction("QUERY(ITUMBIARA!C5:C9)"),"")</f>
        <v/>
      </c>
      <c r="D590" s="11" t="str">
        <f ca="1">IFERROR(__xludf.dummyfunction("QUERY(ITUMBIARA!D5:D9)"),"70793256178")</f>
        <v>70793256178</v>
      </c>
      <c r="E590" s="11" t="str">
        <f ca="1">IFERROR(__xludf.dummyfunction("QUERY(ITUMBIARA!E5:E9)"),"MARIAEDUARDABARROSO108@GMAIL.COM")</f>
        <v>MARIAEDUARDABARROSO108@GMAIL.COM</v>
      </c>
      <c r="F590" s="11" t="str">
        <f ca="1">IFERROR(__xludf.dummyfunction("QUERY(ITUMBIARA!F5:F9)"),"(64) 34318316")</f>
        <v>(64) 34318316</v>
      </c>
      <c r="G590" s="11" t="str">
        <f ca="1">IFERROR(__xludf.dummyfunction("QUERY(ITUMBIARA!G5:G9)"),"(64) 981661920")</f>
        <v>(64) 981661920</v>
      </c>
      <c r="H590" s="11" t="str">
        <f ca="1">IFERROR(__xludf.dummyfunction("QUERY(ITUMBIARA!H5:H9)"),"SUPERIOR")</f>
        <v>SUPERIOR</v>
      </c>
      <c r="I590" s="10" t="str">
        <f ca="1">IFERROR(__xludf.dummyfunction("QUERY(ITUMBIARA!I5:I9)"),"DIREITO")</f>
        <v>DIREITO</v>
      </c>
      <c r="J590" s="10" t="str">
        <f ca="1">IFERROR(__xludf.dummyfunction("QUERY(ITUMBIARA!J5:J9)"),"NOITE")</f>
        <v>NOITE</v>
      </c>
      <c r="K590" s="10" t="str">
        <f ca="1">IFERROR(__xludf.dummyfunction("QUERY(ITUMBIARA!K5:K9)"),"TARDE")</f>
        <v>TARDE</v>
      </c>
      <c r="L590" s="10" t="str">
        <f ca="1">IFERROR(__xludf.dummyfunction("QUERY(ITUMBIARA!L5:L9)"),"ITUMBIARA - GO")</f>
        <v>ITUMBIARA - GO</v>
      </c>
      <c r="M590" s="10">
        <f ca="1">IFERROR(__xludf.dummyfunction("QUERY(ITUMBIARA!M5:M9)"),6)</f>
        <v>6</v>
      </c>
      <c r="N590" s="10" t="str">
        <f ca="1">IFERROR(__xludf.dummyfunction("QUERY(ITUMBIARA!N5:N9)"),"CONTRATADO")</f>
        <v>CONTRATADO</v>
      </c>
      <c r="O590" s="11" t="str">
        <f ca="1">IFERROR(__xludf.dummyfunction("QUERY(ITUMBIARA!O5:O9)"),"28/09 - 14:49")</f>
        <v>28/09 - 14:49</v>
      </c>
      <c r="P590" s="11" t="str">
        <f ca="1">IFERROR(__xludf.dummyfunction("QUERY(ITUMBIARA!P5:P9)"),"")</f>
        <v/>
      </c>
      <c r="Q590" s="13">
        <f ca="1">IFERROR(__xludf.dummyfunction("QUERY(ITUMBIARA!Q5:Q9)"),45231)</f>
        <v>45231</v>
      </c>
      <c r="R590" s="11" t="str">
        <f ca="1">IFERROR(__xludf.dummyfunction("QUERY(ITUMBIARA!R5:R9)"),"")</f>
        <v/>
      </c>
    </row>
    <row r="591" spans="1:18">
      <c r="A591" s="10">
        <f ca="1">IFERROR(__xludf.dummyfunction("""COMPUTED_VALUE"""),2)</f>
        <v>2</v>
      </c>
      <c r="B591" s="11" t="str">
        <f ca="1">IFERROR(__xludf.dummyfunction("""COMPUTED_VALUE"""),"ANA LAURA DO NASCIMENTO DAMIÃO")</f>
        <v>ANA LAURA DO NASCIMENTO DAMIÃO</v>
      </c>
      <c r="C591" s="11"/>
      <c r="D591" s="11" t="str">
        <f ca="1">IFERROR(__xludf.dummyfunction("""COMPUTED_VALUE"""),"70451015118")</f>
        <v>70451015118</v>
      </c>
      <c r="E591" s="11" t="str">
        <f ca="1">IFERROR(__xludf.dummyfunction("""COMPUTED_VALUE"""),"ANALAURANASCIMENTO.AN@GMAIL.COM")</f>
        <v>ANALAURANASCIMENTO.AN@GMAIL.COM</v>
      </c>
      <c r="F591" s="11"/>
      <c r="G591" s="11" t="str">
        <f ca="1">IFERROR(__xludf.dummyfunction("""COMPUTED_VALUE"""),"(64) 993365125")</f>
        <v>(64) 993365125</v>
      </c>
      <c r="H591" s="11" t="str">
        <f ca="1">IFERROR(__xludf.dummyfunction("""COMPUTED_VALUE"""),"SUPERIOR")</f>
        <v>SUPERIOR</v>
      </c>
      <c r="I591" s="10" t="str">
        <f ca="1">IFERROR(__xludf.dummyfunction("""COMPUTED_VALUE"""),"DIREITO")</f>
        <v>DIREITO</v>
      </c>
      <c r="J591" s="10" t="str">
        <f ca="1">IFERROR(__xludf.dummyfunction("""COMPUTED_VALUE"""),"NOITE")</f>
        <v>NOITE</v>
      </c>
      <c r="K591" s="10" t="str">
        <f ca="1">IFERROR(__xludf.dummyfunction("""COMPUTED_VALUE"""),"TARDE")</f>
        <v>TARDE</v>
      </c>
      <c r="L591" s="10" t="str">
        <f ca="1">IFERROR(__xludf.dummyfunction("""COMPUTED_VALUE"""),"ITUMBIARA - GO")</f>
        <v>ITUMBIARA - GO</v>
      </c>
      <c r="M591" s="10">
        <f ca="1">IFERROR(__xludf.dummyfunction("""COMPUTED_VALUE"""),5)</f>
        <v>5</v>
      </c>
      <c r="N591" s="10" t="str">
        <f ca="1">IFERROR(__xludf.dummyfunction("""COMPUTED_VALUE"""),"CONTRATADO")</f>
        <v>CONTRATADO</v>
      </c>
      <c r="O591" s="11" t="str">
        <f ca="1">IFERROR(__xludf.dummyfunction("""COMPUTED_VALUE"""),"28/09 - 14:49")</f>
        <v>28/09 - 14:49</v>
      </c>
      <c r="P591" s="11"/>
      <c r="Q591" s="13">
        <f ca="1">IFERROR(__xludf.dummyfunction("""COMPUTED_VALUE"""),45231)</f>
        <v>45231</v>
      </c>
      <c r="R591" s="11"/>
    </row>
    <row r="592" spans="1:18">
      <c r="A592" s="10">
        <f ca="1">IFERROR(__xludf.dummyfunction("""COMPUTED_VALUE"""),3)</f>
        <v>3</v>
      </c>
      <c r="B592" s="11" t="str">
        <f ca="1">IFERROR(__xludf.dummyfunction("""COMPUTED_VALUE"""),"JESIEL DOS SANTOS BORGES")</f>
        <v>JESIEL DOS SANTOS BORGES</v>
      </c>
      <c r="C592" s="11"/>
      <c r="D592" s="11" t="str">
        <f ca="1">IFERROR(__xludf.dummyfunction("""COMPUTED_VALUE"""),"70630642150")</f>
        <v>70630642150</v>
      </c>
      <c r="E592" s="11" t="str">
        <f ca="1">IFERROR(__xludf.dummyfunction("""COMPUTED_VALUE"""),"JESIELMUSICO90@GMAIL.COM")</f>
        <v>JESIELMUSICO90@GMAIL.COM</v>
      </c>
      <c r="F592" s="11"/>
      <c r="G592" s="11" t="str">
        <f ca="1">IFERROR(__xludf.dummyfunction("""COMPUTED_VALUE"""),"(64) 996770606")</f>
        <v>(64) 996770606</v>
      </c>
      <c r="H592" s="11" t="str">
        <f ca="1">IFERROR(__xludf.dummyfunction("""COMPUTED_VALUE"""),"SUPERIOR")</f>
        <v>SUPERIOR</v>
      </c>
      <c r="I592" s="10" t="str">
        <f ca="1">IFERROR(__xludf.dummyfunction("""COMPUTED_VALUE"""),"DIREITO")</f>
        <v>DIREITO</v>
      </c>
      <c r="J592" s="10" t="str">
        <f ca="1">IFERROR(__xludf.dummyfunction("""COMPUTED_VALUE"""),"NOITE")</f>
        <v>NOITE</v>
      </c>
      <c r="K592" s="10" t="str">
        <f ca="1">IFERROR(__xludf.dummyfunction("""COMPUTED_VALUE"""),"TARDE")</f>
        <v>TARDE</v>
      </c>
      <c r="L592" s="10" t="str">
        <f ca="1">IFERROR(__xludf.dummyfunction("""COMPUTED_VALUE"""),"ITUMBIARA - GO")</f>
        <v>ITUMBIARA - GO</v>
      </c>
      <c r="M592" s="10">
        <f ca="1">IFERROR(__xludf.dummyfunction("""COMPUTED_VALUE"""),5)</f>
        <v>5</v>
      </c>
      <c r="N592" s="10" t="str">
        <f ca="1">IFERROR(__xludf.dummyfunction("""COMPUTED_VALUE"""),"DESCLASSIFICADO")</f>
        <v>DESCLASSIFICADO</v>
      </c>
      <c r="O592" s="11" t="str">
        <f ca="1">IFERROR(__xludf.dummyfunction("""COMPUTED_VALUE"""),"28/09 - 14:49")</f>
        <v>28/09 - 14:49</v>
      </c>
      <c r="P592" s="11" t="str">
        <f ca="1">IFERROR(__xludf.dummyfunction("""COMPUTED_VALUE"""),"FINAL DE LISTA, MOTIVOS PESSOAIS")</f>
        <v>FINAL DE LISTA, MOTIVOS PESSOAIS</v>
      </c>
      <c r="Q592" s="13"/>
      <c r="R592" s="11" t="str">
        <f ca="1">IFERROR(__xludf.dummyfunction("""COMPUTED_VALUE"""),"Não assinou o TCE e não deu retorno")</f>
        <v>Não assinou o TCE e não deu retorno</v>
      </c>
    </row>
    <row r="593" spans="1:18">
      <c r="A593" s="10">
        <f ca="1">IFERROR(__xludf.dummyfunction("""COMPUTED_VALUE"""),1)</f>
        <v>1</v>
      </c>
      <c r="B593" s="11" t="str">
        <f ca="1">IFERROR(__xludf.dummyfunction("""COMPUTED_VALUE"""),"YASMIN OLIVEIRA RIBEIRO")</f>
        <v>YASMIN OLIVEIRA RIBEIRO</v>
      </c>
      <c r="C593" s="11"/>
      <c r="D593" s="11" t="str">
        <f ca="1">IFERROR(__xludf.dummyfunction("""COMPUTED_VALUE"""),"70310012180")</f>
        <v>70310012180</v>
      </c>
      <c r="E593" s="11" t="str">
        <f ca="1">IFERROR(__xludf.dummyfunction("""COMPUTED_VALUE"""),"YASOLIVEIRA210@GMAIL.COM")</f>
        <v>YASOLIVEIRA210@GMAIL.COM</v>
      </c>
      <c r="F593" s="11"/>
      <c r="G593" s="11" t="str">
        <f ca="1">IFERROR(__xludf.dummyfunction("""COMPUTED_VALUE"""),"(64) 992830152")</f>
        <v>(64) 992830152</v>
      </c>
      <c r="H593" s="11" t="str">
        <f ca="1">IFERROR(__xludf.dummyfunction("""COMPUTED_VALUE"""),"SUPERIOR")</f>
        <v>SUPERIOR</v>
      </c>
      <c r="I593" s="10" t="str">
        <f ca="1">IFERROR(__xludf.dummyfunction("""COMPUTED_VALUE"""),"PSICOLOGIA")</f>
        <v>PSICOLOGIA</v>
      </c>
      <c r="J593" s="10" t="str">
        <f ca="1">IFERROR(__xludf.dummyfunction("""COMPUTED_VALUE"""),"NOITE")</f>
        <v>NOITE</v>
      </c>
      <c r="K593" s="10" t="str">
        <f ca="1">IFERROR(__xludf.dummyfunction("""COMPUTED_VALUE"""),"TARDE")</f>
        <v>TARDE</v>
      </c>
      <c r="L593" s="10" t="str">
        <f ca="1">IFERROR(__xludf.dummyfunction("""COMPUTED_VALUE"""),"ITUMBIARA - GO")</f>
        <v>ITUMBIARA - GO</v>
      </c>
      <c r="M593" s="10">
        <f ca="1">IFERROR(__xludf.dummyfunction("""COMPUTED_VALUE"""),5)</f>
        <v>5</v>
      </c>
      <c r="N593" s="10" t="str">
        <f ca="1">IFERROR(__xludf.dummyfunction("""COMPUTED_VALUE"""),"CONTRATADO")</f>
        <v>CONTRATADO</v>
      </c>
      <c r="O593" s="11" t="str">
        <f ca="1">IFERROR(__xludf.dummyfunction("""COMPUTED_VALUE"""),"29/09 - 13:08")</f>
        <v>29/09 - 13:08</v>
      </c>
      <c r="P593" s="11"/>
      <c r="Q593" s="13"/>
      <c r="R593" s="11"/>
    </row>
    <row r="594" spans="1:18">
      <c r="A594" s="10">
        <f ca="1">IFERROR(__xludf.dummyfunction("""COMPUTED_VALUE"""),1)</f>
        <v>1</v>
      </c>
      <c r="B594" s="11" t="str">
        <f ca="1">IFERROR(__xludf.dummyfunction("""COMPUTED_VALUE"""),"JOZIENE PALHARES ELÓI")</f>
        <v>JOZIENE PALHARES ELÓI</v>
      </c>
      <c r="C594" s="11" t="str">
        <f ca="1">IFERROR(__xludf.dummyfunction("""COMPUTED_VALUE"""),"3898740")</f>
        <v>3898740</v>
      </c>
      <c r="D594" s="11" t="str">
        <f ca="1">IFERROR(__xludf.dummyfunction("""COMPUTED_VALUE"""),"98094017104")</f>
        <v>98094017104</v>
      </c>
      <c r="E594" s="11" t="str">
        <f ca="1">IFERROR(__xludf.dummyfunction("""COMPUTED_VALUE"""),"JOZIENE.PALHARES@OUTLOOK.COM")</f>
        <v>JOZIENE.PALHARES@OUTLOOK.COM</v>
      </c>
      <c r="F594" s="11"/>
      <c r="G594" s="11" t="str">
        <f ca="1">IFERROR(__xludf.dummyfunction("""COMPUTED_VALUE"""),"(64) 992263506")</f>
        <v>(64) 992263506</v>
      </c>
      <c r="H594" s="11" t="str">
        <f ca="1">IFERROR(__xludf.dummyfunction("""COMPUTED_VALUE"""),"SUPERIOR")</f>
        <v>SUPERIOR</v>
      </c>
      <c r="I594" s="10" t="str">
        <f ca="1">IFERROR(__xludf.dummyfunction("""COMPUTED_VALUE"""),"SERVIÇO SOCIAL")</f>
        <v>SERVIÇO SOCIAL</v>
      </c>
      <c r="J594" s="10" t="str">
        <f ca="1">IFERROR(__xludf.dummyfunction("""COMPUTED_VALUE"""),"NOITE")</f>
        <v>NOITE</v>
      </c>
      <c r="K594" s="10" t="str">
        <f ca="1">IFERROR(__xludf.dummyfunction("""COMPUTED_VALUE"""),"TARDE")</f>
        <v>TARDE</v>
      </c>
      <c r="L594" s="10" t="str">
        <f ca="1">IFERROR(__xludf.dummyfunction("""COMPUTED_VALUE"""),"ITUMBIARA - GO")</f>
        <v>ITUMBIARA - GO</v>
      </c>
      <c r="M594" s="10">
        <f ca="1">IFERROR(__xludf.dummyfunction("""COMPUTED_VALUE"""),5)</f>
        <v>5</v>
      </c>
      <c r="N594" s="10" t="str">
        <f ca="1">IFERROR(__xludf.dummyfunction("""COMPUTED_VALUE"""),"DISPONÍVEL")</f>
        <v>DISPONÍVEL</v>
      </c>
      <c r="O594" s="11"/>
      <c r="P594" s="11"/>
      <c r="R594" s="11"/>
    </row>
    <row r="595" spans="1:18">
      <c r="A595" s="10">
        <f ca="1">IFERROR(__xludf.dummyfunction("QUERY('JARAGUÁ'!A5:A8)"),1)</f>
        <v>1</v>
      </c>
      <c r="B595" s="11" t="str">
        <f ca="1">IFERROR(__xludf.dummyfunction("QUERY('JARAGUÁ'!B5:B8)"),"ANA JÚLIA REIS MOREIRA")</f>
        <v>ANA JÚLIA REIS MOREIRA</v>
      </c>
      <c r="C595" s="11" t="str">
        <f ca="1">IFERROR(__xludf.dummyfunction("QUERY('JARAGUÁ'!C5:C8)"),"")</f>
        <v/>
      </c>
      <c r="D595" s="11" t="str">
        <f ca="1">IFERROR(__xludf.dummyfunction("QUERY('JARAGUÁ'!D5:D8)"),"70695374176")</f>
        <v>70695374176</v>
      </c>
      <c r="E595" s="11" t="str">
        <f ca="1">IFERROR(__xludf.dummyfunction("QUERY('JARAGUÁ'!E5:E8)"),"REISMOREIRAANAJULIA@GMAIL.COM")</f>
        <v>REISMOREIRAANAJULIA@GMAIL.COM</v>
      </c>
      <c r="F595" s="11" t="str">
        <f ca="1">IFERROR(__xludf.dummyfunction("QUERY('JARAGUÁ'!F5:F8)"),"")</f>
        <v/>
      </c>
      <c r="G595" s="11" t="str">
        <f ca="1">IFERROR(__xludf.dummyfunction("QUERY('JARAGUÁ'!G5:G8)"),"(62) 985090578")</f>
        <v>(62) 985090578</v>
      </c>
      <c r="H595" s="11" t="str">
        <f ca="1">IFERROR(__xludf.dummyfunction("QUERY('JARAGUÁ'!H5:H8)"),"SUPERIOR")</f>
        <v>SUPERIOR</v>
      </c>
      <c r="I595" s="10" t="str">
        <f ca="1">IFERROR(__xludf.dummyfunction("QUERY('JARAGUÁ'!I5:I8)"),"DIREITO")</f>
        <v>DIREITO</v>
      </c>
      <c r="J595" s="10" t="str">
        <f ca="1">IFERROR(__xludf.dummyfunction("QUERY('JARAGUÁ'!J5:J8)"),"NOITE")</f>
        <v>NOITE</v>
      </c>
      <c r="K595" s="10" t="str">
        <f ca="1">IFERROR(__xludf.dummyfunction("QUERY('JARAGUÁ'!K5:K8)"),"TARDE")</f>
        <v>TARDE</v>
      </c>
      <c r="L595" s="10" t="str">
        <f ca="1">IFERROR(__xludf.dummyfunction("QUERY('JARAGUÁ'!L5:L8)"),"JARAGUÁ - GO")</f>
        <v>JARAGUÁ - GO</v>
      </c>
      <c r="M595" s="10">
        <f ca="1">IFERROR(__xludf.dummyfunction("QUERY('JARAGUÁ'!M5:M8)"),5)</f>
        <v>5</v>
      </c>
      <c r="N595" s="10" t="str">
        <f ca="1">IFERROR(__xludf.dummyfunction("QUERY('JARAGUÁ'!N5:N8)"),"CONTRATADO")</f>
        <v>CONTRATADO</v>
      </c>
      <c r="O595" s="11" t="str">
        <f ca="1">IFERROR(__xludf.dummyfunction("QUERY('JARAGUÁ'!O5:O8)"),"16/11 - 12:14 ")</f>
        <v xml:space="preserve">16/11 - 12:14 </v>
      </c>
      <c r="P595" s="11" t="str">
        <f ca="1">IFERROR(__xludf.dummyfunction("QUERY('JARAGUÁ'!P5:P8)"),"")</f>
        <v/>
      </c>
      <c r="Q595" s="11" t="str">
        <f ca="1">IFERROR(__xludf.dummyfunction("QUERY('JARAGUÁ'!Q5:Q8)"),"")</f>
        <v/>
      </c>
      <c r="R595" s="11" t="str">
        <f ca="1">IFERROR(__xludf.dummyfunction("QUERY('JARAGUÁ'!R5:R8)"),"")</f>
        <v/>
      </c>
    </row>
    <row r="596" spans="1:18">
      <c r="A596" s="10">
        <f ca="1">IFERROR(__xludf.dummyfunction("""COMPUTED_VALUE"""),2)</f>
        <v>2</v>
      </c>
      <c r="B596" s="11" t="str">
        <f ca="1">IFERROR(__xludf.dummyfunction("""COMPUTED_VALUE"""),"GHABRYEL ARCANJO DE JESUS BAILÃO SANTOS")</f>
        <v>GHABRYEL ARCANJO DE JESUS BAILÃO SANTOS</v>
      </c>
      <c r="C596" s="11"/>
      <c r="D596" s="11" t="str">
        <f ca="1">IFERROR(__xludf.dummyfunction("""COMPUTED_VALUE"""),"71071664174")</f>
        <v>71071664174</v>
      </c>
      <c r="E596" s="11" t="str">
        <f ca="1">IFERROR(__xludf.dummyfunction("""COMPUTED_VALUE"""),"GHABRYELARCANJO21@GMAIL.COM")</f>
        <v>GHABRYELARCANJO21@GMAIL.COM</v>
      </c>
      <c r="F596" s="11"/>
      <c r="G596" s="11" t="str">
        <f ca="1">IFERROR(__xludf.dummyfunction("""COMPUTED_VALUE"""),"(62) 984733097")</f>
        <v>(62) 984733097</v>
      </c>
      <c r="H596" s="11" t="str">
        <f ca="1">IFERROR(__xludf.dummyfunction("""COMPUTED_VALUE"""),"SUPERIOR")</f>
        <v>SUPERIOR</v>
      </c>
      <c r="I596" s="10" t="str">
        <f ca="1">IFERROR(__xludf.dummyfunction("""COMPUTED_VALUE"""),"DIREITO")</f>
        <v>DIREITO</v>
      </c>
      <c r="J596" s="10" t="str">
        <f ca="1">IFERROR(__xludf.dummyfunction("""COMPUTED_VALUE"""),"NOITE")</f>
        <v>NOITE</v>
      </c>
      <c r="K596" s="10" t="str">
        <f ca="1">IFERROR(__xludf.dummyfunction("""COMPUTED_VALUE"""),"TARDE")</f>
        <v>TARDE</v>
      </c>
      <c r="L596" s="10" t="str">
        <f ca="1">IFERROR(__xludf.dummyfunction("""COMPUTED_VALUE"""),"JARAGUÁ - GO")</f>
        <v>JARAGUÁ - GO</v>
      </c>
      <c r="M596" s="10">
        <f ca="1">IFERROR(__xludf.dummyfunction("""COMPUTED_VALUE"""),6)</f>
        <v>6</v>
      </c>
      <c r="N596" s="10" t="str">
        <f ca="1">IFERROR(__xludf.dummyfunction("""COMPUTED_VALUE"""),"CONTRATADO")</f>
        <v>CONTRATADO</v>
      </c>
      <c r="O596" s="12">
        <f ca="1">IFERROR(__xludf.dummyfunction("""COMPUTED_VALUE"""),45653)</f>
        <v>45653</v>
      </c>
      <c r="P596" s="11"/>
      <c r="Q596" s="11"/>
      <c r="R596" s="11"/>
    </row>
    <row r="597" spans="1:18">
      <c r="A597" s="10">
        <f ca="1">IFERROR(__xludf.dummyfunction("""COMPUTED_VALUE"""),3)</f>
        <v>3</v>
      </c>
      <c r="B597" s="11" t="str">
        <f ca="1">IFERROR(__xludf.dummyfunction("""COMPUTED_VALUE"""),"LARISSA AVELINO MACHADO GOMES")</f>
        <v>LARISSA AVELINO MACHADO GOMES</v>
      </c>
      <c r="C597" s="11"/>
      <c r="D597" s="11" t="str">
        <f ca="1">IFERROR(__xludf.dummyfunction("""COMPUTED_VALUE"""),"70454037120")</f>
        <v>70454037120</v>
      </c>
      <c r="E597" s="11" t="str">
        <f ca="1">IFERROR(__xludf.dummyfunction("""COMPUTED_VALUE"""),"LARISSAAV92@GMAIL.COM")</f>
        <v>LARISSAAV92@GMAIL.COM</v>
      </c>
      <c r="F597" s="11"/>
      <c r="G597" s="11" t="str">
        <f ca="1">IFERROR(__xludf.dummyfunction("""COMPUTED_VALUE"""),"(62) 985010178")</f>
        <v>(62) 985010178</v>
      </c>
      <c r="H597" s="11" t="str">
        <f ca="1">IFERROR(__xludf.dummyfunction("""COMPUTED_VALUE"""),"SUPERIOR")</f>
        <v>SUPERIOR</v>
      </c>
      <c r="I597" s="10" t="str">
        <f ca="1">IFERROR(__xludf.dummyfunction("""COMPUTED_VALUE"""),"DIREITO")</f>
        <v>DIREITO</v>
      </c>
      <c r="J597" s="10" t="str">
        <f ca="1">IFERROR(__xludf.dummyfunction("""COMPUTED_VALUE"""),"MANHÃ")</f>
        <v>MANHÃ</v>
      </c>
      <c r="K597" s="10" t="str">
        <f ca="1">IFERROR(__xludf.dummyfunction("""COMPUTED_VALUE"""),"TARDE")</f>
        <v>TARDE</v>
      </c>
      <c r="L597" s="10" t="str">
        <f ca="1">IFERROR(__xludf.dummyfunction("""COMPUTED_VALUE"""),"JARAGUÁ - GO")</f>
        <v>JARAGUÁ - GO</v>
      </c>
      <c r="M597" s="10">
        <f ca="1">IFERROR(__xludf.dummyfunction("""COMPUTED_VALUE"""),5)</f>
        <v>5</v>
      </c>
      <c r="N597" s="10" t="str">
        <f ca="1">IFERROR(__xludf.dummyfunction("""COMPUTED_VALUE"""),"CONTRATADO")</f>
        <v>CONTRATADO</v>
      </c>
      <c r="O597" s="12"/>
      <c r="P597" s="11"/>
      <c r="Q597" s="11"/>
      <c r="R597" s="11"/>
    </row>
    <row r="598" spans="1:18">
      <c r="A598" s="10">
        <f ca="1">IFERROR(__xludf.dummyfunction("""COMPUTED_VALUE"""),4)</f>
        <v>4</v>
      </c>
      <c r="B598" s="11" t="str">
        <f ca="1">IFERROR(__xludf.dummyfunction("""COMPUTED_VALUE"""),"RITA DE CASSIA RANGEL MELO")</f>
        <v>RITA DE CASSIA RANGEL MELO</v>
      </c>
      <c r="C598" s="11"/>
      <c r="D598" s="11" t="str">
        <f ca="1">IFERROR(__xludf.dummyfunction("""COMPUTED_VALUE"""),"70356227138")</f>
        <v>70356227138</v>
      </c>
      <c r="E598" s="11" t="str">
        <f ca="1">IFERROR(__xludf.dummyfunction("""COMPUTED_VALUE"""),"RITADECASSIARANGELM@HOTMAIL.COM")</f>
        <v>RITADECASSIARANGELM@HOTMAIL.COM</v>
      </c>
      <c r="F598" s="11"/>
      <c r="G598" s="11" t="str">
        <f ca="1">IFERROR(__xludf.dummyfunction("""COMPUTED_VALUE"""),"(62) 985011575")</f>
        <v>(62) 985011575</v>
      </c>
      <c r="H598" s="11" t="str">
        <f ca="1">IFERROR(__xludf.dummyfunction("""COMPUTED_VALUE"""),"SUPERIOR")</f>
        <v>SUPERIOR</v>
      </c>
      <c r="I598" s="10" t="str">
        <f ca="1">IFERROR(__xludf.dummyfunction("""COMPUTED_VALUE"""),"DIREITO")</f>
        <v>DIREITO</v>
      </c>
      <c r="J598" s="10" t="str">
        <f ca="1">IFERROR(__xludf.dummyfunction("""COMPUTED_VALUE"""),"NOITE")</f>
        <v>NOITE</v>
      </c>
      <c r="K598" s="10" t="str">
        <f ca="1">IFERROR(__xludf.dummyfunction("""COMPUTED_VALUE"""),"TARDE")</f>
        <v>TARDE</v>
      </c>
      <c r="L598" s="10" t="str">
        <f ca="1">IFERROR(__xludf.dummyfunction("""COMPUTED_VALUE"""),"JARAGUÁ - GO")</f>
        <v>JARAGUÁ - GO</v>
      </c>
      <c r="M598" s="10">
        <f ca="1">IFERROR(__xludf.dummyfunction("""COMPUTED_VALUE"""),9)</f>
        <v>9</v>
      </c>
      <c r="N598" s="10" t="str">
        <f ca="1">IFERROR(__xludf.dummyfunction("""COMPUTED_VALUE"""),"DESCLASSIFICADO")</f>
        <v>DESCLASSIFICADO</v>
      </c>
      <c r="P598" s="11"/>
      <c r="Q598" s="11"/>
      <c r="R598" s="11"/>
    </row>
    <row r="599" spans="1:18">
      <c r="A599" s="10">
        <f ca="1">IFERROR(__xludf.dummyfunction("QUERY('JATAÍ'!A5:A24)"),1)</f>
        <v>1</v>
      </c>
      <c r="B599" s="11" t="str">
        <f ca="1">IFERROR(__xludf.dummyfunction("QUERY('JATAÍ'!B5:B24)"),"MARIA PAULA SILVA BARBOSA")</f>
        <v>MARIA PAULA SILVA BARBOSA</v>
      </c>
      <c r="C599" s="11" t="str">
        <f ca="1">IFERROR(__xludf.dummyfunction("QUERY('JATAÍ'!C5:C24)"),"")</f>
        <v/>
      </c>
      <c r="D599" s="11" t="str">
        <f ca="1">IFERROR(__xludf.dummyfunction("QUERY('JATAÍ'!D5:D24)"),"09039571406")</f>
        <v>09039571406</v>
      </c>
      <c r="E599" s="11" t="str">
        <f ca="1">IFERROR(__xludf.dummyfunction("QUERY('JATAÍ'!E5:E24)"),"MPSILVABARBOSA@GMAIL.COM")</f>
        <v>MPSILVABARBOSA@GMAIL.COM</v>
      </c>
      <c r="F599" s="11" t="str">
        <f ca="1">IFERROR(__xludf.dummyfunction("QUERY('JATAÍ'!F5:F24)"),"")</f>
        <v/>
      </c>
      <c r="G599" s="11" t="str">
        <f ca="1">IFERROR(__xludf.dummyfunction("QUERY('JATAÍ'!G5:G24)"),"(64) 999466661")</f>
        <v>(64) 999466661</v>
      </c>
      <c r="H599" s="11" t="str">
        <f ca="1">IFERROR(__xludf.dummyfunction("QUERY('JATAÍ'!H5:H24)"),"SUPERIOR")</f>
        <v>SUPERIOR</v>
      </c>
      <c r="I599" s="10" t="str">
        <f ca="1">IFERROR(__xludf.dummyfunction("QUERY('JATAÍ'!I5:I24)"),"DIREITO")</f>
        <v>DIREITO</v>
      </c>
      <c r="J599" s="10" t="str">
        <f ca="1">IFERROR(__xludf.dummyfunction("QUERY('JATAÍ'!J5:J24)"),"NOITE")</f>
        <v>NOITE</v>
      </c>
      <c r="K599" s="10" t="str">
        <f ca="1">IFERROR(__xludf.dummyfunction("QUERY('JATAÍ'!K5:K24)"),"TARDE")</f>
        <v>TARDE</v>
      </c>
      <c r="L599" s="10" t="str">
        <f ca="1">IFERROR(__xludf.dummyfunction("QUERY('JATAÍ'!L5:L24)"),"JATAÍ - GO")</f>
        <v>JATAÍ - GO</v>
      </c>
      <c r="M599" s="10">
        <f ca="1">IFERROR(__xludf.dummyfunction("QUERY('JATAÍ'!M5:M24)"),5)</f>
        <v>5</v>
      </c>
      <c r="N599" s="10" t="str">
        <f ca="1">IFERROR(__xludf.dummyfunction("QUERY('JATAÍ'!N5:N24)"),"REMANEJADO")</f>
        <v>REMANEJADO</v>
      </c>
      <c r="O599" s="11" t="str">
        <f ca="1">IFERROR(__xludf.dummyfunction("QUERY('JATAÍ'!O5:O24)"),"16/11 - 08:59 16/11 - 08:59")</f>
        <v>16/11 - 08:59 16/11 - 08:59</v>
      </c>
      <c r="P599" s="11" t="str">
        <f ca="1">IFERROR(__xludf.dummyfunction("QUERY('JATAÍ'!P5:P24)"),"sem retorno")</f>
        <v>sem retorno</v>
      </c>
      <c r="Q599" s="11" t="str">
        <f ca="1">IFERROR(__xludf.dummyfunction("QUERY('JATAÍ'!Q5:Q24)"),"")</f>
        <v/>
      </c>
      <c r="R599" s="11" t="str">
        <f ca="1">IFERROR(__xludf.dummyfunction("QUERY('JATAÍ'!R5:R24)"),"")</f>
        <v/>
      </c>
    </row>
    <row r="600" spans="1:18">
      <c r="A600" s="10">
        <f ca="1">IFERROR(__xludf.dummyfunction("""COMPUTED_VALUE"""),2)</f>
        <v>2</v>
      </c>
      <c r="B600" s="11" t="str">
        <f ca="1">IFERROR(__xludf.dummyfunction("""COMPUTED_VALUE"""),"LÍVIA SILVA MENDES E SANTOS")</f>
        <v>LÍVIA SILVA MENDES E SANTOS</v>
      </c>
      <c r="C600" s="11"/>
      <c r="D600" s="11" t="str">
        <f ca="1">IFERROR(__xludf.dummyfunction("""COMPUTED_VALUE"""),"05197920173")</f>
        <v>05197920173</v>
      </c>
      <c r="E600" s="11" t="str">
        <f ca="1">IFERROR(__xludf.dummyfunction("""COMPUTED_VALUE"""),"LIVIASMSANTOS@GMAIL.COM")</f>
        <v>LIVIASMSANTOS@GMAIL.COM</v>
      </c>
      <c r="F600" s="11"/>
      <c r="G600" s="11" t="str">
        <f ca="1">IFERROR(__xludf.dummyfunction("""COMPUTED_VALUE"""),"(64) 984361234")</f>
        <v>(64) 984361234</v>
      </c>
      <c r="H600" s="11" t="str">
        <f ca="1">IFERROR(__xludf.dummyfunction("""COMPUTED_VALUE"""),"SUPERIOR")</f>
        <v>SUPERIOR</v>
      </c>
      <c r="I600" s="10" t="str">
        <f ca="1">IFERROR(__xludf.dummyfunction("""COMPUTED_VALUE"""),"DIREITO")</f>
        <v>DIREITO</v>
      </c>
      <c r="J600" s="10" t="str">
        <f ca="1">IFERROR(__xludf.dummyfunction("""COMPUTED_VALUE"""),"NOITE")</f>
        <v>NOITE</v>
      </c>
      <c r="K600" s="10" t="str">
        <f ca="1">IFERROR(__xludf.dummyfunction("""COMPUTED_VALUE"""),"TARDE")</f>
        <v>TARDE</v>
      </c>
      <c r="L600" s="10" t="str">
        <f ca="1">IFERROR(__xludf.dummyfunction("""COMPUTED_VALUE"""),"JATAÍ - GO")</f>
        <v>JATAÍ - GO</v>
      </c>
      <c r="M600" s="10">
        <f ca="1">IFERROR(__xludf.dummyfunction("""COMPUTED_VALUE"""),5)</f>
        <v>5</v>
      </c>
      <c r="N600" s="10" t="str">
        <f ca="1">IFERROR(__xludf.dummyfunction("""COMPUTED_VALUE"""),"CONTRATADO")</f>
        <v>CONTRATADO</v>
      </c>
      <c r="O600" s="12">
        <f ca="1">IFERROR(__xludf.dummyfunction("""COMPUTED_VALUE"""),45653)</f>
        <v>45653</v>
      </c>
      <c r="P600" s="11"/>
      <c r="Q600" s="11"/>
      <c r="R600" s="11"/>
    </row>
    <row r="601" spans="1:18">
      <c r="A601" s="10">
        <f ca="1">IFERROR(__xludf.dummyfunction("""COMPUTED_VALUE"""),3)</f>
        <v>3</v>
      </c>
      <c r="B601" s="11" t="str">
        <f ca="1">IFERROR(__xludf.dummyfunction("""COMPUTED_VALUE"""),"NATHALIA GONZALEZ SCHELTINGA")</f>
        <v>NATHALIA GONZALEZ SCHELTINGA</v>
      </c>
      <c r="C601" s="11" t="str">
        <f ca="1">IFERROR(__xludf.dummyfunction("""COMPUTED_VALUE"""),"1830521")</f>
        <v>1830521</v>
      </c>
      <c r="D601" s="11" t="str">
        <f ca="1">IFERROR(__xludf.dummyfunction("""COMPUTED_VALUE"""),"05671697158")</f>
        <v>05671697158</v>
      </c>
      <c r="E601" s="11" t="str">
        <f ca="1">IFERROR(__xludf.dummyfunction("""COMPUTED_VALUE"""),"NATHIGONSHEL@HOTMAIL.COM")</f>
        <v>NATHIGONSHEL@HOTMAIL.COM</v>
      </c>
      <c r="F601" s="11"/>
      <c r="G601" s="11" t="str">
        <f ca="1">IFERROR(__xludf.dummyfunction("""COMPUTED_VALUE"""),"(67) 981588814")</f>
        <v>(67) 981588814</v>
      </c>
      <c r="H601" s="11" t="str">
        <f ca="1">IFERROR(__xludf.dummyfunction("""COMPUTED_VALUE"""),"SUPERIOR")</f>
        <v>SUPERIOR</v>
      </c>
      <c r="I601" s="10" t="str">
        <f ca="1">IFERROR(__xludf.dummyfunction("""COMPUTED_VALUE"""),"DIREITO")</f>
        <v>DIREITO</v>
      </c>
      <c r="J601" s="10" t="str">
        <f ca="1">IFERROR(__xludf.dummyfunction("""COMPUTED_VALUE"""),"NOITE")</f>
        <v>NOITE</v>
      </c>
      <c r="K601" s="10" t="str">
        <f ca="1">IFERROR(__xludf.dummyfunction("""COMPUTED_VALUE"""),"TARDE")</f>
        <v>TARDE</v>
      </c>
      <c r="L601" s="10" t="str">
        <f ca="1">IFERROR(__xludf.dummyfunction("""COMPUTED_VALUE"""),"JATAÍ - GO")</f>
        <v>JATAÍ - GO</v>
      </c>
      <c r="M601" s="10">
        <f ca="1">IFERROR(__xludf.dummyfunction("""COMPUTED_VALUE"""),5)</f>
        <v>5</v>
      </c>
      <c r="N601" s="10" t="str">
        <f ca="1">IFERROR(__xludf.dummyfunction("""COMPUTED_VALUE"""),"CONTRATADO")</f>
        <v>CONTRATADO</v>
      </c>
      <c r="O601" s="12"/>
      <c r="P601" s="11"/>
      <c r="Q601" s="11"/>
      <c r="R601" s="11"/>
    </row>
    <row r="602" spans="1:18">
      <c r="A602" s="10">
        <f ca="1">IFERROR(__xludf.dummyfunction("""COMPUTED_VALUE"""),4)</f>
        <v>4</v>
      </c>
      <c r="B602" s="11" t="str">
        <f ca="1">IFERROR(__xludf.dummyfunction("""COMPUTED_VALUE"""),"LETICIA MELO OLIVEIRA")</f>
        <v>LETICIA MELO OLIVEIRA</v>
      </c>
      <c r="C602" s="11" t="str">
        <f ca="1">IFERROR(__xludf.dummyfunction("""COMPUTED_VALUE"""),"5625516")</f>
        <v>5625516</v>
      </c>
      <c r="D602" s="11" t="str">
        <f ca="1">IFERROR(__xludf.dummyfunction("""COMPUTED_VALUE"""),"03992176142")</f>
        <v>03992176142</v>
      </c>
      <c r="E602" s="11" t="str">
        <f ca="1">IFERROR(__xludf.dummyfunction("""COMPUTED_VALUE"""),"LETICIAMELOOLIVEIRA74@GMAIL.COM")</f>
        <v>LETICIAMELOOLIVEIRA74@GMAIL.COM</v>
      </c>
      <c r="F602" s="11" t="str">
        <f ca="1">IFERROR(__xludf.dummyfunction("""COMPUTED_VALUE"""),"(64) 36312324")</f>
        <v>(64) 36312324</v>
      </c>
      <c r="G602" s="11" t="str">
        <f ca="1">IFERROR(__xludf.dummyfunction("""COMPUTED_VALUE"""),"(64) 996061015")</f>
        <v>(64) 996061015</v>
      </c>
      <c r="H602" s="11" t="str">
        <f ca="1">IFERROR(__xludf.dummyfunction("""COMPUTED_VALUE"""),"SUPERIOR")</f>
        <v>SUPERIOR</v>
      </c>
      <c r="I602" s="10" t="str">
        <f ca="1">IFERROR(__xludf.dummyfunction("""COMPUTED_VALUE"""),"DIREITO")</f>
        <v>DIREITO</v>
      </c>
      <c r="J602" s="10" t="str">
        <f ca="1">IFERROR(__xludf.dummyfunction("""COMPUTED_VALUE"""),"NOITE")</f>
        <v>NOITE</v>
      </c>
      <c r="K602" s="10" t="str">
        <f ca="1">IFERROR(__xludf.dummyfunction("""COMPUTED_VALUE"""),"TARDE")</f>
        <v>TARDE</v>
      </c>
      <c r="L602" s="10" t="str">
        <f ca="1">IFERROR(__xludf.dummyfunction("""COMPUTED_VALUE"""),"JATAÍ - GO")</f>
        <v>JATAÍ - GO</v>
      </c>
      <c r="M602" s="10">
        <f ca="1">IFERROR(__xludf.dummyfunction("""COMPUTED_VALUE"""),5)</f>
        <v>5</v>
      </c>
      <c r="N602" s="10" t="str">
        <f ca="1">IFERROR(__xludf.dummyfunction("""COMPUTED_VALUE"""),"DISPONÍVEL")</f>
        <v>DISPONÍVEL</v>
      </c>
      <c r="O602" s="12">
        <f ca="1">IFERROR(__xludf.dummyfunction("""COMPUTED_VALUE"""),45653)</f>
        <v>45653</v>
      </c>
      <c r="P602" s="11"/>
      <c r="Q602" s="11"/>
      <c r="R602" s="11"/>
    </row>
    <row r="603" spans="1:18">
      <c r="A603" s="10">
        <f ca="1">IFERROR(__xludf.dummyfunction("""COMPUTED_VALUE"""),5)</f>
        <v>5</v>
      </c>
      <c r="B603" s="11" t="str">
        <f ca="1">IFERROR(__xludf.dummyfunction("""COMPUTED_VALUE"""),"ANA BEATRIZ DE LIMA BARBOSA")</f>
        <v>ANA BEATRIZ DE LIMA BARBOSA</v>
      </c>
      <c r="C603" s="11"/>
      <c r="D603" s="11" t="str">
        <f ca="1">IFERROR(__xludf.dummyfunction("""COMPUTED_VALUE"""),"05528751128")</f>
        <v>05528751128</v>
      </c>
      <c r="E603" s="11" t="str">
        <f ca="1">IFERROR(__xludf.dummyfunction("""COMPUTED_VALUE"""),"ANABEATRIZDLBARBOSA@GMAIL.COM")</f>
        <v>ANABEATRIZDLBARBOSA@GMAIL.COM</v>
      </c>
      <c r="F603" s="11"/>
      <c r="G603" s="11" t="str">
        <f ca="1">IFERROR(__xludf.dummyfunction("""COMPUTED_VALUE"""),"(64) 996189781")</f>
        <v>(64) 996189781</v>
      </c>
      <c r="H603" s="11" t="str">
        <f ca="1">IFERROR(__xludf.dummyfunction("""COMPUTED_VALUE"""),"SUPERIOR")</f>
        <v>SUPERIOR</v>
      </c>
      <c r="I603" s="10" t="str">
        <f ca="1">IFERROR(__xludf.dummyfunction("""COMPUTED_VALUE"""),"DIREITO")</f>
        <v>DIREITO</v>
      </c>
      <c r="J603" s="10" t="str">
        <f ca="1">IFERROR(__xludf.dummyfunction("""COMPUTED_VALUE"""),"NOITE")</f>
        <v>NOITE</v>
      </c>
      <c r="K603" s="10" t="str">
        <f ca="1">IFERROR(__xludf.dummyfunction("""COMPUTED_VALUE"""),"TARDE")</f>
        <v>TARDE</v>
      </c>
      <c r="L603" s="10" t="str">
        <f ca="1">IFERROR(__xludf.dummyfunction("""COMPUTED_VALUE"""),"JATAÍ - GO")</f>
        <v>JATAÍ - GO</v>
      </c>
      <c r="M603" s="10">
        <f ca="1">IFERROR(__xludf.dummyfunction("""COMPUTED_VALUE"""),5)</f>
        <v>5</v>
      </c>
      <c r="N603" s="10" t="str">
        <f ca="1">IFERROR(__xludf.dummyfunction("""COMPUTED_VALUE"""),"NÃO ATENDE/AGUARDANDO RETORNO")</f>
        <v>NÃO ATENDE/AGUARDANDO RETORNO</v>
      </c>
      <c r="O603" s="12">
        <f ca="1">IFERROR(__xludf.dummyfunction("""COMPUTED_VALUE"""),45653)</f>
        <v>45653</v>
      </c>
      <c r="P603" s="11"/>
      <c r="Q603" s="11"/>
      <c r="R603" s="11"/>
    </row>
    <row r="604" spans="1:18">
      <c r="A604" s="10">
        <f ca="1">IFERROR(__xludf.dummyfunction("""COMPUTED_VALUE"""),6)</f>
        <v>6</v>
      </c>
      <c r="B604" s="11" t="str">
        <f ca="1">IFERROR(__xludf.dummyfunction("""COMPUTED_VALUE"""),"ANA LAURA PAIVA CARNEIRO")</f>
        <v>ANA LAURA PAIVA CARNEIRO</v>
      </c>
      <c r="C604" s="11" t="str">
        <f ca="1">IFERROR(__xludf.dummyfunction("""COMPUTED_VALUE"""),"6913116")</f>
        <v>6913116</v>
      </c>
      <c r="D604" s="11" t="str">
        <f ca="1">IFERROR(__xludf.dummyfunction("""COMPUTED_VALUE"""),"07869054178")</f>
        <v>07869054178</v>
      </c>
      <c r="E604" s="11" t="str">
        <f ca="1">IFERROR(__xludf.dummyfunction("""COMPUTED_VALUE"""),"PAIVAA216@GMAIL.COM")</f>
        <v>PAIVAA216@GMAIL.COM</v>
      </c>
      <c r="F604" s="11" t="str">
        <f ca="1">IFERROR(__xludf.dummyfunction("""COMPUTED_VALUE"""),"(64) 99934226")</f>
        <v>(64) 99934226</v>
      </c>
      <c r="G604" s="11" t="str">
        <f ca="1">IFERROR(__xludf.dummyfunction("""COMPUTED_VALUE"""),"(64) 999342263")</f>
        <v>(64) 999342263</v>
      </c>
      <c r="H604" s="11" t="str">
        <f ca="1">IFERROR(__xludf.dummyfunction("""COMPUTED_VALUE"""),"SUPERIOR")</f>
        <v>SUPERIOR</v>
      </c>
      <c r="I604" s="10" t="str">
        <f ca="1">IFERROR(__xludf.dummyfunction("""COMPUTED_VALUE"""),"DIREITO")</f>
        <v>DIREITO</v>
      </c>
      <c r="J604" s="10" t="str">
        <f ca="1">IFERROR(__xludf.dummyfunction("""COMPUTED_VALUE"""),"NOITE")</f>
        <v>NOITE</v>
      </c>
      <c r="K604" s="10" t="str">
        <f ca="1">IFERROR(__xludf.dummyfunction("""COMPUTED_VALUE"""),"TARDE")</f>
        <v>TARDE</v>
      </c>
      <c r="L604" s="10" t="str">
        <f ca="1">IFERROR(__xludf.dummyfunction("""COMPUTED_VALUE"""),"JATAÍ - GO")</f>
        <v>JATAÍ - GO</v>
      </c>
      <c r="M604" s="10">
        <f ca="1">IFERROR(__xludf.dummyfunction("""COMPUTED_VALUE"""),7)</f>
        <v>7</v>
      </c>
      <c r="N604" s="10" t="str">
        <f ca="1">IFERROR(__xludf.dummyfunction("""COMPUTED_VALUE"""),"CONTRATADO")</f>
        <v>CONTRATADO</v>
      </c>
      <c r="O604" s="12">
        <f ca="1">IFERROR(__xludf.dummyfunction("""COMPUTED_VALUE"""),45653)</f>
        <v>45653</v>
      </c>
      <c r="P604" s="11"/>
      <c r="Q604" s="11"/>
      <c r="R604" s="11"/>
    </row>
    <row r="605" spans="1:18">
      <c r="A605" s="10">
        <f ca="1">IFERROR(__xludf.dummyfunction("""COMPUTED_VALUE"""),7)</f>
        <v>7</v>
      </c>
      <c r="B605" s="11" t="str">
        <f ca="1">IFERROR(__xludf.dummyfunction("""COMPUTED_VALUE"""),"ANA SÔNIA GOMES DOS SANTOS")</f>
        <v>ANA SÔNIA GOMES DOS SANTOS</v>
      </c>
      <c r="C605" s="11"/>
      <c r="D605" s="11" t="str">
        <f ca="1">IFERROR(__xludf.dummyfunction("""COMPUTED_VALUE"""),"71163383147")</f>
        <v>71163383147</v>
      </c>
      <c r="E605" s="11" t="str">
        <f ca="1">IFERROR(__xludf.dummyfunction("""COMPUTED_VALUE"""),"ANASONIAGS@GMAIL.COM")</f>
        <v>ANASONIAGS@GMAIL.COM</v>
      </c>
      <c r="F605" s="11"/>
      <c r="G605" s="11" t="str">
        <f ca="1">IFERROR(__xludf.dummyfunction("""COMPUTED_VALUE"""),"(64) 999094693")</f>
        <v>(64) 999094693</v>
      </c>
      <c r="H605" s="11" t="str">
        <f ca="1">IFERROR(__xludf.dummyfunction("""COMPUTED_VALUE"""),"SUPERIOR")</f>
        <v>SUPERIOR</v>
      </c>
      <c r="I605" s="10" t="str">
        <f ca="1">IFERROR(__xludf.dummyfunction("""COMPUTED_VALUE"""),"DIREITO")</f>
        <v>DIREITO</v>
      </c>
      <c r="J605" s="10" t="str">
        <f ca="1">IFERROR(__xludf.dummyfunction("""COMPUTED_VALUE"""),"NOITE")</f>
        <v>NOITE</v>
      </c>
      <c r="K605" s="10" t="str">
        <f ca="1">IFERROR(__xludf.dummyfunction("""COMPUTED_VALUE"""),"TARDE")</f>
        <v>TARDE</v>
      </c>
      <c r="L605" s="10" t="str">
        <f ca="1">IFERROR(__xludf.dummyfunction("""COMPUTED_VALUE"""),"JATAÍ - GO")</f>
        <v>JATAÍ - GO</v>
      </c>
      <c r="M605" s="10">
        <f ca="1">IFERROR(__xludf.dummyfunction("""COMPUTED_VALUE"""),5)</f>
        <v>5</v>
      </c>
      <c r="N605" s="10" t="str">
        <f ca="1">IFERROR(__xludf.dummyfunction("""COMPUTED_VALUE"""),"CONTRATADO")</f>
        <v>CONTRATADO</v>
      </c>
      <c r="O605" s="12"/>
      <c r="P605" s="11"/>
      <c r="Q605" s="11"/>
      <c r="R605" s="11"/>
    </row>
    <row r="606" spans="1:18">
      <c r="A606" s="10">
        <f ca="1">IFERROR(__xludf.dummyfunction("""COMPUTED_VALUE"""),8)</f>
        <v>8</v>
      </c>
      <c r="B606" s="11" t="str">
        <f ca="1">IFERROR(__xludf.dummyfunction("""COMPUTED_VALUE"""),"JOSE SEVERINO ADRIANO NETO")</f>
        <v>JOSE SEVERINO ADRIANO NETO</v>
      </c>
      <c r="C606" s="11"/>
      <c r="D606" s="11" t="str">
        <f ca="1">IFERROR(__xludf.dummyfunction("""COMPUTED_VALUE"""),"70428119174")</f>
        <v>70428119174</v>
      </c>
      <c r="E606" s="11" t="str">
        <f ca="1">IFERROR(__xludf.dummyfunction("""COMPUTED_VALUE"""),"JOSENE3TO@GMAIL.COM")</f>
        <v>JOSENE3TO@GMAIL.COM</v>
      </c>
      <c r="F606" s="11"/>
      <c r="G606" s="11" t="str">
        <f ca="1">IFERROR(__xludf.dummyfunction("""COMPUTED_VALUE"""),"(64) 996089269")</f>
        <v>(64) 996089269</v>
      </c>
      <c r="H606" s="11" t="str">
        <f ca="1">IFERROR(__xludf.dummyfunction("""COMPUTED_VALUE"""),"SUPERIOR")</f>
        <v>SUPERIOR</v>
      </c>
      <c r="I606" s="10" t="str">
        <f ca="1">IFERROR(__xludf.dummyfunction("""COMPUTED_VALUE"""),"DIREITO")</f>
        <v>DIREITO</v>
      </c>
      <c r="J606" s="10" t="str">
        <f ca="1">IFERROR(__xludf.dummyfunction("""COMPUTED_VALUE"""),"NOITE")</f>
        <v>NOITE</v>
      </c>
      <c r="K606" s="10" t="str">
        <f ca="1">IFERROR(__xludf.dummyfunction("""COMPUTED_VALUE"""),"TARDE")</f>
        <v>TARDE</v>
      </c>
      <c r="L606" s="10" t="str">
        <f ca="1">IFERROR(__xludf.dummyfunction("""COMPUTED_VALUE"""),"JATAÍ - GO")</f>
        <v>JATAÍ - GO</v>
      </c>
      <c r="M606" s="10">
        <f ca="1">IFERROR(__xludf.dummyfunction("""COMPUTED_VALUE"""),7)</f>
        <v>7</v>
      </c>
      <c r="N606" s="10" t="str">
        <f ca="1">IFERROR(__xludf.dummyfunction("""COMPUTED_VALUE"""),"DISPONÍVEL")</f>
        <v>DISPONÍVEL</v>
      </c>
      <c r="O606" s="12"/>
      <c r="P606" s="11"/>
      <c r="Q606" s="11"/>
      <c r="R606" s="11"/>
    </row>
    <row r="607" spans="1:18">
      <c r="A607" s="10">
        <f ca="1">IFERROR(__xludf.dummyfunction("""COMPUTED_VALUE"""),9)</f>
        <v>9</v>
      </c>
      <c r="B607" s="11" t="str">
        <f ca="1">IFERROR(__xludf.dummyfunction("""COMPUTED_VALUE"""),"LUCAS THIAGO DUARTE LUCENA")</f>
        <v>LUCAS THIAGO DUARTE LUCENA</v>
      </c>
      <c r="C607" s="11"/>
      <c r="D607" s="11" t="str">
        <f ca="1">IFERROR(__xludf.dummyfunction("""COMPUTED_VALUE"""),"73440450104")</f>
        <v>73440450104</v>
      </c>
      <c r="E607" s="11" t="str">
        <f ca="1">IFERROR(__xludf.dummyfunction("""COMPUTED_VALUE"""),"LTD_LUCENA@HOTMAIL.COM")</f>
        <v>LTD_LUCENA@HOTMAIL.COM</v>
      </c>
      <c r="F607" s="11"/>
      <c r="G607" s="11" t="str">
        <f ca="1">IFERROR(__xludf.dummyfunction("""COMPUTED_VALUE"""),"(61) 986521554")</f>
        <v>(61) 986521554</v>
      </c>
      <c r="H607" s="11" t="str">
        <f ca="1">IFERROR(__xludf.dummyfunction("""COMPUTED_VALUE"""),"SUPERIOR")</f>
        <v>SUPERIOR</v>
      </c>
      <c r="I607" s="10" t="str">
        <f ca="1">IFERROR(__xludf.dummyfunction("""COMPUTED_VALUE"""),"DIREITO")</f>
        <v>DIREITO</v>
      </c>
      <c r="J607" s="10" t="str">
        <f ca="1">IFERROR(__xludf.dummyfunction("""COMPUTED_VALUE"""),"NOITE")</f>
        <v>NOITE</v>
      </c>
      <c r="K607" s="10" t="str">
        <f ca="1">IFERROR(__xludf.dummyfunction("""COMPUTED_VALUE"""),"TARDE")</f>
        <v>TARDE</v>
      </c>
      <c r="L607" s="10" t="str">
        <f ca="1">IFERROR(__xludf.dummyfunction("""COMPUTED_VALUE"""),"JATAÍ - GO")</f>
        <v>JATAÍ - GO</v>
      </c>
      <c r="M607" s="10">
        <f ca="1">IFERROR(__xludf.dummyfunction("""COMPUTED_VALUE"""),7)</f>
        <v>7</v>
      </c>
      <c r="N607" s="10" t="str">
        <f ca="1">IFERROR(__xludf.dummyfunction("""COMPUTED_VALUE"""),"DISPONÍVEL")</f>
        <v>DISPONÍVEL</v>
      </c>
      <c r="O607" s="12"/>
      <c r="P607" s="11"/>
      <c r="Q607" s="11"/>
      <c r="R607" s="11"/>
    </row>
    <row r="608" spans="1:18">
      <c r="A608" s="10">
        <f ca="1">IFERROR(__xludf.dummyfunction("""COMPUTED_VALUE"""),10)</f>
        <v>10</v>
      </c>
      <c r="B608" s="11" t="str">
        <f ca="1">IFERROR(__xludf.dummyfunction("""COMPUTED_VALUE"""),"JOÃO PEDRO DE GODOY GOES")</f>
        <v>JOÃO PEDRO DE GODOY GOES</v>
      </c>
      <c r="C608" s="11"/>
      <c r="D608" s="11" t="str">
        <f ca="1">IFERROR(__xludf.dummyfunction("""COMPUTED_VALUE"""),"52611955867")</f>
        <v>52611955867</v>
      </c>
      <c r="E608" s="11" t="str">
        <f ca="1">IFERROR(__xludf.dummyfunction("""COMPUTED_VALUE"""),"JOAOPEDROGGOES@HOTMAIL.COM")</f>
        <v>JOAOPEDROGGOES@HOTMAIL.COM</v>
      </c>
      <c r="F608" s="11" t="str">
        <f ca="1">IFERROR(__xludf.dummyfunction("""COMPUTED_VALUE"""),"(62) 33752464")</f>
        <v>(62) 33752464</v>
      </c>
      <c r="G608" s="11" t="str">
        <f ca="1">IFERROR(__xludf.dummyfunction("""COMPUTED_VALUE"""),"(11) 975178245")</f>
        <v>(11) 975178245</v>
      </c>
      <c r="H608" s="11" t="str">
        <f ca="1">IFERROR(__xludf.dummyfunction("""COMPUTED_VALUE"""),"SUPERIOR")</f>
        <v>SUPERIOR</v>
      </c>
      <c r="I608" s="10" t="str">
        <f ca="1">IFERROR(__xludf.dummyfunction("""COMPUTED_VALUE"""),"DIREITO")</f>
        <v>DIREITO</v>
      </c>
      <c r="J608" s="10" t="str">
        <f ca="1">IFERROR(__xludf.dummyfunction("""COMPUTED_VALUE"""),"NOITE")</f>
        <v>NOITE</v>
      </c>
      <c r="K608" s="10" t="str">
        <f ca="1">IFERROR(__xludf.dummyfunction("""COMPUTED_VALUE"""),"TARDE")</f>
        <v>TARDE</v>
      </c>
      <c r="L608" s="10" t="str">
        <f ca="1">IFERROR(__xludf.dummyfunction("""COMPUTED_VALUE"""),"JATAÍ - GO")</f>
        <v>JATAÍ - GO</v>
      </c>
      <c r="M608" s="10">
        <f ca="1">IFERROR(__xludf.dummyfunction("""COMPUTED_VALUE"""),5)</f>
        <v>5</v>
      </c>
      <c r="N608" s="10" t="str">
        <f ca="1">IFERROR(__xludf.dummyfunction("""COMPUTED_VALUE"""),"DISPONÍVEL")</f>
        <v>DISPONÍVEL</v>
      </c>
      <c r="O608" s="12">
        <f ca="1">IFERROR(__xludf.dummyfunction("""COMPUTED_VALUE"""),45653)</f>
        <v>45653</v>
      </c>
      <c r="P608" s="11"/>
      <c r="Q608" s="11"/>
      <c r="R608" s="11"/>
    </row>
    <row r="609" spans="1:18">
      <c r="A609" s="10">
        <f ca="1">IFERROR(__xludf.dummyfunction("""COMPUTED_VALUE"""),11)</f>
        <v>11</v>
      </c>
      <c r="B609" s="11" t="str">
        <f ca="1">IFERROR(__xludf.dummyfunction("""COMPUTED_VALUE"""),"ISABEL DE TASSIA FONTES SOUZA")</f>
        <v>ISABEL DE TASSIA FONTES SOUZA</v>
      </c>
      <c r="C609" s="11"/>
      <c r="D609" s="11" t="str">
        <f ca="1">IFERROR(__xludf.dummyfunction("""COMPUTED_VALUE"""),"05242612100")</f>
        <v>05242612100</v>
      </c>
      <c r="E609" s="11" t="str">
        <f ca="1">IFERROR(__xludf.dummyfunction("""COMPUTED_VALUE"""),"ISABELDETASSIA@GMAIL.COM")</f>
        <v>ISABELDETASSIA@GMAIL.COM</v>
      </c>
      <c r="F609" s="11"/>
      <c r="G609" s="11" t="str">
        <f ca="1">IFERROR(__xludf.dummyfunction("""COMPUTED_VALUE"""),"(64) 999578280")</f>
        <v>(64) 999578280</v>
      </c>
      <c r="H609" s="11" t="str">
        <f ca="1">IFERROR(__xludf.dummyfunction("""COMPUTED_VALUE"""),"SUPERIOR")</f>
        <v>SUPERIOR</v>
      </c>
      <c r="I609" s="10" t="str">
        <f ca="1">IFERROR(__xludf.dummyfunction("""COMPUTED_VALUE"""),"DIREITO")</f>
        <v>DIREITO</v>
      </c>
      <c r="J609" s="10" t="str">
        <f ca="1">IFERROR(__xludf.dummyfunction("""COMPUTED_VALUE"""),"NOITE")</f>
        <v>NOITE</v>
      </c>
      <c r="K609" s="10" t="str">
        <f ca="1">IFERROR(__xludf.dummyfunction("""COMPUTED_VALUE"""),"TARDE")</f>
        <v>TARDE</v>
      </c>
      <c r="L609" s="10" t="str">
        <f ca="1">IFERROR(__xludf.dummyfunction("""COMPUTED_VALUE"""),"JATAÍ - GO")</f>
        <v>JATAÍ - GO</v>
      </c>
      <c r="M609" s="10">
        <f ca="1">IFERROR(__xludf.dummyfunction("""COMPUTED_VALUE"""),5)</f>
        <v>5</v>
      </c>
      <c r="N609" s="10" t="str">
        <f ca="1">IFERROR(__xludf.dummyfunction("""COMPUTED_VALUE"""),"CONTRATADO")</f>
        <v>CONTRATADO</v>
      </c>
      <c r="O609" s="12"/>
      <c r="P609" s="11"/>
      <c r="Q609" s="11"/>
      <c r="R609" s="11"/>
    </row>
    <row r="610" spans="1:18">
      <c r="A610" s="10">
        <f ca="1">IFERROR(__xludf.dummyfunction("""COMPUTED_VALUE"""),12)</f>
        <v>12</v>
      </c>
      <c r="B610" s="11" t="str">
        <f ca="1">IFERROR(__xludf.dummyfunction("""COMPUTED_VALUE"""),"PAULO HENRIQUE D ASSUNÇÃO NASCIMENTO")</f>
        <v>PAULO HENRIQUE D ASSUNÇÃO NASCIMENTO</v>
      </c>
      <c r="C610" s="11"/>
      <c r="D610" s="11" t="str">
        <f ca="1">IFERROR(__xludf.dummyfunction("""COMPUTED_VALUE"""),"70830404198")</f>
        <v>70830404198</v>
      </c>
      <c r="E610" s="11" t="str">
        <f ca="1">IFERROR(__xludf.dummyfunction("""COMPUTED_VALUE"""),"HENRIQUEPAULOSJDR2023@GMAIL.COM")</f>
        <v>HENRIQUEPAULOSJDR2023@GMAIL.COM</v>
      </c>
      <c r="F610" s="11"/>
      <c r="G610" s="11" t="str">
        <f ca="1">IFERROR(__xludf.dummyfunction("""COMPUTED_VALUE"""),"(64) 984413994")</f>
        <v>(64) 984413994</v>
      </c>
      <c r="H610" s="11" t="str">
        <f ca="1">IFERROR(__xludf.dummyfunction("""COMPUTED_VALUE"""),"SUPERIOR")</f>
        <v>SUPERIOR</v>
      </c>
      <c r="I610" s="10" t="str">
        <f ca="1">IFERROR(__xludf.dummyfunction("""COMPUTED_VALUE"""),"DIREITO")</f>
        <v>DIREITO</v>
      </c>
      <c r="J610" s="10" t="str">
        <f ca="1">IFERROR(__xludf.dummyfunction("""COMPUTED_VALUE"""),"NOITE")</f>
        <v>NOITE</v>
      </c>
      <c r="K610" s="10" t="str">
        <f ca="1">IFERROR(__xludf.dummyfunction("""COMPUTED_VALUE"""),"TARDE")</f>
        <v>TARDE</v>
      </c>
      <c r="L610" s="10" t="str">
        <f ca="1">IFERROR(__xludf.dummyfunction("""COMPUTED_VALUE"""),"JATAÍ - GO")</f>
        <v>JATAÍ - GO</v>
      </c>
      <c r="M610" s="10">
        <f ca="1">IFERROR(__xludf.dummyfunction("""COMPUTED_VALUE"""),5)</f>
        <v>5</v>
      </c>
      <c r="N610" s="10" t="str">
        <f ca="1">IFERROR(__xludf.dummyfunction("""COMPUTED_VALUE"""),"DISPONÍVEL")</f>
        <v>DISPONÍVEL</v>
      </c>
      <c r="O610" s="12"/>
      <c r="P610" s="11"/>
      <c r="Q610" s="11"/>
      <c r="R610" s="11"/>
    </row>
    <row r="611" spans="1:18">
      <c r="A611" s="10">
        <f ca="1">IFERROR(__xludf.dummyfunction("""COMPUTED_VALUE"""),13)</f>
        <v>13</v>
      </c>
      <c r="B611" s="11" t="str">
        <f ca="1">IFERROR(__xludf.dummyfunction("""COMPUTED_VALUE"""),"BÁRBARA SILVA AMORIM")</f>
        <v>BÁRBARA SILVA AMORIM</v>
      </c>
      <c r="C611" s="11"/>
      <c r="D611" s="11" t="str">
        <f ca="1">IFERROR(__xludf.dummyfunction("""COMPUTED_VALUE"""),"70216503108")</f>
        <v>70216503108</v>
      </c>
      <c r="E611" s="11" t="str">
        <f ca="1">IFERROR(__xludf.dummyfunction("""COMPUTED_VALUE"""),"BARBARASILVAAMORIM14@GMAIL.COM")</f>
        <v>BARBARASILVAAMORIM14@GMAIL.COM</v>
      </c>
      <c r="F611" s="11"/>
      <c r="G611" s="11" t="str">
        <f ca="1">IFERROR(__xludf.dummyfunction("""COMPUTED_VALUE"""),"(64) 993193707")</f>
        <v>(64) 993193707</v>
      </c>
      <c r="H611" s="11" t="str">
        <f ca="1">IFERROR(__xludf.dummyfunction("""COMPUTED_VALUE"""),"SUPERIOR")</f>
        <v>SUPERIOR</v>
      </c>
      <c r="I611" s="10" t="str">
        <f ca="1">IFERROR(__xludf.dummyfunction("""COMPUTED_VALUE"""),"DIREITO")</f>
        <v>DIREITO</v>
      </c>
      <c r="J611" s="10" t="str">
        <f ca="1">IFERROR(__xludf.dummyfunction("""COMPUTED_VALUE"""),"NOITE")</f>
        <v>NOITE</v>
      </c>
      <c r="K611" s="10" t="str">
        <f ca="1">IFERROR(__xludf.dummyfunction("""COMPUTED_VALUE"""),"TARDE")</f>
        <v>TARDE</v>
      </c>
      <c r="L611" s="10" t="str">
        <f ca="1">IFERROR(__xludf.dummyfunction("""COMPUTED_VALUE"""),"JATAÍ - GO")</f>
        <v>JATAÍ - GO</v>
      </c>
      <c r="M611" s="10">
        <f ca="1">IFERROR(__xludf.dummyfunction("""COMPUTED_VALUE"""),5)</f>
        <v>5</v>
      </c>
      <c r="N611" s="10" t="str">
        <f ca="1">IFERROR(__xludf.dummyfunction("""COMPUTED_VALUE"""),"DISPONÍVEL")</f>
        <v>DISPONÍVEL</v>
      </c>
      <c r="O611" s="12"/>
      <c r="P611" s="11"/>
      <c r="Q611" s="11"/>
      <c r="R611" s="11"/>
    </row>
    <row r="612" spans="1:18">
      <c r="A612" s="10">
        <f ca="1">IFERROR(__xludf.dummyfunction("""COMPUTED_VALUE"""),14)</f>
        <v>14</v>
      </c>
      <c r="B612" s="11" t="str">
        <f ca="1">IFERROR(__xludf.dummyfunction("""COMPUTED_VALUE"""),"ANDRESSA SILVA RUA")</f>
        <v>ANDRESSA SILVA RUA</v>
      </c>
      <c r="C612" s="11"/>
      <c r="D612" s="11" t="str">
        <f ca="1">IFERROR(__xludf.dummyfunction("""COMPUTED_VALUE"""),"70460862146")</f>
        <v>70460862146</v>
      </c>
      <c r="E612" s="11" t="str">
        <f ca="1">IFERROR(__xludf.dummyfunction("""COMPUTED_VALUE"""),"ANDRESSARUA.13@GMAIL.COM")</f>
        <v>ANDRESSARUA.13@GMAIL.COM</v>
      </c>
      <c r="F612" s="11"/>
      <c r="G612" s="11" t="str">
        <f ca="1">IFERROR(__xludf.dummyfunction("""COMPUTED_VALUE"""),"(64) 996165060")</f>
        <v>(64) 996165060</v>
      </c>
      <c r="H612" s="11" t="str">
        <f ca="1">IFERROR(__xludf.dummyfunction("""COMPUTED_VALUE"""),"SUPERIOR")</f>
        <v>SUPERIOR</v>
      </c>
      <c r="I612" s="10" t="str">
        <f ca="1">IFERROR(__xludf.dummyfunction("""COMPUTED_VALUE"""),"DIREITO")</f>
        <v>DIREITO</v>
      </c>
      <c r="J612" s="10" t="str">
        <f ca="1">IFERROR(__xludf.dummyfunction("""COMPUTED_VALUE"""),"NOITE")</f>
        <v>NOITE</v>
      </c>
      <c r="K612" s="10" t="str">
        <f ca="1">IFERROR(__xludf.dummyfunction("""COMPUTED_VALUE"""),"TARDE")</f>
        <v>TARDE</v>
      </c>
      <c r="L612" s="10" t="str">
        <f ca="1">IFERROR(__xludf.dummyfunction("""COMPUTED_VALUE"""),"JATAÍ - GO")</f>
        <v>JATAÍ - GO</v>
      </c>
      <c r="M612" s="10">
        <f ca="1">IFERROR(__xludf.dummyfunction("""COMPUTED_VALUE"""),5)</f>
        <v>5</v>
      </c>
      <c r="N612" s="10" t="str">
        <f ca="1">IFERROR(__xludf.dummyfunction("""COMPUTED_VALUE"""),"DISPONÍVEL")</f>
        <v>DISPONÍVEL</v>
      </c>
      <c r="O612" s="12"/>
      <c r="P612" s="11"/>
      <c r="Q612" s="11"/>
      <c r="R612" s="11"/>
    </row>
    <row r="613" spans="1:18">
      <c r="A613" s="10">
        <f ca="1">IFERROR(__xludf.dummyfunction("""COMPUTED_VALUE"""),15)</f>
        <v>15</v>
      </c>
      <c r="B613" s="11" t="str">
        <f ca="1">IFERROR(__xludf.dummyfunction("""COMPUTED_VALUE"""),"JAQUELINE PEREIRA DOS SANTOS")</f>
        <v>JAQUELINE PEREIRA DOS SANTOS</v>
      </c>
      <c r="C613" s="11"/>
      <c r="D613" s="11" t="str">
        <f ca="1">IFERROR(__xludf.dummyfunction("""COMPUTED_VALUE"""),"15703226600")</f>
        <v>15703226600</v>
      </c>
      <c r="E613" s="11" t="str">
        <f ca="1">IFERROR(__xludf.dummyfunction("""COMPUTED_VALUE"""),"JAQUELINEIEQ123@GMAIL.COM")</f>
        <v>JAQUELINEIEQ123@GMAIL.COM</v>
      </c>
      <c r="F613" s="11" t="str">
        <f ca="1">IFERROR(__xludf.dummyfunction("""COMPUTED_VALUE"""),"(38) 97389725")</f>
        <v>(38) 97389725</v>
      </c>
      <c r="G613" s="11" t="str">
        <f ca="1">IFERROR(__xludf.dummyfunction("""COMPUTED_VALUE"""),"(38) 997389725")</f>
        <v>(38) 997389725</v>
      </c>
      <c r="H613" s="11" t="str">
        <f ca="1">IFERROR(__xludf.dummyfunction("""COMPUTED_VALUE"""),"SUPERIOR")</f>
        <v>SUPERIOR</v>
      </c>
      <c r="I613" s="10" t="str">
        <f ca="1">IFERROR(__xludf.dummyfunction("""COMPUTED_VALUE"""),"DIREITO")</f>
        <v>DIREITO</v>
      </c>
      <c r="J613" s="10" t="str">
        <f ca="1">IFERROR(__xludf.dummyfunction("""COMPUTED_VALUE"""),"VARIÁVEL")</f>
        <v>VARIÁVEL</v>
      </c>
      <c r="K613" s="10" t="str">
        <f ca="1">IFERROR(__xludf.dummyfunction("""COMPUTED_VALUE"""),"TARDE")</f>
        <v>TARDE</v>
      </c>
      <c r="L613" s="10" t="str">
        <f ca="1">IFERROR(__xludf.dummyfunction("""COMPUTED_VALUE"""),"JATAÍ - GO")</f>
        <v>JATAÍ - GO</v>
      </c>
      <c r="M613" s="10">
        <f ca="1">IFERROR(__xludf.dummyfunction("""COMPUTED_VALUE"""),5)</f>
        <v>5</v>
      </c>
      <c r="N613" s="10" t="str">
        <f ca="1">IFERROR(__xludf.dummyfunction("""COMPUTED_VALUE"""),"DISPONÍVEL")</f>
        <v>DISPONÍVEL</v>
      </c>
      <c r="O613" s="12"/>
      <c r="P613" s="11"/>
      <c r="Q613" s="11"/>
      <c r="R613" s="11"/>
    </row>
    <row r="614" spans="1:18">
      <c r="A614" s="10">
        <f ca="1">IFERROR(__xludf.dummyfunction("""COMPUTED_VALUE"""),16)</f>
        <v>16</v>
      </c>
      <c r="B614" s="11" t="str">
        <f ca="1">IFERROR(__xludf.dummyfunction("""COMPUTED_VALUE"""),"RODOLFO KALIEL FERNANDES DE CASTRO MORAES")</f>
        <v>RODOLFO KALIEL FERNANDES DE CASTRO MORAES</v>
      </c>
      <c r="C614" s="11"/>
      <c r="D614" s="11" t="str">
        <f ca="1">IFERROR(__xludf.dummyfunction("""COMPUTED_VALUE"""),"09076608512")</f>
        <v>09076608512</v>
      </c>
      <c r="E614" s="11" t="str">
        <f ca="1">IFERROR(__xludf.dummyfunction("""COMPUTED_VALUE"""),"KALIELRODOLFO2021@OUTLOOK.COM")</f>
        <v>KALIELRODOLFO2021@OUTLOOK.COM</v>
      </c>
      <c r="F614" s="11"/>
      <c r="G614" s="11" t="str">
        <f ca="1">IFERROR(__xludf.dummyfunction("""COMPUTED_VALUE"""),"(77) 999129487")</f>
        <v>(77) 999129487</v>
      </c>
      <c r="H614" s="11" t="str">
        <f ca="1">IFERROR(__xludf.dummyfunction("""COMPUTED_VALUE"""),"SUPERIOR")</f>
        <v>SUPERIOR</v>
      </c>
      <c r="I614" s="10" t="str">
        <f ca="1">IFERROR(__xludf.dummyfunction("""COMPUTED_VALUE"""),"DIREITO")</f>
        <v>DIREITO</v>
      </c>
      <c r="J614" s="10" t="str">
        <f ca="1">IFERROR(__xludf.dummyfunction("""COMPUTED_VALUE"""),"NOITE")</f>
        <v>NOITE</v>
      </c>
      <c r="K614" s="10" t="str">
        <f ca="1">IFERROR(__xludf.dummyfunction("""COMPUTED_VALUE"""),"TARDE")</f>
        <v>TARDE</v>
      </c>
      <c r="L614" s="10" t="str">
        <f ca="1">IFERROR(__xludf.dummyfunction("""COMPUTED_VALUE"""),"JATAÍ - GO")</f>
        <v>JATAÍ - GO</v>
      </c>
      <c r="M614" s="10">
        <f ca="1">IFERROR(__xludf.dummyfunction("""COMPUTED_VALUE"""),5)</f>
        <v>5</v>
      </c>
      <c r="N614" s="10" t="str">
        <f ca="1">IFERROR(__xludf.dummyfunction("""COMPUTED_VALUE"""),"DISPONÍVEL")</f>
        <v>DISPONÍVEL</v>
      </c>
      <c r="O614" s="12"/>
      <c r="P614" s="11"/>
      <c r="Q614" s="11"/>
      <c r="R614" s="11"/>
    </row>
    <row r="615" spans="1:18">
      <c r="A615" s="10">
        <f ca="1">IFERROR(__xludf.dummyfunction("""COMPUTED_VALUE"""),17)</f>
        <v>17</v>
      </c>
      <c r="B615" s="11" t="str">
        <f ca="1">IFERROR(__xludf.dummyfunction("""COMPUTED_VALUE"""),"ÃNGELA SOUZA DE JESUS")</f>
        <v>ÃNGELA SOUZA DE JESUS</v>
      </c>
      <c r="C615" s="11"/>
      <c r="D615" s="11" t="str">
        <f ca="1">IFERROR(__xludf.dummyfunction("""COMPUTED_VALUE"""),"70390249181")</f>
        <v>70390249181</v>
      </c>
      <c r="E615" s="11" t="str">
        <f ca="1">IFERROR(__xludf.dummyfunction("""COMPUTED_VALUE"""),"SOUZA_JESUS@DISCENTE.UFJ.EDU.BR")</f>
        <v>SOUZA_JESUS@DISCENTE.UFJ.EDU.BR</v>
      </c>
      <c r="F615" s="11" t="str">
        <f ca="1">IFERROR(__xludf.dummyfunction("""COMPUTED_VALUE"""),"(64) 99616650")</f>
        <v>(64) 99616650</v>
      </c>
      <c r="G615" s="11" t="str">
        <f ca="1">IFERROR(__xludf.dummyfunction("""COMPUTED_VALUE"""),"(64) 996166501")</f>
        <v>(64) 996166501</v>
      </c>
      <c r="H615" s="11" t="str">
        <f ca="1">IFERROR(__xludf.dummyfunction("""COMPUTED_VALUE"""),"SUPERIOR")</f>
        <v>SUPERIOR</v>
      </c>
      <c r="I615" s="10" t="str">
        <f ca="1">IFERROR(__xludf.dummyfunction("""COMPUTED_VALUE"""),"DIREITO")</f>
        <v>DIREITO</v>
      </c>
      <c r="J615" s="10" t="str">
        <f ca="1">IFERROR(__xludf.dummyfunction("""COMPUTED_VALUE"""),"NOITE")</f>
        <v>NOITE</v>
      </c>
      <c r="K615" s="10" t="str">
        <f ca="1">IFERROR(__xludf.dummyfunction("""COMPUTED_VALUE"""),"TARDE")</f>
        <v>TARDE</v>
      </c>
      <c r="L615" s="10" t="str">
        <f ca="1">IFERROR(__xludf.dummyfunction("""COMPUTED_VALUE"""),"JATAÍ - GO")</f>
        <v>JATAÍ - GO</v>
      </c>
      <c r="M615" s="10">
        <f ca="1">IFERROR(__xludf.dummyfunction("""COMPUTED_VALUE"""),5)</f>
        <v>5</v>
      </c>
      <c r="N615" s="10" t="str">
        <f ca="1">IFERROR(__xludf.dummyfunction("""COMPUTED_VALUE"""),"DISPONÍVEL")</f>
        <v>DISPONÍVEL</v>
      </c>
      <c r="O615" s="12"/>
      <c r="P615" s="11"/>
      <c r="Q615" s="11"/>
      <c r="R615" s="11"/>
    </row>
    <row r="616" spans="1:18">
      <c r="A616" s="10">
        <f ca="1">IFERROR(__xludf.dummyfunction("""COMPUTED_VALUE"""),18)</f>
        <v>18</v>
      </c>
      <c r="B616" s="11" t="str">
        <f ca="1">IFERROR(__xludf.dummyfunction("""COMPUTED_VALUE"""),"GHEOVANA SOARES OLIVEIRA")</f>
        <v>GHEOVANA SOARES OLIVEIRA</v>
      </c>
      <c r="C616" s="11"/>
      <c r="D616" s="11" t="str">
        <f ca="1">IFERROR(__xludf.dummyfunction("""COMPUTED_VALUE"""),"70811128113")</f>
        <v>70811128113</v>
      </c>
      <c r="E616" s="11" t="str">
        <f ca="1">IFERROR(__xludf.dummyfunction("""COMPUTED_VALUE"""),"GHOVANASOARES1348@GMAIL.COM")</f>
        <v>GHOVANASOARES1348@GMAIL.COM</v>
      </c>
      <c r="F616" s="11" t="str">
        <f ca="1">IFERROR(__xludf.dummyfunction("""COMPUTED_VALUE"""),"(62) 96619543")</f>
        <v>(62) 96619543</v>
      </c>
      <c r="G616" s="11" t="str">
        <f ca="1">IFERROR(__xludf.dummyfunction("""COMPUTED_VALUE"""),"(62) 996619543")</f>
        <v>(62) 996619543</v>
      </c>
      <c r="H616" s="11" t="str">
        <f ca="1">IFERROR(__xludf.dummyfunction("""COMPUTED_VALUE"""),"SUPERIOR")</f>
        <v>SUPERIOR</v>
      </c>
      <c r="I616" s="10" t="str">
        <f ca="1">IFERROR(__xludf.dummyfunction("""COMPUTED_VALUE"""),"DIREITO")</f>
        <v>DIREITO</v>
      </c>
      <c r="J616" s="10" t="str">
        <f ca="1">IFERROR(__xludf.dummyfunction("""COMPUTED_VALUE"""),"NOITE")</f>
        <v>NOITE</v>
      </c>
      <c r="K616" s="10" t="str">
        <f ca="1">IFERROR(__xludf.dummyfunction("""COMPUTED_VALUE"""),"TARDE")</f>
        <v>TARDE</v>
      </c>
      <c r="L616" s="10" t="str">
        <f ca="1">IFERROR(__xludf.dummyfunction("""COMPUTED_VALUE"""),"JATAÍ - GO")</f>
        <v>JATAÍ - GO</v>
      </c>
      <c r="M616" s="10">
        <f ca="1">IFERROR(__xludf.dummyfunction("""COMPUTED_VALUE"""),5)</f>
        <v>5</v>
      </c>
      <c r="N616" s="10" t="str">
        <f ca="1">IFERROR(__xludf.dummyfunction("""COMPUTED_VALUE"""),"DISPONÍVEL")</f>
        <v>DISPONÍVEL</v>
      </c>
      <c r="O616" s="12"/>
      <c r="P616" s="11"/>
      <c r="Q616" s="11"/>
      <c r="R616" s="11"/>
    </row>
    <row r="617" spans="1:18">
      <c r="A617" s="10">
        <f ca="1">IFERROR(__xludf.dummyfunction("""COMPUTED_VALUE"""),19)</f>
        <v>19</v>
      </c>
      <c r="B617" s="11" t="str">
        <f ca="1">IFERROR(__xludf.dummyfunction("""COMPUTED_VALUE"""),"IURY SOUZA")</f>
        <v>IURY SOUZA</v>
      </c>
      <c r="C617" s="11"/>
      <c r="D617" s="11" t="str">
        <f ca="1">IFERROR(__xludf.dummyfunction("""COMPUTED_VALUE"""),"70853482160")</f>
        <v>70853482160</v>
      </c>
      <c r="E617" s="11" t="str">
        <f ca="1">IFERROR(__xludf.dummyfunction("""COMPUTED_VALUE"""),"IURYS3034@GMAIL.COM")</f>
        <v>IURYS3034@GMAIL.COM</v>
      </c>
      <c r="F617" s="11" t="str">
        <f ca="1">IFERROR(__xludf.dummyfunction("""COMPUTED_VALUE"""),"(62) 98433414")</f>
        <v>(62) 98433414</v>
      </c>
      <c r="G617" s="11" t="str">
        <f ca="1">IFERROR(__xludf.dummyfunction("""COMPUTED_VALUE"""),"(62) 984334143")</f>
        <v>(62) 984334143</v>
      </c>
      <c r="H617" s="11" t="str">
        <f ca="1">IFERROR(__xludf.dummyfunction("""COMPUTED_VALUE"""),"SUPERIOR")</f>
        <v>SUPERIOR</v>
      </c>
      <c r="I617" s="10" t="str">
        <f ca="1">IFERROR(__xludf.dummyfunction("""COMPUTED_VALUE"""),"DIREITO")</f>
        <v>DIREITO</v>
      </c>
      <c r="J617" s="10" t="str">
        <f ca="1">IFERROR(__xludf.dummyfunction("""COMPUTED_VALUE"""),"NOITE")</f>
        <v>NOITE</v>
      </c>
      <c r="K617" s="10" t="str">
        <f ca="1">IFERROR(__xludf.dummyfunction("""COMPUTED_VALUE"""),"TARDE")</f>
        <v>TARDE</v>
      </c>
      <c r="L617" s="10" t="str">
        <f ca="1">IFERROR(__xludf.dummyfunction("""COMPUTED_VALUE"""),"JATAÍ - GO")</f>
        <v>JATAÍ - GO</v>
      </c>
      <c r="M617" s="10">
        <f ca="1">IFERROR(__xludf.dummyfunction("""COMPUTED_VALUE"""),5)</f>
        <v>5</v>
      </c>
      <c r="N617" s="10" t="str">
        <f ca="1">IFERROR(__xludf.dummyfunction("""COMPUTED_VALUE"""),"CONTRATADO")</f>
        <v>CONTRATADO</v>
      </c>
      <c r="O617" s="12"/>
      <c r="P617" s="11"/>
      <c r="Q617" s="11"/>
      <c r="R617" s="11"/>
    </row>
    <row r="618" spans="1:18">
      <c r="A618" s="10">
        <f ca="1">IFERROR(__xludf.dummyfunction("""COMPUTED_VALUE"""),1)</f>
        <v>1</v>
      </c>
      <c r="B618" s="11" t="str">
        <f ca="1">IFERROR(__xludf.dummyfunction("""COMPUTED_VALUE"""),"ERIVANIA DE ALMEIDA XAVIER")</f>
        <v>ERIVANIA DE ALMEIDA XAVIER</v>
      </c>
      <c r="C618" s="11"/>
      <c r="D618" s="11" t="str">
        <f ca="1">IFERROR(__xludf.dummyfunction("""COMPUTED_VALUE"""),"07662720446")</f>
        <v>07662720446</v>
      </c>
      <c r="E618" s="11" t="str">
        <f ca="1">IFERROR(__xludf.dummyfunction("""COMPUTED_VALUE"""),"ERIVANIAXAVIER08@GMAIL.COM")</f>
        <v>ERIVANIAXAVIER08@GMAIL.COM</v>
      </c>
      <c r="F618" s="11"/>
      <c r="G618" s="11" t="str">
        <f ca="1">IFERROR(__xludf.dummyfunction("""COMPUTED_VALUE"""),"(64) 993023831")</f>
        <v>(64) 993023831</v>
      </c>
      <c r="H618" s="11" t="str">
        <f ca="1">IFERROR(__xludf.dummyfunction("""COMPUTED_VALUE"""),"SUPERIOR")</f>
        <v>SUPERIOR</v>
      </c>
      <c r="I618" s="10" t="str">
        <f ca="1">IFERROR(__xludf.dummyfunction("""COMPUTED_VALUE"""),"SERVIÇO SOCIAL")</f>
        <v>SERVIÇO SOCIAL</v>
      </c>
      <c r="J618" s="10" t="str">
        <f ca="1">IFERROR(__xludf.dummyfunction("""COMPUTED_VALUE"""),"VARIÁVEL")</f>
        <v>VARIÁVEL</v>
      </c>
      <c r="K618" s="10" t="str">
        <f ca="1">IFERROR(__xludf.dummyfunction("""COMPUTED_VALUE"""),"TARDE")</f>
        <v>TARDE</v>
      </c>
      <c r="L618" s="10" t="str">
        <f ca="1">IFERROR(__xludf.dummyfunction("""COMPUTED_VALUE"""),"JATAÍ - GO")</f>
        <v>JATAÍ - GO</v>
      </c>
      <c r="M618" s="10">
        <f ca="1">IFERROR(__xludf.dummyfunction("""COMPUTED_VALUE"""),5)</f>
        <v>5</v>
      </c>
      <c r="N618" s="10" t="str">
        <f ca="1">IFERROR(__xludf.dummyfunction("""COMPUTED_VALUE"""),"DISPONÍVEL")</f>
        <v>DISPONÍVEL</v>
      </c>
      <c r="P618" s="11"/>
      <c r="Q618" s="11"/>
      <c r="R618" s="11"/>
    </row>
    <row r="619" spans="1:18">
      <c r="A619" s="10">
        <f ca="1">IFERROR(__xludf.dummyfunction("QUERY('JOVIÂNIA'!A5)"),1)</f>
        <v>1</v>
      </c>
      <c r="B619" s="11" t="str">
        <f ca="1">IFERROR(__xludf.dummyfunction("QUERY('JOVIÂNIA'!B5)"),"BIANCA CAROLINE LUZ SOUZA")</f>
        <v>BIANCA CAROLINE LUZ SOUZA</v>
      </c>
      <c r="C619" s="11" t="str">
        <f ca="1">IFERROR(__xludf.dummyfunction("QUERY('JOVIÂNIA'!C5)"),"")</f>
        <v/>
      </c>
      <c r="D619" s="11" t="str">
        <f ca="1">IFERROR(__xludf.dummyfunction("QUERY('JOVIÂNIA'!D5)"),"06326621151")</f>
        <v>06326621151</v>
      </c>
      <c r="E619" s="11" t="str">
        <f ca="1">IFERROR(__xludf.dummyfunction("QUERY('JOVIÂNIA'!E5)"),"BIANCACLSOUZA24@GMAIL.COM")</f>
        <v>BIANCACLSOUZA24@GMAIL.COM</v>
      </c>
      <c r="F619" s="11" t="str">
        <f ca="1">IFERROR(__xludf.dummyfunction("QUERY('JOVIÂNIA'!F5)"),"(64) 34081775")</f>
        <v>(64) 34081775</v>
      </c>
      <c r="G619" s="11" t="str">
        <f ca="1">IFERROR(__xludf.dummyfunction("QUERY('JOVIÂNIA'!G5)"),"(64) 981461251")</f>
        <v>(64) 981461251</v>
      </c>
      <c r="H619" s="11" t="str">
        <f ca="1">IFERROR(__xludf.dummyfunction("QUERY('JOVIÂNIA'!H5)"),"SUPERIOR")</f>
        <v>SUPERIOR</v>
      </c>
      <c r="I619" s="10" t="str">
        <f ca="1">IFERROR(__xludf.dummyfunction("QUERY('JOVIÂNIA'!I5)"),"DIREITO")</f>
        <v>DIREITO</v>
      </c>
      <c r="J619" s="10" t="str">
        <f ca="1">IFERROR(__xludf.dummyfunction("QUERY('JOVIÂNIA'!J5)"),"NOITE")</f>
        <v>NOITE</v>
      </c>
      <c r="K619" s="10" t="str">
        <f ca="1">IFERROR(__xludf.dummyfunction("QUERY('JOVIÂNIA'!K5)"),"TARDE")</f>
        <v>TARDE</v>
      </c>
      <c r="L619" s="10" t="str">
        <f ca="1">IFERROR(__xludf.dummyfunction("QUERY('JOVIÂNIA'!L5)"),"JOVIÂNIA - GO")</f>
        <v>JOVIÂNIA - GO</v>
      </c>
      <c r="M619" s="10">
        <f ca="1">IFERROR(__xludf.dummyfunction("QUERY('JOVIÂNIA'!M5)"),8)</f>
        <v>8</v>
      </c>
      <c r="N619" s="10" t="str">
        <f ca="1">IFERROR(__xludf.dummyfunction("QUERY('JOVIÂNIA'!N5)"),"CONTRATADO")</f>
        <v>CONTRATADO</v>
      </c>
      <c r="O619" s="11" t="str">
        <f ca="1">IFERROR(__xludf.dummyfunction("QUERY('JOVIÂNIA'!O5)"),"16/11 - 12:20")</f>
        <v>16/11 - 12:20</v>
      </c>
      <c r="P619" s="11" t="str">
        <f ca="1">IFERROR(__xludf.dummyfunction("QUERY('JOVIÂNIA'!P5)"),"")</f>
        <v/>
      </c>
      <c r="Q619" s="11" t="str">
        <f ca="1">IFERROR(__xludf.dummyfunction("QUERY('JOVIÂNIA'!Q5)"),"")</f>
        <v/>
      </c>
      <c r="R619" s="11" t="str">
        <f ca="1">IFERROR(__xludf.dummyfunction("QUERY('JOVIÂNIA'!R5)"),"")</f>
        <v/>
      </c>
    </row>
    <row r="620" spans="1:18">
      <c r="A620" s="10">
        <f ca="1">IFERROR(__xludf.dummyfunction("QUERY(JUSSARA!A5:A12)"),1)</f>
        <v>1</v>
      </c>
      <c r="B620" s="11" t="str">
        <f ca="1">IFERROR(__xludf.dummyfunction("QUERY(JUSSARA!B5:B12)"),"ANNA LAURA SAMPAIO BONTEMPO TEIXEIRA")</f>
        <v>ANNA LAURA SAMPAIO BONTEMPO TEIXEIRA</v>
      </c>
      <c r="C620" s="11" t="str">
        <f ca="1">IFERROR(__xludf.dummyfunction("QUERY(JUSSARA!C5:C12)"),"")</f>
        <v/>
      </c>
      <c r="D620" s="11" t="str">
        <f ca="1">IFERROR(__xludf.dummyfunction("QUERY(JUSSARA!D5:D12)"),"10397929102")</f>
        <v>10397929102</v>
      </c>
      <c r="E620" s="11" t="str">
        <f ca="1">IFERROR(__xludf.dummyfunction("QUERY(JUSSARA!E5:E12)"),"LAURAANNA692@GMAIL.COM")</f>
        <v>LAURAANNA692@GMAIL.COM</v>
      </c>
      <c r="F620" s="11" t="str">
        <f ca="1">IFERROR(__xludf.dummyfunction("QUERY(JUSSARA!F5:F12)"),"(62) 85071430")</f>
        <v>(62) 85071430</v>
      </c>
      <c r="G620" s="11" t="str">
        <f ca="1">IFERROR(__xludf.dummyfunction("QUERY(JUSSARA!G5:G12)"),"(62) 986500450")</f>
        <v>(62) 986500450</v>
      </c>
      <c r="H620" s="11" t="str">
        <f ca="1">IFERROR(__xludf.dummyfunction("QUERY(JUSSARA!H5:H12)"),"SUPERIOR")</f>
        <v>SUPERIOR</v>
      </c>
      <c r="I620" s="10" t="str">
        <f ca="1">IFERROR(__xludf.dummyfunction("QUERY(JUSSARA!I5:I12)"),"DIREITO")</f>
        <v>DIREITO</v>
      </c>
      <c r="J620" s="10" t="str">
        <f ca="1">IFERROR(__xludf.dummyfunction("QUERY(JUSSARA!J5:J12)"),"NOITE")</f>
        <v>NOITE</v>
      </c>
      <c r="K620" s="10" t="str">
        <f ca="1">IFERROR(__xludf.dummyfunction("QUERY(JUSSARA!K5:K12)"),"TARDE")</f>
        <v>TARDE</v>
      </c>
      <c r="L620" s="10" t="str">
        <f ca="1">IFERROR(__xludf.dummyfunction("QUERY(JUSSARA!L5:L12)"),"JUSSARA - GO")</f>
        <v>JUSSARA - GO</v>
      </c>
      <c r="M620" s="10">
        <f ca="1">IFERROR(__xludf.dummyfunction("QUERY(JUSSARA!M5:M12)"),5)</f>
        <v>5</v>
      </c>
      <c r="N620" s="10" t="str">
        <f ca="1">IFERROR(__xludf.dummyfunction("QUERY(JUSSARA!N5:N12)"),"DISPONÍVEL")</f>
        <v>DISPONÍVEL</v>
      </c>
      <c r="O620" s="11" t="str">
        <f ca="1">IFERROR(__xludf.dummyfunction("QUERY(JUSSARA!O5:O12)"),"")</f>
        <v/>
      </c>
      <c r="P620" s="11" t="str">
        <f ca="1">IFERROR(__xludf.dummyfunction("QUERY(JUSSARA!P5:P12)"),"")</f>
        <v/>
      </c>
      <c r="Q620" s="11" t="str">
        <f ca="1">IFERROR(__xludf.dummyfunction("QUERY(JUSSARA!Q5:Q12)"),"")</f>
        <v/>
      </c>
      <c r="R620" s="11" t="str">
        <f ca="1">IFERROR(__xludf.dummyfunction("QUERY(JUSSARA!R5:R12)"),"")</f>
        <v/>
      </c>
    </row>
    <row r="621" spans="1:18">
      <c r="A621" s="10">
        <f ca="1">IFERROR(__xludf.dummyfunction("""COMPUTED_VALUE"""),2)</f>
        <v>2</v>
      </c>
      <c r="B621" s="11" t="str">
        <f ca="1">IFERROR(__xludf.dummyfunction("""COMPUTED_VALUE"""),"GABRIEL MENEZES PEREIRA")</f>
        <v>GABRIEL MENEZES PEREIRA</v>
      </c>
      <c r="C621" s="11" t="str">
        <f ca="1">IFERROR(__xludf.dummyfunction("""COMPUTED_VALUE"""),"23071400")</f>
        <v>23071400</v>
      </c>
      <c r="D621" s="11" t="str">
        <f ca="1">IFERROR(__xludf.dummyfunction("""COMPUTED_VALUE"""),"02697709177")</f>
        <v>02697709177</v>
      </c>
      <c r="E621" s="11" t="str">
        <f ca="1">IFERROR(__xludf.dummyfunction("""COMPUTED_VALUE"""),"GABRIMENEZES77@GMAIL.COM")</f>
        <v>GABRIMENEZES77@GMAIL.COM</v>
      </c>
      <c r="F621" s="11" t="str">
        <f ca="1">IFERROR(__xludf.dummyfunction("""COMPUTED_VALUE"""),"(66) 99965503")</f>
        <v>(66) 99965503</v>
      </c>
      <c r="G621" s="11" t="str">
        <f ca="1">IFERROR(__xludf.dummyfunction("""COMPUTED_VALUE"""),"(66) 999655033")</f>
        <v>(66) 999655033</v>
      </c>
      <c r="H621" s="11" t="str">
        <f ca="1">IFERROR(__xludf.dummyfunction("""COMPUTED_VALUE"""),"SUPERIOR")</f>
        <v>SUPERIOR</v>
      </c>
      <c r="I621" s="10" t="str">
        <f ca="1">IFERROR(__xludf.dummyfunction("""COMPUTED_VALUE"""),"DIREITO")</f>
        <v>DIREITO</v>
      </c>
      <c r="J621" s="10" t="str">
        <f ca="1">IFERROR(__xludf.dummyfunction("""COMPUTED_VALUE"""),"NOITE")</f>
        <v>NOITE</v>
      </c>
      <c r="K621" s="10" t="str">
        <f ca="1">IFERROR(__xludf.dummyfunction("""COMPUTED_VALUE"""),"TARDE")</f>
        <v>TARDE</v>
      </c>
      <c r="L621" s="10" t="str">
        <f ca="1">IFERROR(__xludf.dummyfunction("""COMPUTED_VALUE"""),"JUSSARA - GO")</f>
        <v>JUSSARA - GO</v>
      </c>
      <c r="M621" s="10">
        <f ca="1">IFERROR(__xludf.dummyfunction("""COMPUTED_VALUE"""),6)</f>
        <v>6</v>
      </c>
      <c r="N621" s="10" t="str">
        <f ca="1">IFERROR(__xludf.dummyfunction("""COMPUTED_VALUE"""),"DISPONÍVEL")</f>
        <v>DISPONÍVEL</v>
      </c>
      <c r="O621" s="11"/>
      <c r="P621" s="11"/>
      <c r="Q621" s="11"/>
      <c r="R621" s="11"/>
    </row>
    <row r="622" spans="1:18">
      <c r="A622" s="10">
        <f ca="1">IFERROR(__xludf.dummyfunction("""COMPUTED_VALUE"""),3)</f>
        <v>3</v>
      </c>
      <c r="B622" s="11" t="str">
        <f ca="1">IFERROR(__xludf.dummyfunction("""COMPUTED_VALUE"""),"MARIA FERNANDA PEIXOTO OLIVEIRA MENDONÇA")</f>
        <v>MARIA FERNANDA PEIXOTO OLIVEIRA MENDONÇA</v>
      </c>
      <c r="C622" s="11"/>
      <c r="D622" s="11" t="str">
        <f ca="1">IFERROR(__xludf.dummyfunction("""COMPUTED_VALUE"""),"71210971178")</f>
        <v>71210971178</v>
      </c>
      <c r="E622" s="11" t="str">
        <f ca="1">IFERROR(__xludf.dummyfunction("""COMPUTED_VALUE"""),"MARIAFERNANDA.1@ICLOUD.COM")</f>
        <v>MARIAFERNANDA.1@ICLOUD.COM</v>
      </c>
      <c r="F622" s="11"/>
      <c r="G622" s="11" t="str">
        <f ca="1">IFERROR(__xludf.dummyfunction("""COMPUTED_VALUE"""),"(62) 982517725")</f>
        <v>(62) 982517725</v>
      </c>
      <c r="H622" s="11" t="str">
        <f ca="1">IFERROR(__xludf.dummyfunction("""COMPUTED_VALUE"""),"SUPERIOR")</f>
        <v>SUPERIOR</v>
      </c>
      <c r="I622" s="10" t="str">
        <f ca="1">IFERROR(__xludf.dummyfunction("""COMPUTED_VALUE"""),"DIREITO")</f>
        <v>DIREITO</v>
      </c>
      <c r="J622" s="10" t="str">
        <f ca="1">IFERROR(__xludf.dummyfunction("""COMPUTED_VALUE"""),"NOITE")</f>
        <v>NOITE</v>
      </c>
      <c r="K622" s="10" t="str">
        <f ca="1">IFERROR(__xludf.dummyfunction("""COMPUTED_VALUE"""),"TARDE")</f>
        <v>TARDE</v>
      </c>
      <c r="L622" s="10" t="str">
        <f ca="1">IFERROR(__xludf.dummyfunction("""COMPUTED_VALUE"""),"JUSSARA - GO")</f>
        <v>JUSSARA - GO</v>
      </c>
      <c r="M622" s="10">
        <f ca="1">IFERROR(__xludf.dummyfunction("""COMPUTED_VALUE"""),5)</f>
        <v>5</v>
      </c>
      <c r="N622" s="10" t="str">
        <f ca="1">IFERROR(__xludf.dummyfunction("""COMPUTED_VALUE"""),"DISPONÍVEL")</f>
        <v>DISPONÍVEL</v>
      </c>
      <c r="O622" s="11"/>
      <c r="P622" s="11"/>
      <c r="Q622" s="11"/>
      <c r="R622" s="11"/>
    </row>
    <row r="623" spans="1:18">
      <c r="A623" s="10">
        <f ca="1">IFERROR(__xludf.dummyfunction("""COMPUTED_VALUE"""),4)</f>
        <v>4</v>
      </c>
      <c r="B623" s="11" t="str">
        <f ca="1">IFERROR(__xludf.dummyfunction("""COMPUTED_VALUE"""),"JÉSSICA PEREIRA DA FONSECA")</f>
        <v>JÉSSICA PEREIRA DA FONSECA</v>
      </c>
      <c r="C623" s="11" t="str">
        <f ca="1">IFERROR(__xludf.dummyfunction("""COMPUTED_VALUE"""),"7459718")</f>
        <v>7459718</v>
      </c>
      <c r="D623" s="11" t="str">
        <f ca="1">IFERROR(__xludf.dummyfunction("""COMPUTED_VALUE"""),"10032393156")</f>
        <v>10032393156</v>
      </c>
      <c r="E623" s="11" t="str">
        <f ca="1">IFERROR(__xludf.dummyfunction("""COMPUTED_VALUE"""),"JESSIKARODRIGUEA123@GMAIL.COM")</f>
        <v>JESSIKARODRIGUEA123@GMAIL.COM</v>
      </c>
      <c r="F623" s="11" t="str">
        <f ca="1">IFERROR(__xludf.dummyfunction("""COMPUTED_VALUE"""),"(62) 84206469")</f>
        <v>(62) 84206469</v>
      </c>
      <c r="G623" s="11" t="str">
        <f ca="1">IFERROR(__xludf.dummyfunction("""COMPUTED_VALUE"""),"(62) 84206469")</f>
        <v>(62) 84206469</v>
      </c>
      <c r="H623" s="11" t="str">
        <f ca="1">IFERROR(__xludf.dummyfunction("""COMPUTED_VALUE"""),"SUPERIOR")</f>
        <v>SUPERIOR</v>
      </c>
      <c r="I623" s="10" t="str">
        <f ca="1">IFERROR(__xludf.dummyfunction("""COMPUTED_VALUE"""),"DIREITO")</f>
        <v>DIREITO</v>
      </c>
      <c r="J623" s="10" t="str">
        <f ca="1">IFERROR(__xludf.dummyfunction("""COMPUTED_VALUE"""),"NOITE")</f>
        <v>NOITE</v>
      </c>
      <c r="K623" s="10" t="str">
        <f ca="1">IFERROR(__xludf.dummyfunction("""COMPUTED_VALUE"""),"TARDE")</f>
        <v>TARDE</v>
      </c>
      <c r="L623" s="10" t="str">
        <f ca="1">IFERROR(__xludf.dummyfunction("""COMPUTED_VALUE"""),"JUSSARA - GO")</f>
        <v>JUSSARA - GO</v>
      </c>
      <c r="M623" s="10">
        <f ca="1">IFERROR(__xludf.dummyfunction("""COMPUTED_VALUE"""),5)</f>
        <v>5</v>
      </c>
      <c r="N623" s="10" t="str">
        <f ca="1">IFERROR(__xludf.dummyfunction("""COMPUTED_VALUE"""),"DISPONÍVEL")</f>
        <v>DISPONÍVEL</v>
      </c>
      <c r="O623" s="11"/>
      <c r="P623" s="11"/>
      <c r="Q623" s="11"/>
      <c r="R623" s="11"/>
    </row>
    <row r="624" spans="1:18">
      <c r="A624" s="10">
        <f ca="1">IFERROR(__xludf.dummyfunction("""COMPUTED_VALUE"""),5)</f>
        <v>5</v>
      </c>
      <c r="B624" s="11" t="str">
        <f ca="1">IFERROR(__xludf.dummyfunction("""COMPUTED_VALUE"""),"VANESSA SILVA GOULART")</f>
        <v>VANESSA SILVA GOULART</v>
      </c>
      <c r="C624" s="11"/>
      <c r="D624" s="11" t="str">
        <f ca="1">IFERROR(__xludf.dummyfunction("""COMPUTED_VALUE"""),"08500490160")</f>
        <v>08500490160</v>
      </c>
      <c r="E624" s="11" t="str">
        <f ca="1">IFERROR(__xludf.dummyfunction("""COMPUTED_VALUE"""),"VANESSA.GOULART29S@GMAIL.COM")</f>
        <v>VANESSA.GOULART29S@GMAIL.COM</v>
      </c>
      <c r="F624" s="11"/>
      <c r="G624" s="11" t="str">
        <f ca="1">IFERROR(__xludf.dummyfunction("""COMPUTED_VALUE"""),"(62) 81666427")</f>
        <v>(62) 81666427</v>
      </c>
      <c r="H624" s="11" t="str">
        <f ca="1">IFERROR(__xludf.dummyfunction("""COMPUTED_VALUE"""),"SUPERIOR")</f>
        <v>SUPERIOR</v>
      </c>
      <c r="I624" s="10" t="str">
        <f ca="1">IFERROR(__xludf.dummyfunction("""COMPUTED_VALUE"""),"DIREITO")</f>
        <v>DIREITO</v>
      </c>
      <c r="J624" s="10" t="str">
        <f ca="1">IFERROR(__xludf.dummyfunction("""COMPUTED_VALUE"""),"NOITE")</f>
        <v>NOITE</v>
      </c>
      <c r="K624" s="10" t="str">
        <f ca="1">IFERROR(__xludf.dummyfunction("""COMPUTED_VALUE"""),"TARDE")</f>
        <v>TARDE</v>
      </c>
      <c r="L624" s="10" t="str">
        <f ca="1">IFERROR(__xludf.dummyfunction("""COMPUTED_VALUE"""),"JUSSARA - GO")</f>
        <v>JUSSARA - GO</v>
      </c>
      <c r="M624" s="10">
        <f ca="1">IFERROR(__xludf.dummyfunction("""COMPUTED_VALUE"""),8)</f>
        <v>8</v>
      </c>
      <c r="N624" s="10" t="str">
        <f ca="1">IFERROR(__xludf.dummyfunction("""COMPUTED_VALUE"""),"DISPONÍVEL")</f>
        <v>DISPONÍVEL</v>
      </c>
      <c r="O624" s="11"/>
      <c r="P624" s="11"/>
      <c r="Q624" s="11"/>
      <c r="R624" s="11"/>
    </row>
    <row r="625" spans="1:18">
      <c r="A625" s="10">
        <f ca="1">IFERROR(__xludf.dummyfunction("""COMPUTED_VALUE"""),6)</f>
        <v>6</v>
      </c>
      <c r="B625" s="11" t="str">
        <f ca="1">IFERROR(__xludf.dummyfunction("""COMPUTED_VALUE"""),"ORLANDO MATHEUS SILVA LIMA")</f>
        <v>ORLANDO MATHEUS SILVA LIMA</v>
      </c>
      <c r="C625" s="11"/>
      <c r="D625" s="11" t="str">
        <f ca="1">IFERROR(__xludf.dummyfunction("""COMPUTED_VALUE"""),"06333366102")</f>
        <v>06333366102</v>
      </c>
      <c r="E625" s="11" t="str">
        <f ca="1">IFERROR(__xludf.dummyfunction("""COMPUTED_VALUE"""),"ORLANDOMATHEUS046@GMAIL.COM")</f>
        <v>ORLANDOMATHEUS046@GMAIL.COM</v>
      </c>
      <c r="F625" s="11" t="str">
        <f ca="1">IFERROR(__xludf.dummyfunction("""COMPUTED_VALUE"""),"(62) 91492614")</f>
        <v>(62) 91492614</v>
      </c>
      <c r="G625" s="11" t="str">
        <f ca="1">IFERROR(__xludf.dummyfunction("""COMPUTED_VALUE"""),"(62) 984974133")</f>
        <v>(62) 984974133</v>
      </c>
      <c r="H625" s="11" t="str">
        <f ca="1">IFERROR(__xludf.dummyfunction("""COMPUTED_VALUE"""),"SUPERIOR")</f>
        <v>SUPERIOR</v>
      </c>
      <c r="I625" s="10" t="str">
        <f ca="1">IFERROR(__xludf.dummyfunction("""COMPUTED_VALUE"""),"DIREITO")</f>
        <v>DIREITO</v>
      </c>
      <c r="J625" s="10" t="str">
        <f ca="1">IFERROR(__xludf.dummyfunction("""COMPUTED_VALUE"""),"MANHÃ")</f>
        <v>MANHÃ</v>
      </c>
      <c r="K625" s="10" t="str">
        <f ca="1">IFERROR(__xludf.dummyfunction("""COMPUTED_VALUE"""),"TARDE")</f>
        <v>TARDE</v>
      </c>
      <c r="L625" s="10" t="str">
        <f ca="1">IFERROR(__xludf.dummyfunction("""COMPUTED_VALUE"""),"JUSSARA - GO")</f>
        <v>JUSSARA - GO</v>
      </c>
      <c r="M625" s="10">
        <f ca="1">IFERROR(__xludf.dummyfunction("""COMPUTED_VALUE"""),8)</f>
        <v>8</v>
      </c>
      <c r="N625" s="10" t="str">
        <f ca="1">IFERROR(__xludf.dummyfunction("""COMPUTED_VALUE"""),"DISPONÍVEL")</f>
        <v>DISPONÍVEL</v>
      </c>
      <c r="O625" s="11"/>
      <c r="P625" s="11"/>
      <c r="Q625" s="11"/>
      <c r="R625" s="11"/>
    </row>
    <row r="626" spans="1:18">
      <c r="A626" s="10">
        <f ca="1">IFERROR(__xludf.dummyfunction("""COMPUTED_VALUE"""),7)</f>
        <v>7</v>
      </c>
      <c r="B626" s="11" t="str">
        <f ca="1">IFERROR(__xludf.dummyfunction("""COMPUTED_VALUE"""),"ISABELLA AGUIAR MARTINS")</f>
        <v>ISABELLA AGUIAR MARTINS</v>
      </c>
      <c r="C626" s="11"/>
      <c r="D626" s="11" t="str">
        <f ca="1">IFERROR(__xludf.dummyfunction("""COMPUTED_VALUE"""),"08803321152")</f>
        <v>08803321152</v>
      </c>
      <c r="E626" s="11" t="str">
        <f ca="1">IFERROR(__xludf.dummyfunction("""COMPUTED_VALUE"""),"ISABELLA_AGUIAR2002@HOTMAIL.COM")</f>
        <v>ISABELLA_AGUIAR2002@HOTMAIL.COM</v>
      </c>
      <c r="F626" s="11"/>
      <c r="G626" s="11" t="str">
        <f ca="1">IFERROR(__xludf.dummyfunction("""COMPUTED_VALUE"""),"(62) 986008911")</f>
        <v>(62) 986008911</v>
      </c>
      <c r="H626" s="11" t="str">
        <f ca="1">IFERROR(__xludf.dummyfunction("""COMPUTED_VALUE"""),"SUPERIOR")</f>
        <v>SUPERIOR</v>
      </c>
      <c r="I626" s="10" t="str">
        <f ca="1">IFERROR(__xludf.dummyfunction("""COMPUTED_VALUE"""),"DIREITO")</f>
        <v>DIREITO</v>
      </c>
      <c r="J626" s="10" t="str">
        <f ca="1">IFERROR(__xludf.dummyfunction("""COMPUTED_VALUE"""),"NOITE")</f>
        <v>NOITE</v>
      </c>
      <c r="K626" s="10" t="str">
        <f ca="1">IFERROR(__xludf.dummyfunction("""COMPUTED_VALUE"""),"TARDE")</f>
        <v>TARDE</v>
      </c>
      <c r="L626" s="10" t="str">
        <f ca="1">IFERROR(__xludf.dummyfunction("""COMPUTED_VALUE"""),"JUSSARA - GO")</f>
        <v>JUSSARA - GO</v>
      </c>
      <c r="M626" s="10">
        <f ca="1">IFERROR(__xludf.dummyfunction("""COMPUTED_VALUE"""),5)</f>
        <v>5</v>
      </c>
      <c r="N626" s="10" t="str">
        <f ca="1">IFERROR(__xludf.dummyfunction("""COMPUTED_VALUE"""),"DISPONÍVEL")</f>
        <v>DISPONÍVEL</v>
      </c>
      <c r="O626" s="11"/>
      <c r="P626" s="11"/>
      <c r="Q626" s="11"/>
      <c r="R626" s="11"/>
    </row>
    <row r="627" spans="1:18">
      <c r="A627" s="10">
        <f ca="1">IFERROR(__xludf.dummyfunction("""COMPUTED_VALUE"""),8)</f>
        <v>8</v>
      </c>
      <c r="B627" s="11" t="str">
        <f ca="1">IFERROR(__xludf.dummyfunction("""COMPUTED_VALUE"""),"GIOVANNA SAMPAIO B. TEIXEIRA")</f>
        <v>GIOVANNA SAMPAIO B. TEIXEIRA</v>
      </c>
      <c r="C627" s="11"/>
      <c r="D627" s="11" t="str">
        <f ca="1">IFERROR(__xludf.dummyfunction("""COMPUTED_VALUE"""),"10397911157")</f>
        <v>10397911157</v>
      </c>
      <c r="E627" s="11" t="str">
        <f ca="1">IFERROR(__xludf.dummyfunction("""COMPUTED_VALUE"""),"SAMPAIOGIOVANNA78@GMAIL.COM")</f>
        <v>SAMPAIOGIOVANNA78@GMAIL.COM</v>
      </c>
      <c r="F627" s="11"/>
      <c r="G627" s="11" t="str">
        <f ca="1">IFERROR(__xludf.dummyfunction("""COMPUTED_VALUE"""),"(62) 981350626")</f>
        <v>(62) 981350626</v>
      </c>
      <c r="H627" s="11" t="str">
        <f ca="1">IFERROR(__xludf.dummyfunction("""COMPUTED_VALUE"""),"SUPERIOR")</f>
        <v>SUPERIOR</v>
      </c>
      <c r="I627" s="10" t="str">
        <f ca="1">IFERROR(__xludf.dummyfunction("""COMPUTED_VALUE"""),"DIREITO")</f>
        <v>DIREITO</v>
      </c>
      <c r="J627" s="10" t="str">
        <f ca="1">IFERROR(__xludf.dummyfunction("""COMPUTED_VALUE"""),"NOITE")</f>
        <v>NOITE</v>
      </c>
      <c r="K627" s="10" t="str">
        <f ca="1">IFERROR(__xludf.dummyfunction("""COMPUTED_VALUE"""),"TARDE")</f>
        <v>TARDE</v>
      </c>
      <c r="L627" s="10" t="str">
        <f ca="1">IFERROR(__xludf.dummyfunction("""COMPUTED_VALUE"""),"JUSSARA - GO")</f>
        <v>JUSSARA - GO</v>
      </c>
      <c r="M627" s="10">
        <f ca="1">IFERROR(__xludf.dummyfunction("""COMPUTED_VALUE"""),5)</f>
        <v>5</v>
      </c>
      <c r="N627" s="10" t="str">
        <f ca="1">IFERROR(__xludf.dummyfunction("""COMPUTED_VALUE"""),"DISPONÍVEL")</f>
        <v>DISPONÍVEL</v>
      </c>
      <c r="O627" s="11"/>
      <c r="P627" s="11"/>
      <c r="Q627" s="11"/>
      <c r="R627" s="11"/>
    </row>
    <row r="628" spans="1:18">
      <c r="A628" s="10">
        <f ca="1">IFERROR(__xludf.dummyfunction("QUERY('LEOPOLDO DE BULHÕES'!A5)"),1)</f>
        <v>1</v>
      </c>
      <c r="B628" s="11" t="str">
        <f ca="1">IFERROR(__xludf.dummyfunction("QUERY('LEOPOLDO DE BULHÕES'!B5)"),"DANIELLE DE LIMA LOPES")</f>
        <v>DANIELLE DE LIMA LOPES</v>
      </c>
      <c r="C628" s="11" t="str">
        <f ca="1">IFERROR(__xludf.dummyfunction("QUERY('LEOPOLDO DE BULHÕES'!C5)"),"")</f>
        <v/>
      </c>
      <c r="D628" s="11" t="str">
        <f ca="1">IFERROR(__xludf.dummyfunction("QUERY('LEOPOLDO DE BULHÕES'!D5)"),"05738303393")</f>
        <v>05738303393</v>
      </c>
      <c r="E628" s="11" t="str">
        <f ca="1">IFERROR(__xludf.dummyfunction("QUERY('LEOPOLDO DE BULHÕES'!E5)"),"FRANCA_D@HOTMAIL.COM")</f>
        <v>FRANCA_D@HOTMAIL.COM</v>
      </c>
      <c r="F628" s="11" t="str">
        <f ca="1">IFERROR(__xludf.dummyfunction("QUERY('LEOPOLDO DE BULHÕES'!F5)"),"")</f>
        <v/>
      </c>
      <c r="G628" s="11" t="str">
        <f ca="1">IFERROR(__xludf.dummyfunction("QUERY('LEOPOLDO DE BULHÕES'!G5)"),"(85) 998208329")</f>
        <v>(85) 998208329</v>
      </c>
      <c r="H628" s="11" t="str">
        <f ca="1">IFERROR(__xludf.dummyfunction("QUERY('LEOPOLDO DE BULHÕES'!H5)"),"SUPERIOR")</f>
        <v>SUPERIOR</v>
      </c>
      <c r="I628" s="10" t="str">
        <f ca="1">IFERROR(__xludf.dummyfunction("QUERY('LEOPOLDO DE BULHÕES'!I5)"),"DIREITO")</f>
        <v>DIREITO</v>
      </c>
      <c r="J628" s="10" t="str">
        <f ca="1">IFERROR(__xludf.dummyfunction("QUERY('LEOPOLDO DE BULHÕES'!J5)"),"NOITE")</f>
        <v>NOITE</v>
      </c>
      <c r="K628" s="10" t="str">
        <f ca="1">IFERROR(__xludf.dummyfunction("QUERY('LEOPOLDO DE BULHÕES'!K5)"),"TARDE")</f>
        <v>TARDE</v>
      </c>
      <c r="L628" s="10" t="str">
        <f ca="1">IFERROR(__xludf.dummyfunction("QUERY('LEOPOLDO DE BULHÕES'!L5)"),"LEOPOLDO DE BULHÕES - GO")</f>
        <v>LEOPOLDO DE BULHÕES - GO</v>
      </c>
      <c r="M628" s="10">
        <f ca="1">IFERROR(__xludf.dummyfunction("QUERY('LEOPOLDO DE BULHÕES'!M5)"),5)</f>
        <v>5</v>
      </c>
      <c r="N628" s="10" t="str">
        <f ca="1">IFERROR(__xludf.dummyfunction("QUERY('LEOPOLDO DE BULHÕES'!N5)"),"CONTRATADO")</f>
        <v>CONTRATADO</v>
      </c>
      <c r="O628" s="11" t="str">
        <f ca="1">IFERROR(__xludf.dummyfunction("QUERY('LEOPOLDO DE BULHÕES'!O5)"),"16/11 - 14:06")</f>
        <v>16/11 - 14:06</v>
      </c>
      <c r="P628" s="11" t="str">
        <f ca="1">IFERROR(__xludf.dummyfunction("QUERY('LEOPOLDO DE BULHÕES'!P5)"),"")</f>
        <v/>
      </c>
      <c r="Q628" s="11" t="str">
        <f ca="1">IFERROR(__xludf.dummyfunction("QUERY('LEOPOLDO DE BULHÕES'!Q5)"),"")</f>
        <v/>
      </c>
      <c r="R628" s="11" t="str">
        <f ca="1">IFERROR(__xludf.dummyfunction("QUERY('LEOPOLDO DE BULHÕES'!R5)"),"")</f>
        <v/>
      </c>
    </row>
    <row r="629" spans="1:18">
      <c r="A629" s="10">
        <f ca="1">IFERROR(__xludf.dummyfunction("QUERY('LUZIÂNIA'!A5:A20)"),1)</f>
        <v>1</v>
      </c>
      <c r="B629" s="11" t="str">
        <f ca="1">IFERROR(__xludf.dummyfunction("QUERY('LUZIÂNIA'!B5:B20)"),"ÁGUIDA MOREIRA RIBEIRO DE JESUS")</f>
        <v>ÁGUIDA MOREIRA RIBEIRO DE JESUS</v>
      </c>
      <c r="C629" s="11" t="str">
        <f ca="1">IFERROR(__xludf.dummyfunction("QUERY('LUZIÂNIA'!C5:C20)"),"")</f>
        <v/>
      </c>
      <c r="D629" s="11" t="str">
        <f ca="1">IFERROR(__xludf.dummyfunction("QUERY('LUZIÂNIA'!D5:D20)"),"06613001104")</f>
        <v>06613001104</v>
      </c>
      <c r="E629" s="11" t="str">
        <f ca="1">IFERROR(__xludf.dummyfunction("QUERY('LUZIÂNIA'!E5:E20)"),"AGUIDAMR90@GMAIL.COM")</f>
        <v>AGUIDAMR90@GMAIL.COM</v>
      </c>
      <c r="F629" s="11" t="str">
        <f ca="1">IFERROR(__xludf.dummyfunction("QUERY('LUZIÂNIA'!F5:F20)"),"(61) 94551685")</f>
        <v>(61) 94551685</v>
      </c>
      <c r="G629" s="11" t="str">
        <f ca="1">IFERROR(__xludf.dummyfunction("QUERY('LUZIÂNIA'!G5:G20)"),"(61) 96312749")</f>
        <v>(61) 96312749</v>
      </c>
      <c r="H629" s="11" t="str">
        <f ca="1">IFERROR(__xludf.dummyfunction("QUERY('LUZIÂNIA'!H5:H20)"),"SUPERIOR")</f>
        <v>SUPERIOR</v>
      </c>
      <c r="I629" s="10" t="str">
        <f ca="1">IFERROR(__xludf.dummyfunction("QUERY('LUZIÂNIA'!I5:I20)"),"ADMINISTRAÇÃO")</f>
        <v>ADMINISTRAÇÃO</v>
      </c>
      <c r="J629" s="10" t="str">
        <f ca="1">IFERROR(__xludf.dummyfunction("QUERY('LUZIÂNIA'!J5:J20)"),"VARIÁVEL")</f>
        <v>VARIÁVEL</v>
      </c>
      <c r="K629" s="10" t="str">
        <f ca="1">IFERROR(__xludf.dummyfunction("QUERY('LUZIÂNIA'!K5:K20)"),"TARDE")</f>
        <v>TARDE</v>
      </c>
      <c r="L629" s="10" t="str">
        <f ca="1">IFERROR(__xludf.dummyfunction("QUERY('LUZIÂNIA'!L5:L20)"),"LUZIÂNIA - GO")</f>
        <v>LUZIÂNIA - GO</v>
      </c>
      <c r="M629" s="10">
        <f ca="1">IFERROR(__xludf.dummyfunction("QUERY('LUZIÂNIA'!M5:M20)"),3)</f>
        <v>3</v>
      </c>
      <c r="N629" s="10" t="str">
        <f ca="1">IFERROR(__xludf.dummyfunction("QUERY('LUZIÂNIA'!N5:N20)"),"DISPONÍVEL")</f>
        <v>DISPONÍVEL</v>
      </c>
      <c r="O629" s="11" t="str">
        <f ca="1">IFERROR(__xludf.dummyfunction("QUERY('LUZIÂNIA'!O5:O20)"),"")</f>
        <v/>
      </c>
      <c r="P629" s="11" t="str">
        <f ca="1">IFERROR(__xludf.dummyfunction("QUERY('LUZIÂNIA'!P5:P20)"),"")</f>
        <v/>
      </c>
      <c r="Q629" s="11" t="str">
        <f ca="1">IFERROR(__xludf.dummyfunction("QUERY('LUZIÂNIA'!Q5:Q20)"),"")</f>
        <v/>
      </c>
      <c r="R629" s="11" t="str">
        <f ca="1">IFERROR(__xludf.dummyfunction("QUERY('LUZIÂNIA'!R5:R20)"),"")</f>
        <v/>
      </c>
    </row>
    <row r="630" spans="1:18">
      <c r="A630" s="10">
        <f ca="1">IFERROR(__xludf.dummyfunction("""COMPUTED_VALUE"""),2)</f>
        <v>2</v>
      </c>
      <c r="B630" s="11" t="str">
        <f ca="1">IFERROR(__xludf.dummyfunction("""COMPUTED_VALUE"""),"VERÔNIKA EDUARDA DA SILVA REZENDE")</f>
        <v>VERÔNIKA EDUARDA DA SILVA REZENDE</v>
      </c>
      <c r="C630" s="11"/>
      <c r="D630" s="11" t="str">
        <f ca="1">IFERROR(__xludf.dummyfunction("""COMPUTED_VALUE"""),"05902532124")</f>
        <v>05902532124</v>
      </c>
      <c r="E630" s="11" t="str">
        <f ca="1">IFERROR(__xludf.dummyfunction("""COMPUTED_VALUE"""),"EDUARDAVERONIKA1@GMAIL.COM")</f>
        <v>EDUARDAVERONIKA1@GMAIL.COM</v>
      </c>
      <c r="F630" s="11"/>
      <c r="G630" s="11" t="str">
        <f ca="1">IFERROR(__xludf.dummyfunction("""COMPUTED_VALUE"""),"(61) 999812858")</f>
        <v>(61) 999812858</v>
      </c>
      <c r="H630" s="11" t="str">
        <f ca="1">IFERROR(__xludf.dummyfunction("""COMPUTED_VALUE"""),"SUPERIOR")</f>
        <v>SUPERIOR</v>
      </c>
      <c r="I630" s="10" t="str">
        <f ca="1">IFERROR(__xludf.dummyfunction("""COMPUTED_VALUE"""),"ADMINISTRAÇÃO")</f>
        <v>ADMINISTRAÇÃO</v>
      </c>
      <c r="J630" s="10" t="str">
        <f ca="1">IFERROR(__xludf.dummyfunction("""COMPUTED_VALUE"""),"NOITE")</f>
        <v>NOITE</v>
      </c>
      <c r="K630" s="10" t="str">
        <f ca="1">IFERROR(__xludf.dummyfunction("""COMPUTED_VALUE"""),"TARDE")</f>
        <v>TARDE</v>
      </c>
      <c r="L630" s="10" t="str">
        <f ca="1">IFERROR(__xludf.dummyfunction("""COMPUTED_VALUE"""),"LUZIÂNIA - GO")</f>
        <v>LUZIÂNIA - GO</v>
      </c>
      <c r="M630" s="10">
        <f ca="1">IFERROR(__xludf.dummyfunction("""COMPUTED_VALUE"""),6)</f>
        <v>6</v>
      </c>
      <c r="N630" s="10" t="str">
        <f ca="1">IFERROR(__xludf.dummyfunction("""COMPUTED_VALUE"""),"DISPONÍVEL")</f>
        <v>DISPONÍVEL</v>
      </c>
      <c r="O630" s="11"/>
      <c r="P630" s="11"/>
      <c r="Q630" s="11"/>
      <c r="R630" s="11"/>
    </row>
    <row r="631" spans="1:18">
      <c r="A631" s="10">
        <f ca="1">IFERROR(__xludf.dummyfunction("""COMPUTED_VALUE"""),1)</f>
        <v>1</v>
      </c>
      <c r="B631" s="11" t="str">
        <f ca="1">IFERROR(__xludf.dummyfunction("""COMPUTED_VALUE"""),"THYAGO GOMES DOS SANTOS")</f>
        <v>THYAGO GOMES DOS SANTOS</v>
      </c>
      <c r="C631" s="11"/>
      <c r="D631" s="11" t="str">
        <f ca="1">IFERROR(__xludf.dummyfunction("""COMPUTED_VALUE"""),"05475394105")</f>
        <v>05475394105</v>
      </c>
      <c r="E631" s="11" t="str">
        <f ca="1">IFERROR(__xludf.dummyfunction("""COMPUTED_VALUE"""),"THYAGOCOD123@GMAIL.COM")</f>
        <v>THYAGOCOD123@GMAIL.COM</v>
      </c>
      <c r="F631" s="11"/>
      <c r="G631" s="11" t="str">
        <f ca="1">IFERROR(__xludf.dummyfunction("""COMPUTED_VALUE"""),"(61) 999867547")</f>
        <v>(61) 999867547</v>
      </c>
      <c r="H631" s="11" t="str">
        <f ca="1">IFERROR(__xludf.dummyfunction("""COMPUTED_VALUE"""),"SUPERIOR")</f>
        <v>SUPERIOR</v>
      </c>
      <c r="I631" s="10" t="str">
        <f ca="1">IFERROR(__xludf.dummyfunction("""COMPUTED_VALUE"""),"DIREITO")</f>
        <v>DIREITO</v>
      </c>
      <c r="J631" s="10" t="str">
        <f ca="1">IFERROR(__xludf.dummyfunction("""COMPUTED_VALUE"""),"NOITE")</f>
        <v>NOITE</v>
      </c>
      <c r="K631" s="10" t="str">
        <f ca="1">IFERROR(__xludf.dummyfunction("""COMPUTED_VALUE"""),"TARDE")</f>
        <v>TARDE</v>
      </c>
      <c r="L631" s="10" t="str">
        <f ca="1">IFERROR(__xludf.dummyfunction("""COMPUTED_VALUE"""),"LUZIÂNIA - GO")</f>
        <v>LUZIÂNIA - GO</v>
      </c>
      <c r="M631" s="10">
        <f ca="1">IFERROR(__xludf.dummyfunction("""COMPUTED_VALUE"""),5)</f>
        <v>5</v>
      </c>
      <c r="N631" s="10" t="str">
        <f ca="1">IFERROR(__xludf.dummyfunction("""COMPUTED_VALUE"""),"CONTRATADO")</f>
        <v>CONTRATADO</v>
      </c>
      <c r="O631" s="11" t="str">
        <f ca="1">IFERROR(__xludf.dummyfunction("""COMPUTED_VALUE"""),"16/11 - 09:11")</f>
        <v>16/11 - 09:11</v>
      </c>
      <c r="P631" s="11"/>
      <c r="Q631" s="11"/>
      <c r="R631" s="11"/>
    </row>
    <row r="632" spans="1:18">
      <c r="A632" s="10">
        <f ca="1">IFERROR(__xludf.dummyfunction("""COMPUTED_VALUE"""),2)</f>
        <v>2</v>
      </c>
      <c r="B632" s="11" t="str">
        <f ca="1">IFERROR(__xludf.dummyfunction("""COMPUTED_VALUE"""),"CAIO CESAR FONSECA DIAS")</f>
        <v>CAIO CESAR FONSECA DIAS</v>
      </c>
      <c r="C632" s="11" t="str">
        <f ca="1">IFERROR(__xludf.dummyfunction("""COMPUTED_VALUE"""),"6405790")</f>
        <v>6405790</v>
      </c>
      <c r="D632" s="11" t="str">
        <f ca="1">IFERROR(__xludf.dummyfunction("""COMPUTED_VALUE"""),"06508515101")</f>
        <v>06508515101</v>
      </c>
      <c r="E632" s="11" t="str">
        <f ca="1">IFERROR(__xludf.dummyfunction("""COMPUTED_VALUE"""),"CAIOCESAR965@GMAIL.COM")</f>
        <v>CAIOCESAR965@GMAIL.COM</v>
      </c>
      <c r="F632" s="11"/>
      <c r="G632" s="11" t="str">
        <f ca="1">IFERROR(__xludf.dummyfunction("""COMPUTED_VALUE"""),"(61) 982680908")</f>
        <v>(61) 982680908</v>
      </c>
      <c r="H632" s="11" t="str">
        <f ca="1">IFERROR(__xludf.dummyfunction("""COMPUTED_VALUE"""),"SUPERIOR")</f>
        <v>SUPERIOR</v>
      </c>
      <c r="I632" s="10" t="str">
        <f ca="1">IFERROR(__xludf.dummyfunction("""COMPUTED_VALUE"""),"DIREITO")</f>
        <v>DIREITO</v>
      </c>
      <c r="J632" s="10" t="str">
        <f ca="1">IFERROR(__xludf.dummyfunction("""COMPUTED_VALUE"""),"NOITE")</f>
        <v>NOITE</v>
      </c>
      <c r="K632" s="10" t="str">
        <f ca="1">IFERROR(__xludf.dummyfunction("""COMPUTED_VALUE"""),"TARDE")</f>
        <v>TARDE</v>
      </c>
      <c r="L632" s="10" t="str">
        <f ca="1">IFERROR(__xludf.dummyfunction("""COMPUTED_VALUE"""),"LUZIÂNIA - GO")</f>
        <v>LUZIÂNIA - GO</v>
      </c>
      <c r="M632" s="10">
        <f ca="1">IFERROR(__xludf.dummyfunction("""COMPUTED_VALUE"""),8)</f>
        <v>8</v>
      </c>
      <c r="N632" s="10" t="str">
        <f ca="1">IFERROR(__xludf.dummyfunction("""COMPUTED_VALUE"""),"CONTRATADO")</f>
        <v>CONTRATADO</v>
      </c>
      <c r="O632" s="11" t="str">
        <f ca="1">IFERROR(__xludf.dummyfunction("""COMPUTED_VALUE"""),"16/11 - 09:11")</f>
        <v>16/11 - 09:11</v>
      </c>
      <c r="P632" s="11"/>
      <c r="Q632" s="11"/>
      <c r="R632" s="11"/>
    </row>
    <row r="633" spans="1:18">
      <c r="A633" s="10">
        <f ca="1">IFERROR(__xludf.dummyfunction("""COMPUTED_VALUE"""),3)</f>
        <v>3</v>
      </c>
      <c r="B633" s="11" t="str">
        <f ca="1">IFERROR(__xludf.dummyfunction("""COMPUTED_VALUE"""),"JOÃO PAULO VIEIRA DE SOUZA")</f>
        <v>JOÃO PAULO VIEIRA DE SOUZA</v>
      </c>
      <c r="C633" s="11"/>
      <c r="D633" s="11" t="str">
        <f ca="1">IFERROR(__xludf.dummyfunction("""COMPUTED_VALUE"""),"70547212178")</f>
        <v>70547212178</v>
      </c>
      <c r="E633" s="11" t="str">
        <f ca="1">IFERROR(__xludf.dummyfunction("""COMPUTED_VALUE"""),"VJOAOPAULO5@GMAIL.COM")</f>
        <v>VJOAOPAULO5@GMAIL.COM</v>
      </c>
      <c r="F633" s="11"/>
      <c r="G633" s="11" t="str">
        <f ca="1">IFERROR(__xludf.dummyfunction("""COMPUTED_VALUE"""),"(61) 991040537")</f>
        <v>(61) 991040537</v>
      </c>
      <c r="H633" s="11" t="str">
        <f ca="1">IFERROR(__xludf.dummyfunction("""COMPUTED_VALUE"""),"SUPERIOR")</f>
        <v>SUPERIOR</v>
      </c>
      <c r="I633" s="10" t="str">
        <f ca="1">IFERROR(__xludf.dummyfunction("""COMPUTED_VALUE"""),"DIREITO")</f>
        <v>DIREITO</v>
      </c>
      <c r="J633" s="10" t="str">
        <f ca="1">IFERROR(__xludf.dummyfunction("""COMPUTED_VALUE"""),"NOITE")</f>
        <v>NOITE</v>
      </c>
      <c r="K633" s="10" t="str">
        <f ca="1">IFERROR(__xludf.dummyfunction("""COMPUTED_VALUE"""),"TARDE")</f>
        <v>TARDE</v>
      </c>
      <c r="L633" s="10" t="str">
        <f ca="1">IFERROR(__xludf.dummyfunction("""COMPUTED_VALUE"""),"LUZIÂNIA - GO")</f>
        <v>LUZIÂNIA - GO</v>
      </c>
      <c r="M633" s="10">
        <f ca="1">IFERROR(__xludf.dummyfunction("""COMPUTED_VALUE"""),5)</f>
        <v>5</v>
      </c>
      <c r="N633" s="10" t="str">
        <f ca="1">IFERROR(__xludf.dummyfunction("""COMPUTED_VALUE"""),"CONTRATADO")</f>
        <v>CONTRATADO</v>
      </c>
      <c r="O633" s="11" t="str">
        <f ca="1">IFERROR(__xludf.dummyfunction("""COMPUTED_VALUE"""),"16/11 - 09:11")</f>
        <v>16/11 - 09:11</v>
      </c>
      <c r="P633" s="11"/>
      <c r="Q633" s="11"/>
      <c r="R633" s="11"/>
    </row>
    <row r="634" spans="1:18">
      <c r="A634" s="10">
        <f ca="1">IFERROR(__xludf.dummyfunction("""COMPUTED_VALUE"""),4)</f>
        <v>4</v>
      </c>
      <c r="B634" s="11" t="str">
        <f ca="1">IFERROR(__xludf.dummyfunction("""COMPUTED_VALUE"""),"ELLEN SOARES DE JESUS CARVALHO")</f>
        <v>ELLEN SOARES DE JESUS CARVALHO</v>
      </c>
      <c r="C634" s="11"/>
      <c r="D634" s="11" t="str">
        <f ca="1">IFERROR(__xludf.dummyfunction("""COMPUTED_VALUE"""),"06720856154")</f>
        <v>06720856154</v>
      </c>
      <c r="E634" s="11" t="str">
        <f ca="1">IFERROR(__xludf.dummyfunction("""COMPUTED_VALUE"""),"ELLENSOARESDEJESUSCARVALHO@GMAIL.COM")</f>
        <v>ELLENSOARESDEJESUSCARVALHO@GMAIL.COM</v>
      </c>
      <c r="F634" s="11" t="str">
        <f ca="1">IFERROR(__xludf.dummyfunction("""COMPUTED_VALUE"""),"(61) 99436860")</f>
        <v>(61) 99436860</v>
      </c>
      <c r="G634" s="11" t="str">
        <f ca="1">IFERROR(__xludf.dummyfunction("""COMPUTED_VALUE"""),"(61) 999436860")</f>
        <v>(61) 999436860</v>
      </c>
      <c r="H634" s="11" t="str">
        <f ca="1">IFERROR(__xludf.dummyfunction("""COMPUTED_VALUE"""),"SUPERIOR")</f>
        <v>SUPERIOR</v>
      </c>
      <c r="I634" s="10" t="str">
        <f ca="1">IFERROR(__xludf.dummyfunction("""COMPUTED_VALUE"""),"DIREITO")</f>
        <v>DIREITO</v>
      </c>
      <c r="J634" s="10" t="str">
        <f ca="1">IFERROR(__xludf.dummyfunction("""COMPUTED_VALUE"""),"NOITE")</f>
        <v>NOITE</v>
      </c>
      <c r="K634" s="10" t="str">
        <f ca="1">IFERROR(__xludf.dummyfunction("""COMPUTED_VALUE"""),"TARDE")</f>
        <v>TARDE</v>
      </c>
      <c r="L634" s="10" t="str">
        <f ca="1">IFERROR(__xludf.dummyfunction("""COMPUTED_VALUE"""),"LUZIÂNIA - GO")</f>
        <v>LUZIÂNIA - GO</v>
      </c>
      <c r="M634" s="10">
        <f ca="1">IFERROR(__xludf.dummyfunction("""COMPUTED_VALUE"""),8)</f>
        <v>8</v>
      </c>
      <c r="N634" s="10" t="str">
        <f ca="1">IFERROR(__xludf.dummyfunction("""COMPUTED_VALUE"""),"CONTRATADO")</f>
        <v>CONTRATADO</v>
      </c>
      <c r="O634" s="11" t="str">
        <f ca="1">IFERROR(__xludf.dummyfunction("""COMPUTED_VALUE"""),"16/11 - 09:11")</f>
        <v>16/11 - 09:11</v>
      </c>
      <c r="P634" s="11" t="str">
        <f ca="1">IFERROR(__xludf.dummyfunction("""COMPUTED_VALUE"""),"sem retorno")</f>
        <v>sem retorno</v>
      </c>
      <c r="Q634" s="11"/>
      <c r="R634" s="11"/>
    </row>
    <row r="635" spans="1:18">
      <c r="A635" s="10">
        <f ca="1">IFERROR(__xludf.dummyfunction("""COMPUTED_VALUE"""),5)</f>
        <v>5</v>
      </c>
      <c r="B635" s="11" t="str">
        <f ca="1">IFERROR(__xludf.dummyfunction("""COMPUTED_VALUE"""),"NILLA ALVES BABILONIO")</f>
        <v>NILLA ALVES BABILONIO</v>
      </c>
      <c r="C635" s="11"/>
      <c r="D635" s="11" t="str">
        <f ca="1">IFERROR(__xludf.dummyfunction("""COMPUTED_VALUE"""),"70975131109")</f>
        <v>70975131109</v>
      </c>
      <c r="E635" s="11" t="str">
        <f ca="1">IFERROR(__xludf.dummyfunction("""COMPUTED_VALUE"""),"NILLAALVES40@GMAIL.COM")</f>
        <v>NILLAALVES40@GMAIL.COM</v>
      </c>
      <c r="F635" s="11"/>
      <c r="G635" s="11" t="str">
        <f ca="1">IFERROR(__xludf.dummyfunction("""COMPUTED_VALUE"""),"(61) 998096803")</f>
        <v>(61) 998096803</v>
      </c>
      <c r="H635" s="11" t="str">
        <f ca="1">IFERROR(__xludf.dummyfunction("""COMPUTED_VALUE"""),"SUPERIOR")</f>
        <v>SUPERIOR</v>
      </c>
      <c r="I635" s="10" t="str">
        <f ca="1">IFERROR(__xludf.dummyfunction("""COMPUTED_VALUE"""),"DIREITO")</f>
        <v>DIREITO</v>
      </c>
      <c r="J635" s="10" t="str">
        <f ca="1">IFERROR(__xludf.dummyfunction("""COMPUTED_VALUE"""),"NOITE")</f>
        <v>NOITE</v>
      </c>
      <c r="K635" s="10" t="str">
        <f ca="1">IFERROR(__xludf.dummyfunction("""COMPUTED_VALUE"""),"TARDE")</f>
        <v>TARDE</v>
      </c>
      <c r="L635" s="10" t="str">
        <f ca="1">IFERROR(__xludf.dummyfunction("""COMPUTED_VALUE"""),"LUZIÂNIA - GO")</f>
        <v>LUZIÂNIA - GO</v>
      </c>
      <c r="M635" s="10">
        <f ca="1">IFERROR(__xludf.dummyfunction("""COMPUTED_VALUE"""),5)</f>
        <v>5</v>
      </c>
      <c r="N635" s="10" t="str">
        <f ca="1">IFERROR(__xludf.dummyfunction("""COMPUTED_VALUE"""),"CONTRATADO")</f>
        <v>CONTRATADO</v>
      </c>
      <c r="O635" s="11" t="str">
        <f ca="1">IFERROR(__xludf.dummyfunction("""COMPUTED_VALUE"""),"16/11 - 09:11")</f>
        <v>16/11 - 09:11</v>
      </c>
      <c r="P635" s="11"/>
      <c r="Q635" s="11"/>
      <c r="R635" s="11"/>
    </row>
    <row r="636" spans="1:18">
      <c r="A636" s="10">
        <f ca="1">IFERROR(__xludf.dummyfunction("""COMPUTED_VALUE"""),6)</f>
        <v>6</v>
      </c>
      <c r="B636" s="11" t="str">
        <f ca="1">IFERROR(__xludf.dummyfunction("""COMPUTED_VALUE"""),"THAIS OLIVEIRA DOURADO")</f>
        <v>THAIS OLIVEIRA DOURADO</v>
      </c>
      <c r="C636" s="11" t="str">
        <f ca="1">IFERROR(__xludf.dummyfunction("""COMPUTED_VALUE"""),"6082891")</f>
        <v>6082891</v>
      </c>
      <c r="D636" s="11" t="str">
        <f ca="1">IFERROR(__xludf.dummyfunction("""COMPUTED_VALUE"""),"04212536145")</f>
        <v>04212536145</v>
      </c>
      <c r="E636" s="11" t="str">
        <f ca="1">IFERROR(__xludf.dummyfunction("""COMPUTED_VALUE"""),"THAISODOURADO@GMAIL.COM")</f>
        <v>THAISODOURADO@GMAIL.COM</v>
      </c>
      <c r="F636" s="11"/>
      <c r="G636" s="11" t="str">
        <f ca="1">IFERROR(__xludf.dummyfunction("""COMPUTED_VALUE"""),"(61) 998368042")</f>
        <v>(61) 998368042</v>
      </c>
      <c r="H636" s="11" t="str">
        <f ca="1">IFERROR(__xludf.dummyfunction("""COMPUTED_VALUE"""),"SUPERIOR")</f>
        <v>SUPERIOR</v>
      </c>
      <c r="I636" s="10" t="str">
        <f ca="1">IFERROR(__xludf.dummyfunction("""COMPUTED_VALUE"""),"DIREITO")</f>
        <v>DIREITO</v>
      </c>
      <c r="J636" s="10" t="str">
        <f ca="1">IFERROR(__xludf.dummyfunction("""COMPUTED_VALUE"""),"NOITE")</f>
        <v>NOITE</v>
      </c>
      <c r="K636" s="10" t="str">
        <f ca="1">IFERROR(__xludf.dummyfunction("""COMPUTED_VALUE"""),"TARDE")</f>
        <v>TARDE</v>
      </c>
      <c r="L636" s="10" t="str">
        <f ca="1">IFERROR(__xludf.dummyfunction("""COMPUTED_VALUE"""),"LUZIÂNIA - GO")</f>
        <v>LUZIÂNIA - GO</v>
      </c>
      <c r="M636" s="10">
        <f ca="1">IFERROR(__xludf.dummyfunction("""COMPUTED_VALUE"""),5)</f>
        <v>5</v>
      </c>
      <c r="N636" s="10" t="str">
        <f ca="1">IFERROR(__xludf.dummyfunction("""COMPUTED_VALUE"""),"CONTRATADO")</f>
        <v>CONTRATADO</v>
      </c>
      <c r="O636" s="11" t="str">
        <f ca="1">IFERROR(__xludf.dummyfunction("""COMPUTED_VALUE"""),"16/11 - 09:11")</f>
        <v>16/11 - 09:11</v>
      </c>
      <c r="P636" s="11"/>
      <c r="Q636" s="11"/>
      <c r="R636" s="11"/>
    </row>
    <row r="637" spans="1:18">
      <c r="A637" s="10">
        <f ca="1">IFERROR(__xludf.dummyfunction("""COMPUTED_VALUE"""),7)</f>
        <v>7</v>
      </c>
      <c r="B637" s="11" t="str">
        <f ca="1">IFERROR(__xludf.dummyfunction("""COMPUTED_VALUE"""),"AMANDA MACÊDO FILGUEIRAS")</f>
        <v>AMANDA MACÊDO FILGUEIRAS</v>
      </c>
      <c r="C637" s="11" t="str">
        <f ca="1">IFERROR(__xludf.dummyfunction("""COMPUTED_VALUE"""),"3587273")</f>
        <v>3587273</v>
      </c>
      <c r="D637" s="11" t="str">
        <f ca="1">IFERROR(__xludf.dummyfunction("""COMPUTED_VALUE"""),"70993094120")</f>
        <v>70993094120</v>
      </c>
      <c r="E637" s="11" t="str">
        <f ca="1">IFERROR(__xludf.dummyfunction("""COMPUTED_VALUE"""),"AMANDAMACEDO2023@OUTLOOK.COM")</f>
        <v>AMANDAMACEDO2023@OUTLOOK.COM</v>
      </c>
      <c r="F637" s="11"/>
      <c r="G637" s="11" t="str">
        <f ca="1">IFERROR(__xludf.dummyfunction("""COMPUTED_VALUE"""),"(61) 998662421")</f>
        <v>(61) 998662421</v>
      </c>
      <c r="H637" s="11" t="str">
        <f ca="1">IFERROR(__xludf.dummyfunction("""COMPUTED_VALUE"""),"SUPERIOR")</f>
        <v>SUPERIOR</v>
      </c>
      <c r="I637" s="10" t="str">
        <f ca="1">IFERROR(__xludf.dummyfunction("""COMPUTED_VALUE"""),"DIREITO")</f>
        <v>DIREITO</v>
      </c>
      <c r="J637" s="10" t="str">
        <f ca="1">IFERROR(__xludf.dummyfunction("""COMPUTED_VALUE"""),"NOITE")</f>
        <v>NOITE</v>
      </c>
      <c r="K637" s="10" t="str">
        <f ca="1">IFERROR(__xludf.dummyfunction("""COMPUTED_VALUE"""),"TARDE")</f>
        <v>TARDE</v>
      </c>
      <c r="L637" s="10" t="str">
        <f ca="1">IFERROR(__xludf.dummyfunction("""COMPUTED_VALUE"""),"LUZIÂNIA - GO")</f>
        <v>LUZIÂNIA - GO</v>
      </c>
      <c r="M637" s="10">
        <f ca="1">IFERROR(__xludf.dummyfunction("""COMPUTED_VALUE"""),8)</f>
        <v>8</v>
      </c>
      <c r="N637" s="10" t="str">
        <f ca="1">IFERROR(__xludf.dummyfunction("""COMPUTED_VALUE"""),"2ª CONVOCAÇÃO")</f>
        <v>2ª CONVOCAÇÃO</v>
      </c>
      <c r="O637" s="11" t="str">
        <f ca="1">IFERROR(__xludf.dummyfunction("""COMPUTED_VALUE"""),"16/11 - 09:11")</f>
        <v>16/11 - 09:11</v>
      </c>
      <c r="P637" s="11" t="str">
        <f ca="1">IFERROR(__xludf.dummyfunction("""COMPUTED_VALUE"""),"sem retorno")</f>
        <v>sem retorno</v>
      </c>
      <c r="Q637" s="11"/>
      <c r="R637" s="11"/>
    </row>
    <row r="638" spans="1:18">
      <c r="A638" s="10">
        <f ca="1">IFERROR(__xludf.dummyfunction("""COMPUTED_VALUE"""),8)</f>
        <v>8</v>
      </c>
      <c r="B638" s="11" t="str">
        <f ca="1">IFERROR(__xludf.dummyfunction("""COMPUTED_VALUE"""),"ANTONY FELIPE SAMPAIO DA SILVA")</f>
        <v>ANTONY FELIPE SAMPAIO DA SILVA</v>
      </c>
      <c r="C638" s="11"/>
      <c r="D638" s="11" t="str">
        <f ca="1">IFERROR(__xludf.dummyfunction("""COMPUTED_VALUE"""),"70243210167")</f>
        <v>70243210167</v>
      </c>
      <c r="E638" s="11" t="str">
        <f ca="1">IFERROR(__xludf.dummyfunction("""COMPUTED_VALUE"""),"ANTONYFELIPESAMPAIO@GMAIL.COM")</f>
        <v>ANTONYFELIPESAMPAIO@GMAIL.COM</v>
      </c>
      <c r="F638" s="11"/>
      <c r="G638" s="11" t="str">
        <f ca="1">IFERROR(__xludf.dummyfunction("""COMPUTED_VALUE"""),"(61) 994150080")</f>
        <v>(61) 994150080</v>
      </c>
      <c r="H638" s="11" t="str">
        <f ca="1">IFERROR(__xludf.dummyfunction("""COMPUTED_VALUE"""),"SUPERIOR")</f>
        <v>SUPERIOR</v>
      </c>
      <c r="I638" s="10" t="str">
        <f ca="1">IFERROR(__xludf.dummyfunction("""COMPUTED_VALUE"""),"DIREITO")</f>
        <v>DIREITO</v>
      </c>
      <c r="J638" s="10" t="str">
        <f ca="1">IFERROR(__xludf.dummyfunction("""COMPUTED_VALUE"""),"NOITE")</f>
        <v>NOITE</v>
      </c>
      <c r="K638" s="10" t="str">
        <f ca="1">IFERROR(__xludf.dummyfunction("""COMPUTED_VALUE"""),"TARDE")</f>
        <v>TARDE</v>
      </c>
      <c r="L638" s="10" t="str">
        <f ca="1">IFERROR(__xludf.dummyfunction("""COMPUTED_VALUE"""),"LUZIÂNIA - GO")</f>
        <v>LUZIÂNIA - GO</v>
      </c>
      <c r="M638" s="10">
        <f ca="1">IFERROR(__xludf.dummyfunction("""COMPUTED_VALUE"""),5)</f>
        <v>5</v>
      </c>
      <c r="N638" s="10" t="str">
        <f ca="1">IFERROR(__xludf.dummyfunction("""COMPUTED_VALUE"""),"CONTRATADO")</f>
        <v>CONTRATADO</v>
      </c>
      <c r="O638" s="11"/>
      <c r="P638" s="11"/>
      <c r="Q638" s="11"/>
      <c r="R638" s="11"/>
    </row>
    <row r="639" spans="1:18">
      <c r="A639" s="10">
        <f ca="1">IFERROR(__xludf.dummyfunction("""COMPUTED_VALUE"""),9)</f>
        <v>9</v>
      </c>
      <c r="B639" s="11" t="str">
        <f ca="1">IFERROR(__xludf.dummyfunction("""COMPUTED_VALUE"""),"LARISSA OLIVEIRA BORGES SOUZA")</f>
        <v>LARISSA OLIVEIRA BORGES SOUZA</v>
      </c>
      <c r="C639" s="11" t="str">
        <f ca="1">IFERROR(__xludf.dummyfunction("""COMPUTED_VALUE"""),"3196827")</f>
        <v>3196827</v>
      </c>
      <c r="D639" s="11" t="str">
        <f ca="1">IFERROR(__xludf.dummyfunction("""COMPUTED_VALUE"""),"07583918111")</f>
        <v>07583918111</v>
      </c>
      <c r="E639" s="11" t="str">
        <f ca="1">IFERROR(__xludf.dummyfunction("""COMPUTED_VALUE"""),"LARISSAOBS21@GMAIL.COM")</f>
        <v>LARISSAOBS21@GMAIL.COM</v>
      </c>
      <c r="F639" s="11"/>
      <c r="G639" s="11" t="str">
        <f ca="1">IFERROR(__xludf.dummyfunction("""COMPUTED_VALUE"""),"(61) 999585722")</f>
        <v>(61) 999585722</v>
      </c>
      <c r="H639" s="11" t="str">
        <f ca="1">IFERROR(__xludf.dummyfunction("""COMPUTED_VALUE"""),"SUPERIOR")</f>
        <v>SUPERIOR</v>
      </c>
      <c r="I639" s="10" t="str">
        <f ca="1">IFERROR(__xludf.dummyfunction("""COMPUTED_VALUE"""),"DIREITO")</f>
        <v>DIREITO</v>
      </c>
      <c r="J639" s="10" t="str">
        <f ca="1">IFERROR(__xludf.dummyfunction("""COMPUTED_VALUE"""),"MANHÃ")</f>
        <v>MANHÃ</v>
      </c>
      <c r="K639" s="10" t="str">
        <f ca="1">IFERROR(__xludf.dummyfunction("""COMPUTED_VALUE"""),"TARDE")</f>
        <v>TARDE</v>
      </c>
      <c r="L639" s="10" t="str">
        <f ca="1">IFERROR(__xludf.dummyfunction("""COMPUTED_VALUE"""),"LUZIÂNIA - GO")</f>
        <v>LUZIÂNIA - GO</v>
      </c>
      <c r="M639" s="10">
        <f ca="1">IFERROR(__xludf.dummyfunction("""COMPUTED_VALUE"""),8)</f>
        <v>8</v>
      </c>
      <c r="N639" s="10" t="str">
        <f ca="1">IFERROR(__xludf.dummyfunction("""COMPUTED_VALUE"""),"1ª CONVOCAÇÃO")</f>
        <v>1ª CONVOCAÇÃO</v>
      </c>
      <c r="O639" s="11"/>
      <c r="P639" s="11"/>
      <c r="Q639" s="11"/>
      <c r="R639" s="11"/>
    </row>
    <row r="640" spans="1:18">
      <c r="A640" s="10">
        <f ca="1">IFERROR(__xludf.dummyfunction("""COMPUTED_VALUE"""),1)</f>
        <v>1</v>
      </c>
      <c r="B640" s="11" t="str">
        <f ca="1">IFERROR(__xludf.dummyfunction("""COMPUTED_VALUE"""),"ISADORA LOHANNE BARBOSA FERREIRA")</f>
        <v>ISADORA LOHANNE BARBOSA FERREIRA</v>
      </c>
      <c r="C640" s="11" t="str">
        <f ca="1">IFERROR(__xludf.dummyfunction("""COMPUTED_VALUE"""),"3768844")</f>
        <v>3768844</v>
      </c>
      <c r="D640" s="11" t="str">
        <f ca="1">IFERROR(__xludf.dummyfunction("""COMPUTED_VALUE"""),"07474546124")</f>
        <v>07474546124</v>
      </c>
      <c r="E640" s="11" t="str">
        <f ca="1">IFERROR(__xludf.dummyfunction("""COMPUTED_VALUE"""),"ISADORALOHANNE51@GMAIL.COM")</f>
        <v>ISADORALOHANNE51@GMAIL.COM</v>
      </c>
      <c r="F640" s="11" t="str">
        <f ca="1">IFERROR(__xludf.dummyfunction("""COMPUTED_VALUE"""),"(61) 30842145")</f>
        <v>(61) 30842145</v>
      </c>
      <c r="G640" s="11" t="str">
        <f ca="1">IFERROR(__xludf.dummyfunction("""COMPUTED_VALUE"""),"(61) 996080428")</f>
        <v>(61) 996080428</v>
      </c>
      <c r="H640" s="11" t="str">
        <f ca="1">IFERROR(__xludf.dummyfunction("""COMPUTED_VALUE"""),"SUPERIOR")</f>
        <v>SUPERIOR</v>
      </c>
      <c r="I640" s="10" t="str">
        <f ca="1">IFERROR(__xludf.dummyfunction("""COMPUTED_VALUE"""),"PSICOLOGIA")</f>
        <v>PSICOLOGIA</v>
      </c>
      <c r="J640" s="10" t="str">
        <f ca="1">IFERROR(__xludf.dummyfunction("""COMPUTED_VALUE"""),"NOITE")</f>
        <v>NOITE</v>
      </c>
      <c r="K640" s="10" t="str">
        <f ca="1">IFERROR(__xludf.dummyfunction("""COMPUTED_VALUE"""),"TARDE")</f>
        <v>TARDE</v>
      </c>
      <c r="L640" s="10" t="str">
        <f ca="1">IFERROR(__xludf.dummyfunction("""COMPUTED_VALUE"""),"LUZIÂNIA - GO")</f>
        <v>LUZIÂNIA - GO</v>
      </c>
      <c r="M640" s="10">
        <f ca="1">IFERROR(__xludf.dummyfunction("""COMPUTED_VALUE"""),9)</f>
        <v>9</v>
      </c>
      <c r="N640" s="10" t="str">
        <f ca="1">IFERROR(__xludf.dummyfunction("""COMPUTED_VALUE"""),"DISPONÍVEL")</f>
        <v>DISPONÍVEL</v>
      </c>
      <c r="O640" s="11"/>
      <c r="P640" s="11"/>
      <c r="Q640" s="11"/>
      <c r="R640" s="11"/>
    </row>
    <row r="641" spans="1:18">
      <c r="A641" s="10">
        <f ca="1">IFERROR(__xludf.dummyfunction("""COMPUTED_VALUE"""),2)</f>
        <v>2</v>
      </c>
      <c r="B641" s="11" t="str">
        <f ca="1">IFERROR(__xludf.dummyfunction("""COMPUTED_VALUE"""),"KARINY DIAS FERNANDES NETTO")</f>
        <v>KARINY DIAS FERNANDES NETTO</v>
      </c>
      <c r="C641" s="11" t="str">
        <f ca="1">IFERROR(__xludf.dummyfunction("""COMPUTED_VALUE"""),"6666559")</f>
        <v>6666559</v>
      </c>
      <c r="D641" s="11" t="str">
        <f ca="1">IFERROR(__xludf.dummyfunction("""COMPUTED_VALUE"""),"70720669189")</f>
        <v>70720669189</v>
      </c>
      <c r="E641" s="11" t="str">
        <f ca="1">IFERROR(__xludf.dummyfunction("""COMPUTED_VALUE"""),"KAKADIASF13@GMAIL.COM")</f>
        <v>KAKADIASF13@GMAIL.COM</v>
      </c>
      <c r="F641" s="11"/>
      <c r="G641" s="11" t="str">
        <f ca="1">IFERROR(__xludf.dummyfunction("""COMPUTED_VALUE"""),"(61) 995657728")</f>
        <v>(61) 995657728</v>
      </c>
      <c r="H641" s="11" t="str">
        <f ca="1">IFERROR(__xludf.dummyfunction("""COMPUTED_VALUE"""),"SUPERIOR")</f>
        <v>SUPERIOR</v>
      </c>
      <c r="I641" s="10" t="str">
        <f ca="1">IFERROR(__xludf.dummyfunction("""COMPUTED_VALUE"""),"PSICOLOGIA")</f>
        <v>PSICOLOGIA</v>
      </c>
      <c r="J641" s="10" t="str">
        <f ca="1">IFERROR(__xludf.dummyfunction("""COMPUTED_VALUE"""),"NOITE")</f>
        <v>NOITE</v>
      </c>
      <c r="K641" s="10" t="str">
        <f ca="1">IFERROR(__xludf.dummyfunction("""COMPUTED_VALUE"""),"TARDE")</f>
        <v>TARDE</v>
      </c>
      <c r="L641" s="10" t="str">
        <f ca="1">IFERROR(__xludf.dummyfunction("""COMPUTED_VALUE"""),"LUZIÂNIA - GO")</f>
        <v>LUZIÂNIA - GO</v>
      </c>
      <c r="M641" s="10">
        <f ca="1">IFERROR(__xludf.dummyfunction("""COMPUTED_VALUE"""),8)</f>
        <v>8</v>
      </c>
      <c r="N641" s="10" t="str">
        <f ca="1">IFERROR(__xludf.dummyfunction("""COMPUTED_VALUE"""),"DISPONÍVEL")</f>
        <v>DISPONÍVEL</v>
      </c>
      <c r="O641" s="11"/>
      <c r="P641" s="11"/>
      <c r="Q641" s="11"/>
      <c r="R641" s="11"/>
    </row>
    <row r="642" spans="1:18">
      <c r="A642" s="10">
        <f ca="1">IFERROR(__xludf.dummyfunction("""COMPUTED_VALUE"""),3)</f>
        <v>3</v>
      </c>
      <c r="B642" s="11" t="str">
        <f ca="1">IFERROR(__xludf.dummyfunction("""COMPUTED_VALUE"""),"ITALO DA SILVA ARAUJO")</f>
        <v>ITALO DA SILVA ARAUJO</v>
      </c>
      <c r="C642" s="11" t="str">
        <f ca="1">IFERROR(__xludf.dummyfunction("""COMPUTED_VALUE"""),"3344545")</f>
        <v>3344545</v>
      </c>
      <c r="D642" s="11" t="str">
        <f ca="1">IFERROR(__xludf.dummyfunction("""COMPUTED_VALUE"""),"70514301147")</f>
        <v>70514301147</v>
      </c>
      <c r="E642" s="11" t="str">
        <f ca="1">IFERROR(__xludf.dummyfunction("""COMPUTED_VALUE"""),"ARAUJOSITALO@GMAIL.COM")</f>
        <v>ARAUJOSITALO@GMAIL.COM</v>
      </c>
      <c r="F642" s="11"/>
      <c r="G642" s="11" t="str">
        <f ca="1">IFERROR(__xludf.dummyfunction("""COMPUTED_VALUE"""),"(61) 996847481")</f>
        <v>(61) 996847481</v>
      </c>
      <c r="H642" s="11" t="str">
        <f ca="1">IFERROR(__xludf.dummyfunction("""COMPUTED_VALUE"""),"SUPERIOR")</f>
        <v>SUPERIOR</v>
      </c>
      <c r="I642" s="10" t="str">
        <f ca="1">IFERROR(__xludf.dummyfunction("""COMPUTED_VALUE"""),"PSICOLOGIA")</f>
        <v>PSICOLOGIA</v>
      </c>
      <c r="J642" s="10" t="str">
        <f ca="1">IFERROR(__xludf.dummyfunction("""COMPUTED_VALUE"""),"NOITE")</f>
        <v>NOITE</v>
      </c>
      <c r="K642" s="10" t="str">
        <f ca="1">IFERROR(__xludf.dummyfunction("""COMPUTED_VALUE"""),"TARDE")</f>
        <v>TARDE</v>
      </c>
      <c r="L642" s="10" t="str">
        <f ca="1">IFERROR(__xludf.dummyfunction("""COMPUTED_VALUE"""),"LUZIÂNIA - GO")</f>
        <v>LUZIÂNIA - GO</v>
      </c>
      <c r="M642" s="10">
        <f ca="1">IFERROR(__xludf.dummyfunction("""COMPUTED_VALUE"""),5)</f>
        <v>5</v>
      </c>
      <c r="N642" s="10" t="str">
        <f ca="1">IFERROR(__xludf.dummyfunction("""COMPUTED_VALUE"""),"DISPONÍVEL")</f>
        <v>DISPONÍVEL</v>
      </c>
      <c r="O642" s="11"/>
      <c r="P642" s="11"/>
      <c r="Q642" s="11"/>
      <c r="R642" s="11"/>
    </row>
    <row r="643" spans="1:18">
      <c r="A643" s="10">
        <f ca="1">IFERROR(__xludf.dummyfunction("""COMPUTED_VALUE"""),4)</f>
        <v>4</v>
      </c>
      <c r="B643" s="11" t="str">
        <f ca="1">IFERROR(__xludf.dummyfunction("""COMPUTED_VALUE"""),"GEOVANNA VITÓRIA MARTINS DE SOUSA")</f>
        <v>GEOVANNA VITÓRIA MARTINS DE SOUSA</v>
      </c>
      <c r="C643" s="11" t="str">
        <f ca="1">IFERROR(__xludf.dummyfunction("""COMPUTED_VALUE"""),"4429997")</f>
        <v>4429997</v>
      </c>
      <c r="D643" s="11" t="str">
        <f ca="1">IFERROR(__xludf.dummyfunction("""COMPUTED_VALUE"""),"61465004378")</f>
        <v>61465004378</v>
      </c>
      <c r="E643" s="11" t="str">
        <f ca="1">IFERROR(__xludf.dummyfunction("""COMPUTED_VALUE"""),"VICK09457@GMAIL.COM")</f>
        <v>VICK09457@GMAIL.COM</v>
      </c>
      <c r="F643" s="11"/>
      <c r="G643" s="11" t="str">
        <f ca="1">IFERROR(__xludf.dummyfunction("""COMPUTED_VALUE"""),"(61) 994174802")</f>
        <v>(61) 994174802</v>
      </c>
      <c r="H643" s="11" t="str">
        <f ca="1">IFERROR(__xludf.dummyfunction("""COMPUTED_VALUE"""),"SUPERIOR")</f>
        <v>SUPERIOR</v>
      </c>
      <c r="I643" s="10" t="str">
        <f ca="1">IFERROR(__xludf.dummyfunction("""COMPUTED_VALUE"""),"PSICOLOGIA")</f>
        <v>PSICOLOGIA</v>
      </c>
      <c r="J643" s="10" t="str">
        <f ca="1">IFERROR(__xludf.dummyfunction("""COMPUTED_VALUE"""),"MANHÃ")</f>
        <v>MANHÃ</v>
      </c>
      <c r="K643" s="10" t="str">
        <f ca="1">IFERROR(__xludf.dummyfunction("""COMPUTED_VALUE"""),"TARDE")</f>
        <v>TARDE</v>
      </c>
      <c r="L643" s="10" t="str">
        <f ca="1">IFERROR(__xludf.dummyfunction("""COMPUTED_VALUE"""),"LUZIÂNIA - GO")</f>
        <v>LUZIÂNIA - GO</v>
      </c>
      <c r="M643" s="10">
        <f ca="1">IFERROR(__xludf.dummyfunction("""COMPUTED_VALUE"""),5)</f>
        <v>5</v>
      </c>
      <c r="N643" s="10" t="str">
        <f ca="1">IFERROR(__xludf.dummyfunction("""COMPUTED_VALUE"""),"DISPONÍVEL")</f>
        <v>DISPONÍVEL</v>
      </c>
      <c r="O643" s="11"/>
      <c r="P643" s="11"/>
      <c r="Q643" s="11"/>
      <c r="R643" s="11"/>
    </row>
    <row r="644" spans="1:18">
      <c r="A644" s="10">
        <f ca="1">IFERROR(__xludf.dummyfunction("""COMPUTED_VALUE"""),5)</f>
        <v>5</v>
      </c>
      <c r="B644" s="11" t="str">
        <f ca="1">IFERROR(__xludf.dummyfunction("""COMPUTED_VALUE"""),"AMANDA ARAUJO ANDRADE")</f>
        <v>AMANDA ARAUJO ANDRADE</v>
      </c>
      <c r="C644" s="11"/>
      <c r="D644" s="11" t="str">
        <f ca="1">IFERROR(__xludf.dummyfunction("""COMPUTED_VALUE"""),"07266036194")</f>
        <v>07266036194</v>
      </c>
      <c r="E644" s="11" t="str">
        <f ca="1">IFERROR(__xludf.dummyfunction("""COMPUTED_VALUE"""),"AMANDAARAUJO6532@GMAIL.COM")</f>
        <v>AMANDAARAUJO6532@GMAIL.COM</v>
      </c>
      <c r="F644" s="11"/>
      <c r="G644" s="11" t="str">
        <f ca="1">IFERROR(__xludf.dummyfunction("""COMPUTED_VALUE"""),"(61) 995542160")</f>
        <v>(61) 995542160</v>
      </c>
      <c r="H644" s="11" t="str">
        <f ca="1">IFERROR(__xludf.dummyfunction("""COMPUTED_VALUE"""),"SUPERIOR")</f>
        <v>SUPERIOR</v>
      </c>
      <c r="I644" s="10" t="str">
        <f ca="1">IFERROR(__xludf.dummyfunction("""COMPUTED_VALUE"""),"PSICOLOGIA")</f>
        <v>PSICOLOGIA</v>
      </c>
      <c r="J644" s="10" t="str">
        <f ca="1">IFERROR(__xludf.dummyfunction("""COMPUTED_VALUE"""),"MANHÃ")</f>
        <v>MANHÃ</v>
      </c>
      <c r="K644" s="10" t="str">
        <f ca="1">IFERROR(__xludf.dummyfunction("""COMPUTED_VALUE"""),"TARDE")</f>
        <v>TARDE</v>
      </c>
      <c r="L644" s="10" t="str">
        <f ca="1">IFERROR(__xludf.dummyfunction("""COMPUTED_VALUE"""),"LUZIÂNIA - GO")</f>
        <v>LUZIÂNIA - GO</v>
      </c>
      <c r="M644" s="10">
        <f ca="1">IFERROR(__xludf.dummyfunction("""COMPUTED_VALUE"""),9)</f>
        <v>9</v>
      </c>
      <c r="N644" s="10" t="str">
        <f ca="1">IFERROR(__xludf.dummyfunction("""COMPUTED_VALUE"""),"DISPONÍVEL")</f>
        <v>DISPONÍVEL</v>
      </c>
      <c r="O644" s="11"/>
      <c r="P644" s="11"/>
      <c r="Q644" s="11"/>
      <c r="R644" s="11"/>
    </row>
    <row r="645" spans="1:18">
      <c r="A645" s="10">
        <f ca="1">IFERROR(__xludf.dummyfunction("QUERY('MAURILÂNDIA'!A5:A8)"),1)</f>
        <v>1</v>
      </c>
      <c r="B645" s="9" t="str">
        <f ca="1">IFERROR(__xludf.dummyfunction("QUERY('MAURILÂNDIA'!B5:B20)"),"MILENA ALVES MENDES")</f>
        <v>MILENA ALVES MENDES</v>
      </c>
      <c r="C645" s="9" t="str">
        <f ca="1">IFERROR(__xludf.dummyfunction("QUERY('MAURILÂNDIA'!C5:C20)"),"7478438")</f>
        <v>7478438</v>
      </c>
      <c r="D645" s="9" t="str">
        <f ca="1">IFERROR(__xludf.dummyfunction("QUERY('MAURILÂNDIA'!D5:D20)"),"08734024131")</f>
        <v>08734024131</v>
      </c>
      <c r="E645" s="9" t="str">
        <f ca="1">IFERROR(__xludf.dummyfunction("QUERY('MAURILÂNDIA'!E5:E20)"),"MILENAPINK01@GMAIL.COM")</f>
        <v>MILENAPINK01@GMAIL.COM</v>
      </c>
      <c r="F645" s="9" t="str">
        <f ca="1">IFERROR(__xludf.dummyfunction("QUERY('MAURILÂNDIA'!F5:F20)"),"")</f>
        <v/>
      </c>
      <c r="G645" s="9" t="str">
        <f ca="1">IFERROR(__xludf.dummyfunction("QUERY('MAURILÂNDIA'!G5:G20)"),"(64) 993279613")</f>
        <v>(64) 993279613</v>
      </c>
      <c r="H645" s="9" t="str">
        <f ca="1">IFERROR(__xludf.dummyfunction("QUERY('MAURILÂNDIA'!H5:H20)"),"SUPERIOR")</f>
        <v>SUPERIOR</v>
      </c>
      <c r="I645" s="10" t="str">
        <f ca="1">IFERROR(__xludf.dummyfunction("QUERY('MAURILÂNDIA'!I5:I20)"),"DIREITO")</f>
        <v>DIREITO</v>
      </c>
      <c r="J645" s="10" t="str">
        <f ca="1">IFERROR(__xludf.dummyfunction("QUERY('MAURILÂNDIA'!J5:J20)"),"NOITE")</f>
        <v>NOITE</v>
      </c>
      <c r="K645" s="10" t="str">
        <f ca="1">IFERROR(__xludf.dummyfunction("QUERY('MAURILÂNDIA'!K5:K20)"),"TARDE")</f>
        <v>TARDE</v>
      </c>
      <c r="L645" s="10" t="str">
        <f ca="1">IFERROR(__xludf.dummyfunction("QUERY('MAURILÂNDIA'!L5:L20)"),"MAURILÂNDIA - GO")</f>
        <v>MAURILÂNDIA - GO</v>
      </c>
      <c r="M645" s="10">
        <f ca="1">IFERROR(__xludf.dummyfunction("QUERY('MAURILÂNDIA'!M5:M20)"),6)</f>
        <v>6</v>
      </c>
      <c r="N645" s="10" t="str">
        <f ca="1">IFERROR(__xludf.dummyfunction("QUERY('MAURILÂNDIA'!N5:N20)"),"DISPONÍVEL")</f>
        <v>DISPONÍVEL</v>
      </c>
      <c r="O645" s="9" t="str">
        <f ca="1">IFERROR(__xludf.dummyfunction("QUERY('MAURILÂNDIA'!O5:O20)"),"")</f>
        <v/>
      </c>
      <c r="P645" s="9" t="str">
        <f ca="1">IFERROR(__xludf.dummyfunction("QUERY('MAURILÂNDIA'!P5:P20)"),"")</f>
        <v/>
      </c>
      <c r="Q645" s="9" t="str">
        <f ca="1">IFERROR(__xludf.dummyfunction("QUERY('MAURILÂNDIA'!Q5:Q20)"),"")</f>
        <v/>
      </c>
      <c r="R645" s="9" t="str">
        <f ca="1">IFERROR(__xludf.dummyfunction("QUERY('MAURILÂNDIA'!R5:R20)"),"")</f>
        <v/>
      </c>
    </row>
    <row r="646" spans="1:18">
      <c r="A646" s="10">
        <f ca="1">IFERROR(__xludf.dummyfunction("""COMPUTED_VALUE"""),2)</f>
        <v>2</v>
      </c>
      <c r="B646" s="11" t="str">
        <f ca="1">IFERROR(__xludf.dummyfunction("""COMPUTED_VALUE"""),"MARCELO APARECIDO DE OLIVEIRA FILHO")</f>
        <v>MARCELO APARECIDO DE OLIVEIRA FILHO</v>
      </c>
      <c r="C646" s="11"/>
      <c r="D646" s="11" t="str">
        <f ca="1">IFERROR(__xludf.dummyfunction("""COMPUTED_VALUE"""),"75312786187")</f>
        <v>75312786187</v>
      </c>
      <c r="E646" s="11" t="str">
        <f ca="1">IFERROR(__xludf.dummyfunction("""COMPUTED_VALUE"""),"MARCELO.A.O.FILHO@ACADEMICO.UNIRV.EDU.BR")</f>
        <v>MARCELO.A.O.FILHO@ACADEMICO.UNIRV.EDU.BR</v>
      </c>
      <c r="F646" s="11"/>
      <c r="G646" s="11" t="str">
        <f ca="1">IFERROR(__xludf.dummyfunction("""COMPUTED_VALUE"""),"(64) 993068753")</f>
        <v>(64) 993068753</v>
      </c>
      <c r="H646" s="11" t="str">
        <f ca="1">IFERROR(__xludf.dummyfunction("""COMPUTED_VALUE"""),"SUPERIOR")</f>
        <v>SUPERIOR</v>
      </c>
      <c r="I646" s="10" t="str">
        <f ca="1">IFERROR(__xludf.dummyfunction("""COMPUTED_VALUE"""),"DIREITO")</f>
        <v>DIREITO</v>
      </c>
      <c r="J646" s="10" t="str">
        <f ca="1">IFERROR(__xludf.dummyfunction("""COMPUTED_VALUE"""),"NOITE")</f>
        <v>NOITE</v>
      </c>
      <c r="K646" s="10" t="str">
        <f ca="1">IFERROR(__xludf.dummyfunction("""COMPUTED_VALUE"""),"TARDE")</f>
        <v>TARDE</v>
      </c>
      <c r="L646" s="10" t="str">
        <f ca="1">IFERROR(__xludf.dummyfunction("""COMPUTED_VALUE"""),"MAURILÂNDIA - GO")</f>
        <v>MAURILÂNDIA - GO</v>
      </c>
      <c r="M646" s="10">
        <f ca="1">IFERROR(__xludf.dummyfunction("""COMPUTED_VALUE"""),6)</f>
        <v>6</v>
      </c>
      <c r="N646" s="10" t="str">
        <f ca="1">IFERROR(__xludf.dummyfunction("""COMPUTED_VALUE"""),"DISPONÍVEL")</f>
        <v>DISPONÍVEL</v>
      </c>
      <c r="O646" s="11"/>
      <c r="P646" s="11"/>
      <c r="Q646" s="11"/>
      <c r="R646" s="11"/>
    </row>
    <row r="647" spans="1:18">
      <c r="A647" s="10">
        <f ca="1">IFERROR(__xludf.dummyfunction("QUERY(MINEIROS!A5:A17)"),1)</f>
        <v>1</v>
      </c>
      <c r="B647" s="9" t="str">
        <f ca="1">IFERROR(__xludf.dummyfunction("QUERY(MINEIROS!B5:B17)"),"LAURA SANTOS MORAES")</f>
        <v>LAURA SANTOS MORAES</v>
      </c>
      <c r="C647" s="9" t="str">
        <f ca="1">IFERROR(__xludf.dummyfunction("QUERY(MINEIROS!C5:C17)"),"27410900")</f>
        <v>27410900</v>
      </c>
      <c r="D647" s="9" t="str">
        <f ca="1">IFERROR(__xludf.dummyfunction("QUERY(MINEIROS!D5:D17)"),"06141217109")</f>
        <v>06141217109</v>
      </c>
      <c r="E647" s="9" t="str">
        <f ca="1">IFERROR(__xludf.dummyfunction("QUERY(MINEIROS!E5:E17)"),"LARASANTOS307@GMAIL.COM")</f>
        <v>LARASANTOS307@GMAIL.COM</v>
      </c>
      <c r="F647" s="9" t="str">
        <f ca="1">IFERROR(__xludf.dummyfunction("QUERY(MINEIROS!F5:F17)"),"")</f>
        <v/>
      </c>
      <c r="G647" s="9" t="str">
        <f ca="1">IFERROR(__xludf.dummyfunction("QUERY(MINEIROS!G5:G17)"),"(66) 996949688")</f>
        <v>(66) 996949688</v>
      </c>
      <c r="H647" s="9" t="str">
        <f ca="1">IFERROR(__xludf.dummyfunction("QUERY(MINEIROS!H5:H17)"),"SUPERIOR")</f>
        <v>SUPERIOR</v>
      </c>
      <c r="I647" s="10" t="str">
        <f ca="1">IFERROR(__xludf.dummyfunction("QUERY(MINEIROS!I5:I17)"),"DIREITO")</f>
        <v>DIREITO</v>
      </c>
      <c r="J647" s="10" t="str">
        <f ca="1">IFERROR(__xludf.dummyfunction("QUERY(MINEIROS!J5:J17)"),"NOITE")</f>
        <v>NOITE</v>
      </c>
      <c r="K647" s="10" t="str">
        <f ca="1">IFERROR(__xludf.dummyfunction("QUERY(MINEIROS!K5:K17)"),"TARDE")</f>
        <v>TARDE</v>
      </c>
      <c r="L647" s="10" t="str">
        <f ca="1">IFERROR(__xludf.dummyfunction("QUERY(MINEIROS!L5:L17)"),"MINEIROS - GO")</f>
        <v>MINEIROS - GO</v>
      </c>
      <c r="M647" s="10">
        <f ca="1">IFERROR(__xludf.dummyfunction("QUERY(MINEIROS!M5:M17)"),8)</f>
        <v>8</v>
      </c>
      <c r="N647" s="10" t="str">
        <f ca="1">IFERROR(__xludf.dummyfunction("QUERY(MINEIROS!N5:N17)"),"CONTRATADO")</f>
        <v>CONTRATADO</v>
      </c>
      <c r="O647" s="9" t="str">
        <f ca="1">IFERROR(__xludf.dummyfunction("QUERY(MINEIROS!O5:O17)"),"16/11 - 14:15")</f>
        <v>16/11 - 14:15</v>
      </c>
      <c r="P647" s="9" t="str">
        <f ca="1">IFERROR(__xludf.dummyfunction("QUERY(MINEIROS!P5:P17)"),"")</f>
        <v/>
      </c>
      <c r="Q647" s="9" t="str">
        <f ca="1">IFERROR(__xludf.dummyfunction("QUERY(MINEIROS!Q5:Q17)"),"")</f>
        <v/>
      </c>
      <c r="R647" s="9" t="str">
        <f ca="1">IFERROR(__xludf.dummyfunction("QUERY(MINEIROS!R5:R17)"),"")</f>
        <v/>
      </c>
    </row>
    <row r="648" spans="1:18">
      <c r="A648" s="10">
        <f ca="1">IFERROR(__xludf.dummyfunction("""COMPUTED_VALUE"""),2)</f>
        <v>2</v>
      </c>
      <c r="B648" s="11" t="str">
        <f ca="1">IFERROR(__xludf.dummyfunction("""COMPUTED_VALUE"""),"VITORIA ALVES FERREIRA")</f>
        <v>VITORIA ALVES FERREIRA</v>
      </c>
      <c r="C648" s="11" t="str">
        <f ca="1">IFERROR(__xludf.dummyfunction("""COMPUTED_VALUE"""),"5134220")</f>
        <v>5134220</v>
      </c>
      <c r="D648" s="11" t="str">
        <f ca="1">IFERROR(__xludf.dummyfunction("""COMPUTED_VALUE"""),"02213328129")</f>
        <v>02213328129</v>
      </c>
      <c r="E648" s="11" t="str">
        <f ca="1">IFERROR(__xludf.dummyfunction("""COMPUTED_VALUE"""),"VITORIA.MINEIROS@GMAIL.COM")</f>
        <v>VITORIA.MINEIROS@GMAIL.COM</v>
      </c>
      <c r="F648" s="11"/>
      <c r="G648" s="11" t="str">
        <f ca="1">IFERROR(__xludf.dummyfunction("""COMPUTED_VALUE"""),"(64) 999890173")</f>
        <v>(64) 999890173</v>
      </c>
      <c r="H648" s="11" t="str">
        <f ca="1">IFERROR(__xludf.dummyfunction("""COMPUTED_VALUE"""),"SUPERIOR")</f>
        <v>SUPERIOR</v>
      </c>
      <c r="I648" s="10" t="str">
        <f ca="1">IFERROR(__xludf.dummyfunction("""COMPUTED_VALUE"""),"DIREITO")</f>
        <v>DIREITO</v>
      </c>
      <c r="J648" s="10" t="str">
        <f ca="1">IFERROR(__xludf.dummyfunction("""COMPUTED_VALUE"""),"NOITE")</f>
        <v>NOITE</v>
      </c>
      <c r="K648" s="10" t="str">
        <f ca="1">IFERROR(__xludf.dummyfunction("""COMPUTED_VALUE"""),"TARDE")</f>
        <v>TARDE</v>
      </c>
      <c r="L648" s="10" t="str">
        <f ca="1">IFERROR(__xludf.dummyfunction("""COMPUTED_VALUE"""),"MINEIROS - GO")</f>
        <v>MINEIROS - GO</v>
      </c>
      <c r="M648" s="10">
        <f ca="1">IFERROR(__xludf.dummyfunction("""COMPUTED_VALUE"""),8)</f>
        <v>8</v>
      </c>
      <c r="N648" s="10" t="str">
        <f ca="1">IFERROR(__xludf.dummyfunction("""COMPUTED_VALUE"""),"REMANEJADO")</f>
        <v>REMANEJADO</v>
      </c>
      <c r="O648" s="11" t="str">
        <f ca="1">IFERROR(__xludf.dummyfunction("""COMPUTED_VALUE"""),"16/11 - 14:16")</f>
        <v>16/11 - 14:16</v>
      </c>
      <c r="P648" s="11" t="str">
        <f ca="1">IFERROR(__xludf.dummyfunction("""COMPUTED_VALUE"""),"sem retorno")</f>
        <v>sem retorno</v>
      </c>
      <c r="Q648" s="11"/>
      <c r="R648" s="11"/>
    </row>
    <row r="649" spans="1:18">
      <c r="A649" s="10">
        <f ca="1">IFERROR(__xludf.dummyfunction("""COMPUTED_VALUE"""),3)</f>
        <v>3</v>
      </c>
      <c r="B649" s="11" t="str">
        <f ca="1">IFERROR(__xludf.dummyfunction("""COMPUTED_VALUE"""),"EDUARDA BATISTA SOARES")</f>
        <v>EDUARDA BATISTA SOARES</v>
      </c>
      <c r="C649" s="11"/>
      <c r="D649" s="11" t="str">
        <f ca="1">IFERROR(__xludf.dummyfunction("""COMPUTED_VALUE"""),"06981782111")</f>
        <v>06981782111</v>
      </c>
      <c r="E649" s="11" t="str">
        <f ca="1">IFERROR(__xludf.dummyfunction("""COMPUTED_VALUE"""),"EDUARDASOARESALBUQUER@GMAIL.COM")</f>
        <v>EDUARDASOARESALBUQUER@GMAIL.COM</v>
      </c>
      <c r="F649" s="11" t="str">
        <f ca="1">IFERROR(__xludf.dummyfunction("""COMPUTED_VALUE"""),"(62) 33721564")</f>
        <v>(62) 33721564</v>
      </c>
      <c r="G649" s="11" t="str">
        <f ca="1">IFERROR(__xludf.dummyfunction("""COMPUTED_VALUE"""),"(62) 998032093")</f>
        <v>(62) 998032093</v>
      </c>
      <c r="H649" s="11" t="str">
        <f ca="1">IFERROR(__xludf.dummyfunction("""COMPUTED_VALUE"""),"SUPERIOR")</f>
        <v>SUPERIOR</v>
      </c>
      <c r="I649" s="10" t="str">
        <f ca="1">IFERROR(__xludf.dummyfunction("""COMPUTED_VALUE"""),"DIREITO")</f>
        <v>DIREITO</v>
      </c>
      <c r="J649" s="10" t="str">
        <f ca="1">IFERROR(__xludf.dummyfunction("""COMPUTED_VALUE"""),"NOITE")</f>
        <v>NOITE</v>
      </c>
      <c r="K649" s="10" t="str">
        <f ca="1">IFERROR(__xludf.dummyfunction("""COMPUTED_VALUE"""),"TARDE")</f>
        <v>TARDE</v>
      </c>
      <c r="L649" s="10" t="str">
        <f ca="1">IFERROR(__xludf.dummyfunction("""COMPUTED_VALUE"""),"MINEIROS - GO")</f>
        <v>MINEIROS - GO</v>
      </c>
      <c r="M649" s="10">
        <f ca="1">IFERROR(__xludf.dummyfunction("""COMPUTED_VALUE"""),5)</f>
        <v>5</v>
      </c>
      <c r="N649" s="10" t="str">
        <f ca="1">IFERROR(__xludf.dummyfunction("""COMPUTED_VALUE"""),"CONTRATADO")</f>
        <v>CONTRATADO</v>
      </c>
      <c r="O649" s="11" t="str">
        <f ca="1">IFERROR(__xludf.dummyfunction("""COMPUTED_VALUE"""),"16/11 - 14:16")</f>
        <v>16/11 - 14:16</v>
      </c>
      <c r="P649" s="11"/>
      <c r="Q649" s="11"/>
      <c r="R649" s="11"/>
    </row>
    <row r="650" spans="1:18">
      <c r="A650" s="10">
        <f ca="1">IFERROR(__xludf.dummyfunction("""COMPUTED_VALUE"""),4)</f>
        <v>4</v>
      </c>
      <c r="B650" s="11" t="str">
        <f ca="1">IFERROR(__xludf.dummyfunction("""COMPUTED_VALUE"""),"VITÓRIA SANTOS NUNES")</f>
        <v>VITÓRIA SANTOS NUNES</v>
      </c>
      <c r="C650" s="11"/>
      <c r="D650" s="11" t="str">
        <f ca="1">IFERROR(__xludf.dummyfunction("""COMPUTED_VALUE"""),"04494803138")</f>
        <v>04494803138</v>
      </c>
      <c r="E650" s="11" t="str">
        <f ca="1">IFERROR(__xludf.dummyfunction("""COMPUTED_VALUE"""),"VITNUNES3@GMAIL.COM")</f>
        <v>VITNUNES3@GMAIL.COM</v>
      </c>
      <c r="F650" s="11"/>
      <c r="G650" s="11" t="str">
        <f ca="1">IFERROR(__xludf.dummyfunction("""COMPUTED_VALUE"""),"(66) 997103545")</f>
        <v>(66) 997103545</v>
      </c>
      <c r="H650" s="11" t="str">
        <f ca="1">IFERROR(__xludf.dummyfunction("""COMPUTED_VALUE"""),"SUPERIOR")</f>
        <v>SUPERIOR</v>
      </c>
      <c r="I650" s="10" t="str">
        <f ca="1">IFERROR(__xludf.dummyfunction("""COMPUTED_VALUE"""),"DIREITO")</f>
        <v>DIREITO</v>
      </c>
      <c r="J650" s="10" t="str">
        <f ca="1">IFERROR(__xludf.dummyfunction("""COMPUTED_VALUE"""),"NOITE")</f>
        <v>NOITE</v>
      </c>
      <c r="K650" s="10" t="str">
        <f ca="1">IFERROR(__xludf.dummyfunction("""COMPUTED_VALUE"""),"TARDE")</f>
        <v>TARDE</v>
      </c>
      <c r="L650" s="10" t="str">
        <f ca="1">IFERROR(__xludf.dummyfunction("""COMPUTED_VALUE"""),"MINEIROS - GO")</f>
        <v>MINEIROS - GO</v>
      </c>
      <c r="M650" s="10">
        <f ca="1">IFERROR(__xludf.dummyfunction("""COMPUTED_VALUE"""),5)</f>
        <v>5</v>
      </c>
      <c r="N650" s="10" t="str">
        <f ca="1">IFERROR(__xludf.dummyfunction("""COMPUTED_VALUE"""),"CONTRATADO")</f>
        <v>CONTRATADO</v>
      </c>
      <c r="O650" s="11" t="str">
        <f ca="1">IFERROR(__xludf.dummyfunction("""COMPUTED_VALUE"""),"16/11 - 14:18")</f>
        <v>16/11 - 14:18</v>
      </c>
      <c r="P650" s="11"/>
      <c r="Q650" s="11"/>
      <c r="R650" s="11"/>
    </row>
    <row r="651" spans="1:18">
      <c r="A651" s="10">
        <f ca="1">IFERROR(__xludf.dummyfunction("""COMPUTED_VALUE"""),5)</f>
        <v>5</v>
      </c>
      <c r="B651" s="11" t="str">
        <f ca="1">IFERROR(__xludf.dummyfunction("""COMPUTED_VALUE"""),"WELDER RIBEIRO SOUZA JUNIOR")</f>
        <v>WELDER RIBEIRO SOUZA JUNIOR</v>
      </c>
      <c r="C651" s="11"/>
      <c r="D651" s="11" t="str">
        <f ca="1">IFERROR(__xludf.dummyfunction("""COMPUTED_VALUE"""),"05788387108")</f>
        <v>05788387108</v>
      </c>
      <c r="E651" s="11" t="str">
        <f ca="1">IFERROR(__xludf.dummyfunction("""COMPUTED_VALUE"""),"WELDERMOR@GMAIL.COM")</f>
        <v>WELDERMOR@GMAIL.COM</v>
      </c>
      <c r="F651" s="11" t="str">
        <f ca="1">IFERROR(__xludf.dummyfunction("""COMPUTED_VALUE"""),"(65) 99003524")</f>
        <v>(65) 99003524</v>
      </c>
      <c r="G651" s="11" t="str">
        <f ca="1">IFERROR(__xludf.dummyfunction("""COMPUTED_VALUE"""),"(65) 999003524")</f>
        <v>(65) 999003524</v>
      </c>
      <c r="H651" s="11" t="str">
        <f ca="1">IFERROR(__xludf.dummyfunction("""COMPUTED_VALUE"""),"SUPERIOR")</f>
        <v>SUPERIOR</v>
      </c>
      <c r="I651" s="10" t="str">
        <f ca="1">IFERROR(__xludf.dummyfunction("""COMPUTED_VALUE"""),"DIREITO")</f>
        <v>DIREITO</v>
      </c>
      <c r="J651" s="10" t="str">
        <f ca="1">IFERROR(__xludf.dummyfunction("""COMPUTED_VALUE"""),"NOITE")</f>
        <v>NOITE</v>
      </c>
      <c r="K651" s="10" t="str">
        <f ca="1">IFERROR(__xludf.dummyfunction("""COMPUTED_VALUE"""),"TARDE")</f>
        <v>TARDE</v>
      </c>
      <c r="L651" s="10" t="str">
        <f ca="1">IFERROR(__xludf.dummyfunction("""COMPUTED_VALUE"""),"MINEIROS - GO")</f>
        <v>MINEIROS - GO</v>
      </c>
      <c r="M651" s="10">
        <f ca="1">IFERROR(__xludf.dummyfunction("""COMPUTED_VALUE"""),7)</f>
        <v>7</v>
      </c>
      <c r="N651" s="10" t="str">
        <f ca="1">IFERROR(__xludf.dummyfunction("""COMPUTED_VALUE"""),"1ª CONVOCAÇÃO")</f>
        <v>1ª CONVOCAÇÃO</v>
      </c>
      <c r="O651" s="11"/>
      <c r="P651" s="11"/>
      <c r="Q651" s="11"/>
      <c r="R651" s="11"/>
    </row>
    <row r="652" spans="1:18">
      <c r="A652" s="10">
        <f ca="1">IFERROR(__xludf.dummyfunction("""COMPUTED_VALUE"""),6)</f>
        <v>6</v>
      </c>
      <c r="B652" s="11" t="str">
        <f ca="1">IFERROR(__xludf.dummyfunction("""COMPUTED_VALUE"""),"JOÃO VITOR COELHO LAUERMANN")</f>
        <v>JOÃO VITOR COELHO LAUERMANN</v>
      </c>
      <c r="C652" s="11" t="str">
        <f ca="1">IFERROR(__xludf.dummyfunction("""COMPUTED_VALUE"""),"1828320")</f>
        <v>1828320</v>
      </c>
      <c r="D652" s="11" t="str">
        <f ca="1">IFERROR(__xludf.dummyfunction("""COMPUTED_VALUE"""),"04237597105")</f>
        <v>04237597105</v>
      </c>
      <c r="E652" s="11" t="str">
        <f ca="1">IFERROR(__xludf.dummyfunction("""COMPUTED_VALUE"""),"JVCLAUERMANN@GMAIL.COM")</f>
        <v>JVCLAUERMANN@GMAIL.COM</v>
      </c>
      <c r="F652" s="11"/>
      <c r="G652" s="11" t="str">
        <f ca="1">IFERROR(__xludf.dummyfunction("""COMPUTED_VALUE"""),"(64) 996457481")</f>
        <v>(64) 996457481</v>
      </c>
      <c r="H652" s="11" t="str">
        <f ca="1">IFERROR(__xludf.dummyfunction("""COMPUTED_VALUE"""),"SUPERIOR")</f>
        <v>SUPERIOR</v>
      </c>
      <c r="I652" s="10" t="str">
        <f ca="1">IFERROR(__xludf.dummyfunction("""COMPUTED_VALUE"""),"DIREITO")</f>
        <v>DIREITO</v>
      </c>
      <c r="J652" s="10" t="str">
        <f ca="1">IFERROR(__xludf.dummyfunction("""COMPUTED_VALUE"""),"NOITE")</f>
        <v>NOITE</v>
      </c>
      <c r="K652" s="10" t="str">
        <f ca="1">IFERROR(__xludf.dummyfunction("""COMPUTED_VALUE"""),"TARDE")</f>
        <v>TARDE</v>
      </c>
      <c r="L652" s="10" t="str">
        <f ca="1">IFERROR(__xludf.dummyfunction("""COMPUTED_VALUE"""),"MINEIROS - GO")</f>
        <v>MINEIROS - GO</v>
      </c>
      <c r="M652" s="10">
        <f ca="1">IFERROR(__xludf.dummyfunction("""COMPUTED_VALUE"""),7)</f>
        <v>7</v>
      </c>
      <c r="N652" s="10" t="str">
        <f ca="1">IFERROR(__xludf.dummyfunction("""COMPUTED_VALUE"""),"CONTRATADO")</f>
        <v>CONTRATADO</v>
      </c>
      <c r="O652" s="11"/>
      <c r="P652" s="11"/>
      <c r="Q652" s="11"/>
      <c r="R652" s="11"/>
    </row>
    <row r="653" spans="1:18">
      <c r="A653" s="10">
        <f ca="1">IFERROR(__xludf.dummyfunction("""COMPUTED_VALUE"""),7)</f>
        <v>7</v>
      </c>
      <c r="B653" s="11" t="str">
        <f ca="1">IFERROR(__xludf.dummyfunction("""COMPUTED_VALUE"""),"RAISSY PAMELA MARTINS SOUSA")</f>
        <v>RAISSY PAMELA MARTINS SOUSA</v>
      </c>
      <c r="C653" s="11" t="str">
        <f ca="1">IFERROR(__xludf.dummyfunction("""COMPUTED_VALUE"""),"5952259")</f>
        <v>5952259</v>
      </c>
      <c r="D653" s="11" t="str">
        <f ca="1">IFERROR(__xludf.dummyfunction("""COMPUTED_VALUE"""),"70782464114")</f>
        <v>70782464114</v>
      </c>
      <c r="E653" s="11" t="str">
        <f ca="1">IFERROR(__xludf.dummyfunction("""COMPUTED_VALUE"""),"RAYSSAASOUZZAA@GMAIL.COM")</f>
        <v>RAYSSAASOUZZAA@GMAIL.COM</v>
      </c>
      <c r="F653" s="11" t="str">
        <f ca="1">IFERROR(__xludf.dummyfunction("""COMPUTED_VALUE"""),"(64) 36612123")</f>
        <v>(64) 36612123</v>
      </c>
      <c r="G653" s="11" t="str">
        <f ca="1">IFERROR(__xludf.dummyfunction("""COMPUTED_VALUE"""),"(64) 999747580")</f>
        <v>(64) 999747580</v>
      </c>
      <c r="H653" s="11" t="str">
        <f ca="1">IFERROR(__xludf.dummyfunction("""COMPUTED_VALUE"""),"SUPERIOR")</f>
        <v>SUPERIOR</v>
      </c>
      <c r="I653" s="10" t="str">
        <f ca="1">IFERROR(__xludf.dummyfunction("""COMPUTED_VALUE"""),"DIREITO")</f>
        <v>DIREITO</v>
      </c>
      <c r="J653" s="10" t="str">
        <f ca="1">IFERROR(__xludf.dummyfunction("""COMPUTED_VALUE"""),"NOITE")</f>
        <v>NOITE</v>
      </c>
      <c r="K653" s="10" t="str">
        <f ca="1">IFERROR(__xludf.dummyfunction("""COMPUTED_VALUE"""),"TARDE")</f>
        <v>TARDE</v>
      </c>
      <c r="L653" s="10" t="str">
        <f ca="1">IFERROR(__xludf.dummyfunction("""COMPUTED_VALUE"""),"MINEIROS - GO")</f>
        <v>MINEIROS - GO</v>
      </c>
      <c r="M653" s="10">
        <f ca="1">IFERROR(__xludf.dummyfunction("""COMPUTED_VALUE"""),8)</f>
        <v>8</v>
      </c>
      <c r="N653" s="10" t="str">
        <f ca="1">IFERROR(__xludf.dummyfunction("""COMPUTED_VALUE"""),"1ª CONVOCAÇÃO")</f>
        <v>1ª CONVOCAÇÃO</v>
      </c>
      <c r="O653" s="11"/>
      <c r="P653" s="11"/>
      <c r="Q653" s="11"/>
      <c r="R653" s="11"/>
    </row>
    <row r="654" spans="1:18">
      <c r="A654" s="10">
        <f ca="1">IFERROR(__xludf.dummyfunction("""COMPUTED_VALUE"""),8)</f>
        <v>8</v>
      </c>
      <c r="B654" s="11" t="str">
        <f ca="1">IFERROR(__xludf.dummyfunction("""COMPUTED_VALUE"""),"MARIA EDUARDA RIBEIRO CARVALHO")</f>
        <v>MARIA EDUARDA RIBEIRO CARVALHO</v>
      </c>
      <c r="C654" s="11"/>
      <c r="D654" s="11" t="str">
        <f ca="1">IFERROR(__xludf.dummyfunction("""COMPUTED_VALUE"""),"71239134185")</f>
        <v>71239134185</v>
      </c>
      <c r="E654" s="11" t="str">
        <f ca="1">IFERROR(__xludf.dummyfunction("""COMPUTED_VALUE"""),"MECARVALHO2002@GMAIL.COM")</f>
        <v>MECARVALHO2002@GMAIL.COM</v>
      </c>
      <c r="F654" s="11" t="str">
        <f ca="1">IFERROR(__xludf.dummyfunction("""COMPUTED_VALUE"""),"(64) 99924983")</f>
        <v>(64) 99924983</v>
      </c>
      <c r="G654" s="11" t="str">
        <f ca="1">IFERROR(__xludf.dummyfunction("""COMPUTED_VALUE"""),"(64) 999249831")</f>
        <v>(64) 999249831</v>
      </c>
      <c r="H654" s="11" t="str">
        <f ca="1">IFERROR(__xludf.dummyfunction("""COMPUTED_VALUE"""),"SUPERIOR")</f>
        <v>SUPERIOR</v>
      </c>
      <c r="I654" s="10" t="str">
        <f ca="1">IFERROR(__xludf.dummyfunction("""COMPUTED_VALUE"""),"DIREITO")</f>
        <v>DIREITO</v>
      </c>
      <c r="J654" s="10" t="str">
        <f ca="1">IFERROR(__xludf.dummyfunction("""COMPUTED_VALUE"""),"NOITE")</f>
        <v>NOITE</v>
      </c>
      <c r="K654" s="10" t="str">
        <f ca="1">IFERROR(__xludf.dummyfunction("""COMPUTED_VALUE"""),"TARDE")</f>
        <v>TARDE</v>
      </c>
      <c r="L654" s="10" t="str">
        <f ca="1">IFERROR(__xludf.dummyfunction("""COMPUTED_VALUE"""),"MINEIROS - GO")</f>
        <v>MINEIROS - GO</v>
      </c>
      <c r="M654" s="10">
        <f ca="1">IFERROR(__xludf.dummyfunction("""COMPUTED_VALUE"""),8)</f>
        <v>8</v>
      </c>
      <c r="N654" s="10" t="str">
        <f ca="1">IFERROR(__xludf.dummyfunction("""COMPUTED_VALUE"""),"1ª CONVOCAÇÃO")</f>
        <v>1ª CONVOCAÇÃO</v>
      </c>
      <c r="O654" s="11"/>
      <c r="P654" s="11"/>
      <c r="Q654" s="11"/>
      <c r="R654" s="11"/>
    </row>
    <row r="655" spans="1:18">
      <c r="A655" s="10">
        <f ca="1">IFERROR(__xludf.dummyfunction("""COMPUTED_VALUE"""),9)</f>
        <v>9</v>
      </c>
      <c r="B655" s="11" t="str">
        <f ca="1">IFERROR(__xludf.dummyfunction("""COMPUTED_VALUE"""),"KARINA DE OLIVEIRA ROZA")</f>
        <v>KARINA DE OLIVEIRA ROZA</v>
      </c>
      <c r="C655" s="11"/>
      <c r="D655" s="11" t="str">
        <f ca="1">IFERROR(__xludf.dummyfunction("""COMPUTED_VALUE"""),"07352847170")</f>
        <v>07352847170</v>
      </c>
      <c r="E655" s="11" t="str">
        <f ca="1">IFERROR(__xludf.dummyfunction("""COMPUTED_VALUE"""),"KO187450@GMAIL.COM")</f>
        <v>KO187450@GMAIL.COM</v>
      </c>
      <c r="F655" s="11" t="str">
        <f ca="1">IFERROR(__xludf.dummyfunction("""COMPUTED_VALUE"""),"(66) 99925045")</f>
        <v>(66) 99925045</v>
      </c>
      <c r="G655" s="11" t="str">
        <f ca="1">IFERROR(__xludf.dummyfunction("""COMPUTED_VALUE"""),"(66) 999250453")</f>
        <v>(66) 999250453</v>
      </c>
      <c r="H655" s="11" t="str">
        <f ca="1">IFERROR(__xludf.dummyfunction("""COMPUTED_VALUE"""),"SUPERIOR")</f>
        <v>SUPERIOR</v>
      </c>
      <c r="I655" s="10" t="str">
        <f ca="1">IFERROR(__xludf.dummyfunction("""COMPUTED_VALUE"""),"DIREITO")</f>
        <v>DIREITO</v>
      </c>
      <c r="J655" s="10" t="str">
        <f ca="1">IFERROR(__xludf.dummyfunction("""COMPUTED_VALUE"""),"NOITE")</f>
        <v>NOITE</v>
      </c>
      <c r="K655" s="10" t="str">
        <f ca="1">IFERROR(__xludf.dummyfunction("""COMPUTED_VALUE"""),"TARDE")</f>
        <v>TARDE</v>
      </c>
      <c r="L655" s="10" t="str">
        <f ca="1">IFERROR(__xludf.dummyfunction("""COMPUTED_VALUE"""),"MINEIROS - GO")</f>
        <v>MINEIROS - GO</v>
      </c>
      <c r="M655" s="10">
        <f ca="1">IFERROR(__xludf.dummyfunction("""COMPUTED_VALUE"""),5)</f>
        <v>5</v>
      </c>
      <c r="N655" s="10" t="str">
        <f ca="1">IFERROR(__xludf.dummyfunction("""COMPUTED_VALUE"""),"DISPONÍVEL")</f>
        <v>DISPONÍVEL</v>
      </c>
      <c r="O655" s="11"/>
      <c r="P655" s="11"/>
      <c r="Q655" s="11"/>
      <c r="R655" s="11"/>
    </row>
    <row r="656" spans="1:18">
      <c r="A656" s="10">
        <f ca="1">IFERROR(__xludf.dummyfunction("""COMPUTED_VALUE"""),10)</f>
        <v>10</v>
      </c>
      <c r="B656" s="11" t="str">
        <f ca="1">IFERROR(__xludf.dummyfunction("""COMPUTED_VALUE"""),"MARIA JOSÉ GOMES DE OLIVEIRA")</f>
        <v>MARIA JOSÉ GOMES DE OLIVEIRA</v>
      </c>
      <c r="C656" s="11"/>
      <c r="D656" s="11" t="str">
        <f ca="1">IFERROR(__xludf.dummyfunction("""COMPUTED_VALUE"""),"06644059325")</f>
        <v>06644059325</v>
      </c>
      <c r="E656" s="11" t="str">
        <f ca="1">IFERROR(__xludf.dummyfunction("""COMPUTED_VALUE"""),"MG365815@GMAIL.COM")</f>
        <v>MG365815@GMAIL.COM</v>
      </c>
      <c r="F656" s="11" t="str">
        <f ca="1">IFERROR(__xludf.dummyfunction("""COMPUTED_VALUE"""),"(64) 99746093")</f>
        <v>(64) 99746093</v>
      </c>
      <c r="G656" s="11" t="str">
        <f ca="1">IFERROR(__xludf.dummyfunction("""COMPUTED_VALUE"""),"(64) 999746093")</f>
        <v>(64) 999746093</v>
      </c>
      <c r="H656" s="11" t="str">
        <f ca="1">IFERROR(__xludf.dummyfunction("""COMPUTED_VALUE"""),"SUPERIOR")</f>
        <v>SUPERIOR</v>
      </c>
      <c r="I656" s="10" t="str">
        <f ca="1">IFERROR(__xludf.dummyfunction("""COMPUTED_VALUE"""),"DIREITO")</f>
        <v>DIREITO</v>
      </c>
      <c r="J656" s="10" t="str">
        <f ca="1">IFERROR(__xludf.dummyfunction("""COMPUTED_VALUE"""),"NOITE")</f>
        <v>NOITE</v>
      </c>
      <c r="K656" s="10" t="str">
        <f ca="1">IFERROR(__xludf.dummyfunction("""COMPUTED_VALUE"""),"TARDE")</f>
        <v>TARDE</v>
      </c>
      <c r="L656" s="10" t="str">
        <f ca="1">IFERROR(__xludf.dummyfunction("""COMPUTED_VALUE"""),"MINEIROS - GO")</f>
        <v>MINEIROS - GO</v>
      </c>
      <c r="M656" s="10">
        <f ca="1">IFERROR(__xludf.dummyfunction("""COMPUTED_VALUE"""),5)</f>
        <v>5</v>
      </c>
      <c r="N656" s="10" t="str">
        <f ca="1">IFERROR(__xludf.dummyfunction("""COMPUTED_VALUE"""),"DISPONÍVEL")</f>
        <v>DISPONÍVEL</v>
      </c>
      <c r="O656" s="11"/>
      <c r="P656" s="11"/>
      <c r="Q656" s="11"/>
      <c r="R656" s="11"/>
    </row>
    <row r="657" spans="1:18">
      <c r="A657" s="10">
        <f ca="1">IFERROR(__xludf.dummyfunction("""COMPUTED_VALUE"""),11)</f>
        <v>11</v>
      </c>
      <c r="B657" s="11" t="str">
        <f ca="1">IFERROR(__xludf.dummyfunction("""COMPUTED_VALUE"""),"EDUARDO REZENDE SILVA")</f>
        <v>EDUARDO REZENDE SILVA</v>
      </c>
      <c r="C657" s="11"/>
      <c r="D657" s="11" t="str">
        <f ca="1">IFERROR(__xludf.dummyfunction("""COMPUTED_VALUE"""),"07784982127")</f>
        <v>07784982127</v>
      </c>
      <c r="E657" s="11" t="str">
        <f ca="1">IFERROR(__xludf.dummyfunction("""COMPUTED_VALUE"""),"EDUARDODUDSREZENDSILV@GMAIL.COM")</f>
        <v>EDUARDODUDSREZENDSILV@GMAIL.COM</v>
      </c>
      <c r="F657" s="11" t="str">
        <f ca="1">IFERROR(__xludf.dummyfunction("""COMPUTED_VALUE"""),"(64) 99956301")</f>
        <v>(64) 99956301</v>
      </c>
      <c r="G657" s="11" t="str">
        <f ca="1">IFERROR(__xludf.dummyfunction("""COMPUTED_VALUE"""),"(64) 999563013")</f>
        <v>(64) 999563013</v>
      </c>
      <c r="H657" s="11" t="str">
        <f ca="1">IFERROR(__xludf.dummyfunction("""COMPUTED_VALUE"""),"SUPERIOR")</f>
        <v>SUPERIOR</v>
      </c>
      <c r="I657" s="10" t="str">
        <f ca="1">IFERROR(__xludf.dummyfunction("""COMPUTED_VALUE"""),"DIREITO")</f>
        <v>DIREITO</v>
      </c>
      <c r="J657" s="10" t="str">
        <f ca="1">IFERROR(__xludf.dummyfunction("""COMPUTED_VALUE"""),"NOITE")</f>
        <v>NOITE</v>
      </c>
      <c r="K657" s="10" t="str">
        <f ca="1">IFERROR(__xludf.dummyfunction("""COMPUTED_VALUE"""),"TARDE")</f>
        <v>TARDE</v>
      </c>
      <c r="L657" s="10" t="str">
        <f ca="1">IFERROR(__xludf.dummyfunction("""COMPUTED_VALUE"""),"MINEIROS - GO")</f>
        <v>MINEIROS - GO</v>
      </c>
      <c r="M657" s="10">
        <f ca="1">IFERROR(__xludf.dummyfunction("""COMPUTED_VALUE"""),5)</f>
        <v>5</v>
      </c>
      <c r="N657" s="10" t="str">
        <f ca="1">IFERROR(__xludf.dummyfunction("""COMPUTED_VALUE"""),"DISPONÍVEL")</f>
        <v>DISPONÍVEL</v>
      </c>
      <c r="O657" s="11"/>
      <c r="P657" s="11"/>
      <c r="Q657" s="11"/>
      <c r="R657" s="11"/>
    </row>
    <row r="658" spans="1:18">
      <c r="A658" s="10">
        <f ca="1">IFERROR(__xludf.dummyfunction("""COMPUTED_VALUE"""),12)</f>
        <v>12</v>
      </c>
      <c r="B658" s="11" t="str">
        <f ca="1">IFERROR(__xludf.dummyfunction("""COMPUTED_VALUE"""),"MARIAH CAETANO AQUINO")</f>
        <v>MARIAH CAETANO AQUINO</v>
      </c>
      <c r="C658" s="11"/>
      <c r="D658" s="11" t="str">
        <f ca="1">IFERROR(__xludf.dummyfunction("""COMPUTED_VALUE"""),"03808997109")</f>
        <v>03808997109</v>
      </c>
      <c r="E658" s="11" t="str">
        <f ca="1">IFERROR(__xludf.dummyfunction("""COMPUTED_VALUE"""),"MARIAH.CA13@HOTMAIL.COM")</f>
        <v>MARIAH.CA13@HOTMAIL.COM</v>
      </c>
      <c r="F658" s="11" t="str">
        <f ca="1">IFERROR(__xludf.dummyfunction("""COMPUTED_VALUE"""),"(64) 30204020")</f>
        <v>(64) 30204020</v>
      </c>
      <c r="G658" s="11" t="str">
        <f ca="1">IFERROR(__xludf.dummyfunction("""COMPUTED_VALUE"""),"(66) 984059757")</f>
        <v>(66) 984059757</v>
      </c>
      <c r="H658" s="11" t="str">
        <f ca="1">IFERROR(__xludf.dummyfunction("""COMPUTED_VALUE"""),"SUPERIOR")</f>
        <v>SUPERIOR</v>
      </c>
      <c r="I658" s="10" t="str">
        <f ca="1">IFERROR(__xludf.dummyfunction("""COMPUTED_VALUE"""),"DIREITO")</f>
        <v>DIREITO</v>
      </c>
      <c r="J658" s="10" t="str">
        <f ca="1">IFERROR(__xludf.dummyfunction("""COMPUTED_VALUE"""),"NOITE")</f>
        <v>NOITE</v>
      </c>
      <c r="K658" s="10" t="str">
        <f ca="1">IFERROR(__xludf.dummyfunction("""COMPUTED_VALUE"""),"TARDE")</f>
        <v>TARDE</v>
      </c>
      <c r="L658" s="10" t="str">
        <f ca="1">IFERROR(__xludf.dummyfunction("""COMPUTED_VALUE"""),"MINEIROS - GO")</f>
        <v>MINEIROS - GO</v>
      </c>
      <c r="M658" s="10">
        <f ca="1">IFERROR(__xludf.dummyfunction("""COMPUTED_VALUE"""),5)</f>
        <v>5</v>
      </c>
      <c r="N658" s="10" t="str">
        <f ca="1">IFERROR(__xludf.dummyfunction("""COMPUTED_VALUE"""),"DISPONÍVEL")</f>
        <v>DISPONÍVEL</v>
      </c>
      <c r="O658" s="11"/>
      <c r="P658" s="11"/>
      <c r="Q658" s="11"/>
      <c r="R658" s="11"/>
    </row>
    <row r="659" spans="1:18">
      <c r="A659" s="10">
        <f ca="1">IFERROR(__xludf.dummyfunction("""COMPUTED_VALUE"""),13)</f>
        <v>13</v>
      </c>
      <c r="B659" s="11" t="str">
        <f ca="1">IFERROR(__xludf.dummyfunction("""COMPUTED_VALUE"""),"LAURA CRISTINA FILGUEIRA DA SILVA")</f>
        <v>LAURA CRISTINA FILGUEIRA DA SILVA</v>
      </c>
      <c r="C659" s="11"/>
      <c r="D659" s="11" t="str">
        <f ca="1">IFERROR(__xludf.dummyfunction("""COMPUTED_VALUE"""),"70905020154")</f>
        <v>70905020154</v>
      </c>
      <c r="E659" s="11" t="str">
        <f ca="1">IFERROR(__xludf.dummyfunction("""COMPUTED_VALUE"""),"LAURACRISTINAFILGUEIRA16@GMAIL.COM")</f>
        <v>LAURACRISTINAFILGUEIRA16@GMAIL.COM</v>
      </c>
      <c r="F659" s="11" t="str">
        <f ca="1">IFERROR(__xludf.dummyfunction("""COMPUTED_VALUE"""),"(64) 99968904")</f>
        <v>(64) 99968904</v>
      </c>
      <c r="G659" s="11" t="str">
        <f ca="1">IFERROR(__xludf.dummyfunction("""COMPUTED_VALUE"""),"(64) 999689045")</f>
        <v>(64) 999689045</v>
      </c>
      <c r="H659" s="11" t="str">
        <f ca="1">IFERROR(__xludf.dummyfunction("""COMPUTED_VALUE"""),"SUPERIOR")</f>
        <v>SUPERIOR</v>
      </c>
      <c r="I659" s="10" t="str">
        <f ca="1">IFERROR(__xludf.dummyfunction("""COMPUTED_VALUE"""),"DIREITO")</f>
        <v>DIREITO</v>
      </c>
      <c r="J659" s="10" t="str">
        <f ca="1">IFERROR(__xludf.dummyfunction("""COMPUTED_VALUE"""),"NOITE")</f>
        <v>NOITE</v>
      </c>
      <c r="K659" s="10" t="str">
        <f ca="1">IFERROR(__xludf.dummyfunction("""COMPUTED_VALUE"""),"TARDE")</f>
        <v>TARDE</v>
      </c>
      <c r="L659" s="10" t="str">
        <f ca="1">IFERROR(__xludf.dummyfunction("""COMPUTED_VALUE"""),"MINEIROS - GO")</f>
        <v>MINEIROS - GO</v>
      </c>
      <c r="M659" s="10">
        <f ca="1">IFERROR(__xludf.dummyfunction("""COMPUTED_VALUE"""),6)</f>
        <v>6</v>
      </c>
      <c r="N659" s="10" t="str">
        <f ca="1">IFERROR(__xludf.dummyfunction("""COMPUTED_VALUE"""),"DISPONÍVEL")</f>
        <v>DISPONÍVEL</v>
      </c>
      <c r="O659" s="11"/>
      <c r="P659" s="11"/>
      <c r="Q659" s="11"/>
      <c r="R659" s="11"/>
    </row>
    <row r="660" spans="1:18">
      <c r="A660" s="10">
        <f ca="1">IFERROR(__xludf.dummyfunction("QUERY(MORRINHOS!A5:A15)"),1)</f>
        <v>1</v>
      </c>
      <c r="B660" s="9" t="str">
        <f ca="1">IFERROR(__xludf.dummyfunction("QUERY(MORRINHOS!B5:B15)"),"IASMIM JULIA VIEIRA NUNES")</f>
        <v>IASMIM JULIA VIEIRA NUNES</v>
      </c>
      <c r="C660" s="9" t="str">
        <f ca="1">IFERROR(__xludf.dummyfunction("QUERY(MORRINHOS!C5:C15)"),"6108802")</f>
        <v>6108802</v>
      </c>
      <c r="D660" s="9" t="str">
        <f ca="1">IFERROR(__xludf.dummyfunction("QUERY(MORRINHOS!D5:D15)"),"70190464100")</f>
        <v>70190464100</v>
      </c>
      <c r="E660" s="9" t="str">
        <f ca="1">IFERROR(__xludf.dummyfunction("QUERY(MORRINHOS!E5:E15)"),"IASMIMJVNUNES30@ALUNOS.UNICERRADO.EDU.BR")</f>
        <v>IASMIMJVNUNES30@ALUNOS.UNICERRADO.EDU.BR</v>
      </c>
      <c r="F660" s="9" t="str">
        <f ca="1">IFERROR(__xludf.dummyfunction("QUERY(MORRINHOS!F5:F15)"),"")</f>
        <v/>
      </c>
      <c r="G660" s="9" t="str">
        <f ca="1">IFERROR(__xludf.dummyfunction("QUERY(MORRINHOS!G5:G15)"),"(64) 992162014")</f>
        <v>(64) 992162014</v>
      </c>
      <c r="H660" s="9" t="str">
        <f ca="1">IFERROR(__xludf.dummyfunction("QUERY(MORRINHOS!H5:H15)"),"SUPERIOR")</f>
        <v>SUPERIOR</v>
      </c>
      <c r="I660" s="10" t="str">
        <f ca="1">IFERROR(__xludf.dummyfunction("QUERY(MORRINHOS!I5:I15)"),"DIREITO")</f>
        <v>DIREITO</v>
      </c>
      <c r="J660" s="10" t="str">
        <f ca="1">IFERROR(__xludf.dummyfunction("QUERY(MORRINHOS!J5:J15)"),"NOITE")</f>
        <v>NOITE</v>
      </c>
      <c r="K660" s="10" t="str">
        <f ca="1">IFERROR(__xludf.dummyfunction("QUERY(MORRINHOS!K5:K15)"),"TARDE")</f>
        <v>TARDE</v>
      </c>
      <c r="L660" s="10" t="str">
        <f ca="1">IFERROR(__xludf.dummyfunction("QUERY(MORRINHOS!L5:L15)"),"MORRINHOS - GO")</f>
        <v>MORRINHOS - GO</v>
      </c>
      <c r="M660" s="10">
        <f ca="1">IFERROR(__xludf.dummyfunction("QUERY(MORRINHOS!M5:M15)"),8)</f>
        <v>8</v>
      </c>
      <c r="N660" s="10" t="str">
        <f ca="1">IFERROR(__xludf.dummyfunction("QUERY(MORRINHOS!N5:N15)"),"DISPONÍVEL")</f>
        <v>DISPONÍVEL</v>
      </c>
      <c r="O660" s="9" t="str">
        <f ca="1">IFERROR(__xludf.dummyfunction("QUERY(MORRINHOS!O5:O15)"),"")</f>
        <v/>
      </c>
      <c r="P660" s="9" t="str">
        <f ca="1">IFERROR(__xludf.dummyfunction("QUERY(MORRINHOS!P5:P15)"),"")</f>
        <v/>
      </c>
      <c r="Q660" s="9" t="str">
        <f ca="1">IFERROR(__xludf.dummyfunction("QUERY(MORRINHOS!Q5:Q15)"),"")</f>
        <v/>
      </c>
      <c r="R660" s="9" t="str">
        <f ca="1">IFERROR(__xludf.dummyfunction("QUERY(MORRINHOS!R5:R15)"),"")</f>
        <v/>
      </c>
    </row>
    <row r="661" spans="1:18">
      <c r="A661" s="10">
        <f ca="1">IFERROR(__xludf.dummyfunction("""COMPUTED_VALUE"""),2)</f>
        <v>2</v>
      </c>
      <c r="B661" s="11" t="str">
        <f ca="1">IFERROR(__xludf.dummyfunction("""COMPUTED_VALUE"""),"ANDRÉA FRANCISCA ARAUJO")</f>
        <v>ANDRÉA FRANCISCA ARAUJO</v>
      </c>
      <c r="C661" s="11"/>
      <c r="D661" s="11" t="str">
        <f ca="1">IFERROR(__xludf.dummyfunction("""COMPUTED_VALUE"""),"03286175129")</f>
        <v>03286175129</v>
      </c>
      <c r="E661" s="11" t="str">
        <f ca="1">IFERROR(__xludf.dummyfunction("""COMPUTED_VALUE"""),"ANDREAFRANCISCA-ALFA@HOTMAIL.COM")</f>
        <v>ANDREAFRANCISCA-ALFA@HOTMAIL.COM</v>
      </c>
      <c r="F661" s="11"/>
      <c r="G661" s="11" t="str">
        <f ca="1">IFERROR(__xludf.dummyfunction("""COMPUTED_VALUE"""),"(64) 992767163")</f>
        <v>(64) 992767163</v>
      </c>
      <c r="H661" s="11" t="str">
        <f ca="1">IFERROR(__xludf.dummyfunction("""COMPUTED_VALUE"""),"SUPERIOR")</f>
        <v>SUPERIOR</v>
      </c>
      <c r="I661" s="10" t="str">
        <f ca="1">IFERROR(__xludf.dummyfunction("""COMPUTED_VALUE"""),"DIREITO")</f>
        <v>DIREITO</v>
      </c>
      <c r="J661" s="10" t="str">
        <f ca="1">IFERROR(__xludf.dummyfunction("""COMPUTED_VALUE"""),"MANHÃ")</f>
        <v>MANHÃ</v>
      </c>
      <c r="K661" s="10" t="str">
        <f ca="1">IFERROR(__xludf.dummyfunction("""COMPUTED_VALUE"""),"TARDE")</f>
        <v>TARDE</v>
      </c>
      <c r="L661" s="10" t="str">
        <f ca="1">IFERROR(__xludf.dummyfunction("""COMPUTED_VALUE"""),"MORRINHOS - GO")</f>
        <v>MORRINHOS - GO</v>
      </c>
      <c r="M661" s="10">
        <f ca="1">IFERROR(__xludf.dummyfunction("""COMPUTED_VALUE"""),6)</f>
        <v>6</v>
      </c>
      <c r="N661" s="10" t="str">
        <f ca="1">IFERROR(__xludf.dummyfunction("""COMPUTED_VALUE"""),"DISPONÍVEL")</f>
        <v>DISPONÍVEL</v>
      </c>
      <c r="O661" s="11"/>
      <c r="P661" s="11"/>
      <c r="Q661" s="11"/>
      <c r="R661" s="11"/>
    </row>
    <row r="662" spans="1:18">
      <c r="A662" s="10">
        <f ca="1">IFERROR(__xludf.dummyfunction("""COMPUTED_VALUE"""),3)</f>
        <v>3</v>
      </c>
      <c r="B662" s="11" t="str">
        <f ca="1">IFERROR(__xludf.dummyfunction("""COMPUTED_VALUE"""),"GLENDA JULIANA FERNANDES DE ALMEIDA")</f>
        <v>GLENDA JULIANA FERNANDES DE ALMEIDA</v>
      </c>
      <c r="C662" s="11"/>
      <c r="D662" s="11" t="str">
        <f ca="1">IFERROR(__xludf.dummyfunction("""COMPUTED_VALUE"""),"70395259177")</f>
        <v>70395259177</v>
      </c>
      <c r="E662" s="11" t="str">
        <f ca="1">IFERROR(__xludf.dummyfunction("""COMPUTED_VALUE"""),"GLENDA.FERNANDES177@GMAIL.COM")</f>
        <v>GLENDA.FERNANDES177@GMAIL.COM</v>
      </c>
      <c r="F662" s="11"/>
      <c r="G662" s="11" t="str">
        <f ca="1">IFERROR(__xludf.dummyfunction("""COMPUTED_VALUE"""),"(62) 994492575")</f>
        <v>(62) 994492575</v>
      </c>
      <c r="H662" s="11" t="str">
        <f ca="1">IFERROR(__xludf.dummyfunction("""COMPUTED_VALUE"""),"SUPERIOR")</f>
        <v>SUPERIOR</v>
      </c>
      <c r="I662" s="10" t="str">
        <f ca="1">IFERROR(__xludf.dummyfunction("""COMPUTED_VALUE"""),"DIREITO")</f>
        <v>DIREITO</v>
      </c>
      <c r="J662" s="10" t="str">
        <f ca="1">IFERROR(__xludf.dummyfunction("""COMPUTED_VALUE"""),"MANHÃ")</f>
        <v>MANHÃ</v>
      </c>
      <c r="K662" s="10" t="str">
        <f ca="1">IFERROR(__xludf.dummyfunction("""COMPUTED_VALUE"""),"TARDE")</f>
        <v>TARDE</v>
      </c>
      <c r="L662" s="10" t="str">
        <f ca="1">IFERROR(__xludf.dummyfunction("""COMPUTED_VALUE"""),"MORRINHOS - GO")</f>
        <v>MORRINHOS - GO</v>
      </c>
      <c r="M662" s="10">
        <f ca="1">IFERROR(__xludf.dummyfunction("""COMPUTED_VALUE"""),6)</f>
        <v>6</v>
      </c>
      <c r="N662" s="10" t="str">
        <f ca="1">IFERROR(__xludf.dummyfunction("""COMPUTED_VALUE"""),"DISPONÍVEL")</f>
        <v>DISPONÍVEL</v>
      </c>
      <c r="O662" s="11"/>
      <c r="P662" s="11"/>
      <c r="Q662" s="11"/>
      <c r="R662" s="11"/>
    </row>
    <row r="663" spans="1:18">
      <c r="A663" s="10">
        <f ca="1">IFERROR(__xludf.dummyfunction("""COMPUTED_VALUE"""),4)</f>
        <v>4</v>
      </c>
      <c r="B663" s="11" t="str">
        <f ca="1">IFERROR(__xludf.dummyfunction("""COMPUTED_VALUE"""),"ALINE LIMA DE FREITAS")</f>
        <v>ALINE LIMA DE FREITAS</v>
      </c>
      <c r="C663" s="11"/>
      <c r="D663" s="11" t="str">
        <f ca="1">IFERROR(__xludf.dummyfunction("""COMPUTED_VALUE"""),"70740599194")</f>
        <v>70740599194</v>
      </c>
      <c r="E663" s="11" t="str">
        <f ca="1">IFERROR(__xludf.dummyfunction("""COMPUTED_VALUE"""),"ALINELIMADEFREITAS27@GMAIL.COM")</f>
        <v>ALINELIMADEFREITAS27@GMAIL.COM</v>
      </c>
      <c r="F663" s="11"/>
      <c r="G663" s="11" t="str">
        <f ca="1">IFERROR(__xludf.dummyfunction("""COMPUTED_VALUE"""),"(64) 993274223")</f>
        <v>(64) 993274223</v>
      </c>
      <c r="H663" s="11" t="str">
        <f ca="1">IFERROR(__xludf.dummyfunction("""COMPUTED_VALUE"""),"SUPERIOR")</f>
        <v>SUPERIOR</v>
      </c>
      <c r="I663" s="10" t="str">
        <f ca="1">IFERROR(__xludf.dummyfunction("""COMPUTED_VALUE"""),"DIREITO")</f>
        <v>DIREITO</v>
      </c>
      <c r="J663" s="10" t="str">
        <f ca="1">IFERROR(__xludf.dummyfunction("""COMPUTED_VALUE"""),"MANHÃ")</f>
        <v>MANHÃ</v>
      </c>
      <c r="K663" s="10" t="str">
        <f ca="1">IFERROR(__xludf.dummyfunction("""COMPUTED_VALUE"""),"TARDE")</f>
        <v>TARDE</v>
      </c>
      <c r="L663" s="10" t="str">
        <f ca="1">IFERROR(__xludf.dummyfunction("""COMPUTED_VALUE"""),"MORRINHOS - GO")</f>
        <v>MORRINHOS - GO</v>
      </c>
      <c r="M663" s="10">
        <f ca="1">IFERROR(__xludf.dummyfunction("""COMPUTED_VALUE"""),5)</f>
        <v>5</v>
      </c>
      <c r="N663" s="10" t="str">
        <f ca="1">IFERROR(__xludf.dummyfunction("""COMPUTED_VALUE"""),"DISPONÍVEL")</f>
        <v>DISPONÍVEL</v>
      </c>
      <c r="O663" s="11"/>
      <c r="P663" s="11"/>
      <c r="Q663" s="11"/>
      <c r="R663" s="11"/>
    </row>
    <row r="664" spans="1:18">
      <c r="A664" s="10">
        <f ca="1">IFERROR(__xludf.dummyfunction("""COMPUTED_VALUE"""),5)</f>
        <v>5</v>
      </c>
      <c r="B664" s="11" t="str">
        <f ca="1">IFERROR(__xludf.dummyfunction("""COMPUTED_VALUE"""),"MARISSA BRINCK PEREIRA")</f>
        <v>MARISSA BRINCK PEREIRA</v>
      </c>
      <c r="C664" s="11"/>
      <c r="D664" s="11" t="str">
        <f ca="1">IFERROR(__xludf.dummyfunction("""COMPUTED_VALUE"""),"70145772128")</f>
        <v>70145772128</v>
      </c>
      <c r="E664" s="11" t="str">
        <f ca="1">IFERROR(__xludf.dummyfunction("""COMPUTED_VALUE"""),"MARISSABRINCK@GMAIL.COM")</f>
        <v>MARISSABRINCK@GMAIL.COM</v>
      </c>
      <c r="F664" s="11" t="str">
        <f ca="1">IFERROR(__xludf.dummyfunction("""COMPUTED_VALUE"""),"(64) 34319316")</f>
        <v>(64) 34319316</v>
      </c>
      <c r="G664" s="11" t="str">
        <f ca="1">IFERROR(__xludf.dummyfunction("""COMPUTED_VALUE"""),"(64) 996667781")</f>
        <v>(64) 996667781</v>
      </c>
      <c r="H664" s="11" t="str">
        <f ca="1">IFERROR(__xludf.dummyfunction("""COMPUTED_VALUE"""),"SUPERIOR")</f>
        <v>SUPERIOR</v>
      </c>
      <c r="I664" s="10" t="str">
        <f ca="1">IFERROR(__xludf.dummyfunction("""COMPUTED_VALUE"""),"DIREITO")</f>
        <v>DIREITO</v>
      </c>
      <c r="J664" s="10" t="str">
        <f ca="1">IFERROR(__xludf.dummyfunction("""COMPUTED_VALUE"""),"MANHÃ")</f>
        <v>MANHÃ</v>
      </c>
      <c r="K664" s="10" t="str">
        <f ca="1">IFERROR(__xludf.dummyfunction("""COMPUTED_VALUE"""),"TARDE")</f>
        <v>TARDE</v>
      </c>
      <c r="L664" s="10" t="str">
        <f ca="1">IFERROR(__xludf.dummyfunction("""COMPUTED_VALUE"""),"MORRINHOS - GO")</f>
        <v>MORRINHOS - GO</v>
      </c>
      <c r="M664" s="10">
        <f ca="1">IFERROR(__xludf.dummyfunction("""COMPUTED_VALUE"""),6)</f>
        <v>6</v>
      </c>
      <c r="N664" s="10" t="str">
        <f ca="1">IFERROR(__xludf.dummyfunction("""COMPUTED_VALUE"""),"DISPONÍVEL")</f>
        <v>DISPONÍVEL</v>
      </c>
      <c r="O664" s="11"/>
      <c r="P664" s="11"/>
      <c r="Q664" s="11"/>
      <c r="R664" s="11"/>
    </row>
    <row r="665" spans="1:18">
      <c r="A665" s="10">
        <f ca="1">IFERROR(__xludf.dummyfunction("""COMPUTED_VALUE"""),6)</f>
        <v>6</v>
      </c>
      <c r="B665" s="11" t="str">
        <f ca="1">IFERROR(__xludf.dummyfunction("""COMPUTED_VALUE"""),"LAURA ELISA RIBEIRO PELOZO")</f>
        <v>LAURA ELISA RIBEIRO PELOZO</v>
      </c>
      <c r="C665" s="11"/>
      <c r="D665" s="11" t="str">
        <f ca="1">IFERROR(__xludf.dummyfunction("""COMPUTED_VALUE"""),"70931904137")</f>
        <v>70931904137</v>
      </c>
      <c r="E665" s="11" t="str">
        <f ca="1">IFERROR(__xludf.dummyfunction("""COMPUTED_VALUE"""),"LAURA.ELISA@OUTLOOK.COM")</f>
        <v>LAURA.ELISA@OUTLOOK.COM</v>
      </c>
      <c r="F665" s="11"/>
      <c r="G665" s="11" t="str">
        <f ca="1">IFERROR(__xludf.dummyfunction("""COMPUTED_VALUE"""),"(64) 992346884")</f>
        <v>(64) 992346884</v>
      </c>
      <c r="H665" s="11" t="str">
        <f ca="1">IFERROR(__xludf.dummyfunction("""COMPUTED_VALUE"""),"SUPERIOR")</f>
        <v>SUPERIOR</v>
      </c>
      <c r="I665" s="10" t="str">
        <f ca="1">IFERROR(__xludf.dummyfunction("""COMPUTED_VALUE"""),"DIREITO")</f>
        <v>DIREITO</v>
      </c>
      <c r="J665" s="10" t="str">
        <f ca="1">IFERROR(__xludf.dummyfunction("""COMPUTED_VALUE"""),"MANHÃ")</f>
        <v>MANHÃ</v>
      </c>
      <c r="K665" s="10" t="str">
        <f ca="1">IFERROR(__xludf.dummyfunction("""COMPUTED_VALUE"""),"TARDE")</f>
        <v>TARDE</v>
      </c>
      <c r="L665" s="10" t="str">
        <f ca="1">IFERROR(__xludf.dummyfunction("""COMPUTED_VALUE"""),"MORRINHOS - GO")</f>
        <v>MORRINHOS - GO</v>
      </c>
      <c r="M665" s="10">
        <f ca="1">IFERROR(__xludf.dummyfunction("""COMPUTED_VALUE"""),8)</f>
        <v>8</v>
      </c>
      <c r="N665" s="10" t="str">
        <f ca="1">IFERROR(__xludf.dummyfunction("""COMPUTED_VALUE"""),"DISPONÍVEL")</f>
        <v>DISPONÍVEL</v>
      </c>
      <c r="O665" s="11"/>
      <c r="P665" s="11"/>
      <c r="Q665" s="11"/>
      <c r="R665" s="11"/>
    </row>
    <row r="666" spans="1:18">
      <c r="A666" s="10">
        <f ca="1">IFERROR(__xludf.dummyfunction("""COMPUTED_VALUE"""),7)</f>
        <v>7</v>
      </c>
      <c r="B666" s="11" t="str">
        <f ca="1">IFERROR(__xludf.dummyfunction("""COMPUTED_VALUE"""),"LUIZ HENRIQUE FERREIRA DOS SANTOS")</f>
        <v>LUIZ HENRIQUE FERREIRA DOS SANTOS</v>
      </c>
      <c r="C666" s="11"/>
      <c r="D666" s="11" t="str">
        <f ca="1">IFERROR(__xludf.dummyfunction("""COMPUTED_VALUE"""),"05146898111")</f>
        <v>05146898111</v>
      </c>
      <c r="E666" s="11" t="str">
        <f ca="1">IFERROR(__xludf.dummyfunction("""COMPUTED_VALUE"""),"HENRIQUELUIZGUERRA@GMAIL.COM")</f>
        <v>HENRIQUELUIZGUERRA@GMAIL.COM</v>
      </c>
      <c r="F666" s="11"/>
      <c r="G666" s="11" t="str">
        <f ca="1">IFERROR(__xludf.dummyfunction("""COMPUTED_VALUE"""),"(64) 984185598")</f>
        <v>(64) 984185598</v>
      </c>
      <c r="H666" s="11" t="str">
        <f ca="1">IFERROR(__xludf.dummyfunction("""COMPUTED_VALUE"""),"SUPERIOR")</f>
        <v>SUPERIOR</v>
      </c>
      <c r="I666" s="10" t="str">
        <f ca="1">IFERROR(__xludf.dummyfunction("""COMPUTED_VALUE"""),"DIREITO")</f>
        <v>DIREITO</v>
      </c>
      <c r="J666" s="10" t="str">
        <f ca="1">IFERROR(__xludf.dummyfunction("""COMPUTED_VALUE"""),"NOITE")</f>
        <v>NOITE</v>
      </c>
      <c r="K666" s="10" t="str">
        <f ca="1">IFERROR(__xludf.dummyfunction("""COMPUTED_VALUE"""),"TARDE")</f>
        <v>TARDE</v>
      </c>
      <c r="L666" s="10" t="str">
        <f ca="1">IFERROR(__xludf.dummyfunction("""COMPUTED_VALUE"""),"MORRINHOS - GO")</f>
        <v>MORRINHOS - GO</v>
      </c>
      <c r="M666" s="10">
        <f ca="1">IFERROR(__xludf.dummyfunction("""COMPUTED_VALUE"""),5)</f>
        <v>5</v>
      </c>
      <c r="N666" s="10" t="str">
        <f ca="1">IFERROR(__xludf.dummyfunction("""COMPUTED_VALUE"""),"DISPONÍVEL")</f>
        <v>DISPONÍVEL</v>
      </c>
      <c r="O666" s="11"/>
      <c r="P666" s="11"/>
      <c r="Q666" s="11"/>
      <c r="R666" s="11"/>
    </row>
    <row r="667" spans="1:18">
      <c r="A667" s="10">
        <f ca="1">IFERROR(__xludf.dummyfunction("""COMPUTED_VALUE"""),8)</f>
        <v>8</v>
      </c>
      <c r="B667" s="11" t="str">
        <f ca="1">IFERROR(__xludf.dummyfunction("""COMPUTED_VALUE"""),"GABRIELA FERNANDES GOMES")</f>
        <v>GABRIELA FERNANDES GOMES</v>
      </c>
      <c r="C667" s="11"/>
      <c r="D667" s="11" t="str">
        <f ca="1">IFERROR(__xludf.dummyfunction("""COMPUTED_VALUE"""),"04308297109")</f>
        <v>04308297109</v>
      </c>
      <c r="E667" s="11" t="str">
        <f ca="1">IFERROR(__xludf.dummyfunction("""COMPUTED_VALUE"""),"GABRIELAFERNANDESGMS@GMAIL.COM")</f>
        <v>GABRIELAFERNANDESGMS@GMAIL.COM</v>
      </c>
      <c r="F667" s="11" t="str">
        <f ca="1">IFERROR(__xludf.dummyfunction("""COMPUTED_VALUE"""),"(64) 34162727")</f>
        <v>(64) 34162727</v>
      </c>
      <c r="G667" s="11" t="str">
        <f ca="1">IFERROR(__xludf.dummyfunction("""COMPUTED_VALUE"""),"(64) 993041972")</f>
        <v>(64) 993041972</v>
      </c>
      <c r="H667" s="11" t="str">
        <f ca="1">IFERROR(__xludf.dummyfunction("""COMPUTED_VALUE"""),"SUPERIOR")</f>
        <v>SUPERIOR</v>
      </c>
      <c r="I667" s="10" t="str">
        <f ca="1">IFERROR(__xludf.dummyfunction("""COMPUTED_VALUE"""),"DIREITO")</f>
        <v>DIREITO</v>
      </c>
      <c r="J667" s="10" t="str">
        <f ca="1">IFERROR(__xludf.dummyfunction("""COMPUTED_VALUE"""),"MANHÃ")</f>
        <v>MANHÃ</v>
      </c>
      <c r="K667" s="10" t="str">
        <f ca="1">IFERROR(__xludf.dummyfunction("""COMPUTED_VALUE"""),"TARDE")</f>
        <v>TARDE</v>
      </c>
      <c r="L667" s="10" t="str">
        <f ca="1">IFERROR(__xludf.dummyfunction("""COMPUTED_VALUE"""),"MORRINHOS - GO")</f>
        <v>MORRINHOS - GO</v>
      </c>
      <c r="M667" s="10">
        <f ca="1">IFERROR(__xludf.dummyfunction("""COMPUTED_VALUE"""),6)</f>
        <v>6</v>
      </c>
      <c r="N667" s="10" t="str">
        <f ca="1">IFERROR(__xludf.dummyfunction("""COMPUTED_VALUE"""),"DISPONÍVEL")</f>
        <v>DISPONÍVEL</v>
      </c>
      <c r="O667" s="11"/>
      <c r="P667" s="11"/>
      <c r="Q667" s="11"/>
      <c r="R667" s="11"/>
    </row>
    <row r="668" spans="1:18">
      <c r="A668" s="10">
        <f ca="1">IFERROR(__xludf.dummyfunction("""COMPUTED_VALUE"""),9)</f>
        <v>9</v>
      </c>
      <c r="B668" s="11" t="str">
        <f ca="1">IFERROR(__xludf.dummyfunction("""COMPUTED_VALUE"""),"BRUNO HENRIQUE CUNHA FREITAS")</f>
        <v>BRUNO HENRIQUE CUNHA FREITAS</v>
      </c>
      <c r="C668" s="11"/>
      <c r="D668" s="11" t="str">
        <f ca="1">IFERROR(__xludf.dummyfunction("""COMPUTED_VALUE"""),"01208222104")</f>
        <v>01208222104</v>
      </c>
      <c r="E668" s="11" t="str">
        <f ca="1">IFERROR(__xludf.dummyfunction("""COMPUTED_VALUE"""),"BRUNORONALDO007@HOTMAIL.COM.BR")</f>
        <v>BRUNORONALDO007@HOTMAIL.COM.BR</v>
      </c>
      <c r="F668" s="11" t="str">
        <f ca="1">IFERROR(__xludf.dummyfunction("""COMPUTED_VALUE"""),"(64) 34131561")</f>
        <v>(64) 34131561</v>
      </c>
      <c r="G668" s="11" t="str">
        <f ca="1">IFERROR(__xludf.dummyfunction("""COMPUTED_VALUE"""),"(64) 992291832")</f>
        <v>(64) 992291832</v>
      </c>
      <c r="H668" s="11" t="str">
        <f ca="1">IFERROR(__xludf.dummyfunction("""COMPUTED_VALUE"""),"SUPERIOR")</f>
        <v>SUPERIOR</v>
      </c>
      <c r="I668" s="10" t="str">
        <f ca="1">IFERROR(__xludf.dummyfunction("""COMPUTED_VALUE"""),"DIREITO")</f>
        <v>DIREITO</v>
      </c>
      <c r="J668" s="10" t="str">
        <f ca="1">IFERROR(__xludf.dummyfunction("""COMPUTED_VALUE"""),"MANHÃ")</f>
        <v>MANHÃ</v>
      </c>
      <c r="K668" s="10" t="str">
        <f ca="1">IFERROR(__xludf.dummyfunction("""COMPUTED_VALUE"""),"TARDE")</f>
        <v>TARDE</v>
      </c>
      <c r="L668" s="10" t="str">
        <f ca="1">IFERROR(__xludf.dummyfunction("""COMPUTED_VALUE"""),"MORRINHOS - GO")</f>
        <v>MORRINHOS - GO</v>
      </c>
      <c r="M668" s="10">
        <f ca="1">IFERROR(__xludf.dummyfunction("""COMPUTED_VALUE"""),8)</f>
        <v>8</v>
      </c>
      <c r="N668" s="10" t="str">
        <f ca="1">IFERROR(__xludf.dummyfunction("""COMPUTED_VALUE"""),"DISPONÍVEL")</f>
        <v>DISPONÍVEL</v>
      </c>
      <c r="O668" s="11"/>
      <c r="P668" s="11"/>
      <c r="Q668" s="11"/>
      <c r="R668" s="11"/>
    </row>
    <row r="669" spans="1:18">
      <c r="A669" s="10">
        <f ca="1">IFERROR(__xludf.dummyfunction("""COMPUTED_VALUE"""),10)</f>
        <v>10</v>
      </c>
      <c r="B669" s="11" t="str">
        <f ca="1">IFERROR(__xludf.dummyfunction("""COMPUTED_VALUE"""),"JHULLYAN CRISTINE")</f>
        <v>JHULLYAN CRISTINE</v>
      </c>
      <c r="C669" s="11"/>
      <c r="D669" s="11" t="str">
        <f ca="1">IFERROR(__xludf.dummyfunction("""COMPUTED_VALUE"""),"04272857126")</f>
        <v>04272857126</v>
      </c>
      <c r="E669" s="11" t="str">
        <f ca="1">IFERROR(__xludf.dummyfunction("""COMPUTED_VALUE"""),"JHULLYANCRISTINE17@GMAIL.COM")</f>
        <v>JHULLYANCRISTINE17@GMAIL.COM</v>
      </c>
      <c r="F669" s="11"/>
      <c r="G669" s="11" t="str">
        <f ca="1">IFERROR(__xludf.dummyfunction("""COMPUTED_VALUE"""),"(64) 999335730")</f>
        <v>(64) 999335730</v>
      </c>
      <c r="H669" s="11" t="str">
        <f ca="1">IFERROR(__xludf.dummyfunction("""COMPUTED_VALUE"""),"SUPERIOR")</f>
        <v>SUPERIOR</v>
      </c>
      <c r="I669" s="10" t="str">
        <f ca="1">IFERROR(__xludf.dummyfunction("""COMPUTED_VALUE"""),"DIREITO")</f>
        <v>DIREITO</v>
      </c>
      <c r="J669" s="10" t="str">
        <f ca="1">IFERROR(__xludf.dummyfunction("""COMPUTED_VALUE"""),"MANHÃ")</f>
        <v>MANHÃ</v>
      </c>
      <c r="K669" s="10" t="str">
        <f ca="1">IFERROR(__xludf.dummyfunction("""COMPUTED_VALUE"""),"TARDE")</f>
        <v>TARDE</v>
      </c>
      <c r="L669" s="10" t="str">
        <f ca="1">IFERROR(__xludf.dummyfunction("""COMPUTED_VALUE"""),"MORRINHOS - GO")</f>
        <v>MORRINHOS - GO</v>
      </c>
      <c r="M669" s="10">
        <f ca="1">IFERROR(__xludf.dummyfunction("""COMPUTED_VALUE"""),8)</f>
        <v>8</v>
      </c>
      <c r="N669" s="10" t="str">
        <f ca="1">IFERROR(__xludf.dummyfunction("""COMPUTED_VALUE"""),"DISPONÍVEL")</f>
        <v>DISPONÍVEL</v>
      </c>
      <c r="O669" s="11"/>
      <c r="P669" s="11"/>
      <c r="Q669" s="11"/>
      <c r="R669" s="11"/>
    </row>
    <row r="670" spans="1:18">
      <c r="A670" s="10">
        <f ca="1">IFERROR(__xludf.dummyfunction("""COMPUTED_VALUE"""),11)</f>
        <v>11</v>
      </c>
      <c r="B670" s="11" t="str">
        <f ca="1">IFERROR(__xludf.dummyfunction("""COMPUTED_VALUE"""),"ADRIELLY FERNANDES LEMES")</f>
        <v>ADRIELLY FERNANDES LEMES</v>
      </c>
      <c r="C670" s="11"/>
      <c r="D670" s="11" t="str">
        <f ca="1">IFERROR(__xludf.dummyfunction("""COMPUTED_VALUE"""),"03955104141")</f>
        <v>03955104141</v>
      </c>
      <c r="E670" s="11" t="str">
        <f ca="1">IFERROR(__xludf.dummyfunction("""COMPUTED_VALUE"""),"ADRIELLYFERNANDESLEMES731@GMAIL.COM")</f>
        <v>ADRIELLYFERNANDESLEMES731@GMAIL.COM</v>
      </c>
      <c r="F670" s="11" t="str">
        <f ca="1">IFERROR(__xludf.dummyfunction("""COMPUTED_VALUE"""),"(64) 93432017")</f>
        <v>(64) 93432017</v>
      </c>
      <c r="G670" s="11" t="str">
        <f ca="1">IFERROR(__xludf.dummyfunction("""COMPUTED_VALUE"""),"(64) 993432017")</f>
        <v>(64) 993432017</v>
      </c>
      <c r="H670" s="11" t="str">
        <f ca="1">IFERROR(__xludf.dummyfunction("""COMPUTED_VALUE"""),"SUPERIOR")</f>
        <v>SUPERIOR</v>
      </c>
      <c r="I670" s="10" t="str">
        <f ca="1">IFERROR(__xludf.dummyfunction("""COMPUTED_VALUE"""),"DIREITO")</f>
        <v>DIREITO</v>
      </c>
      <c r="J670" s="10" t="str">
        <f ca="1">IFERROR(__xludf.dummyfunction("""COMPUTED_VALUE"""),"MANHÃ")</f>
        <v>MANHÃ</v>
      </c>
      <c r="K670" s="10" t="str">
        <f ca="1">IFERROR(__xludf.dummyfunction("""COMPUTED_VALUE"""),"TARDE")</f>
        <v>TARDE</v>
      </c>
      <c r="L670" s="10" t="str">
        <f ca="1">IFERROR(__xludf.dummyfunction("""COMPUTED_VALUE"""),"MORRINHOS - GO")</f>
        <v>MORRINHOS - GO</v>
      </c>
      <c r="M670" s="10">
        <f ca="1">IFERROR(__xludf.dummyfunction("""COMPUTED_VALUE"""),7)</f>
        <v>7</v>
      </c>
      <c r="N670" s="10" t="str">
        <f ca="1">IFERROR(__xludf.dummyfunction("""COMPUTED_VALUE"""),"DISPONÍVEL")</f>
        <v>DISPONÍVEL</v>
      </c>
      <c r="O670" s="11"/>
      <c r="P670" s="11"/>
      <c r="Q670" s="11"/>
      <c r="R670" s="11"/>
    </row>
    <row r="671" spans="1:18">
      <c r="A671" s="10">
        <f ca="1">IFERROR(__xludf.dummyfunction("QUERY('MOSSÂMEDES'!A5)"),1)</f>
        <v>1</v>
      </c>
      <c r="B671" s="9" t="str">
        <f ca="1">IFERROR(__xludf.dummyfunction("QUERY('MOSSÂMEDES'!B5)"),"THÁLLYTA VIEIRA DA SILVA")</f>
        <v>THÁLLYTA VIEIRA DA SILVA</v>
      </c>
      <c r="C671" s="9" t="str">
        <f ca="1">IFERROR(__xludf.dummyfunction("QUERY('MOSSÂMEDES'!C5)"),"")</f>
        <v/>
      </c>
      <c r="D671" s="9" t="str">
        <f ca="1">IFERROR(__xludf.dummyfunction("QUERY('MOSSÂMEDES'!D5)"),"70851169198")</f>
        <v>70851169198</v>
      </c>
      <c r="E671" s="9" t="str">
        <f ca="1">IFERROR(__xludf.dummyfunction("QUERY('MOSSÂMEDES'!E5)"),"THALLYTAVIEIRA468@GMAIL.COM")</f>
        <v>THALLYTAVIEIRA468@GMAIL.COM</v>
      </c>
      <c r="F671" s="9" t="str">
        <f ca="1">IFERROR(__xludf.dummyfunction("QUERY('MOSSÂMEDES'!F5)"),"")</f>
        <v/>
      </c>
      <c r="G671" s="9" t="str">
        <f ca="1">IFERROR(__xludf.dummyfunction("QUERY('MOSSÂMEDES'!G5)"),"(62) 986240147")</f>
        <v>(62) 986240147</v>
      </c>
      <c r="H671" s="9" t="str">
        <f ca="1">IFERROR(__xludf.dummyfunction("QUERY('MOSSÂMEDES'!H5)"),"SUPERIOR")</f>
        <v>SUPERIOR</v>
      </c>
      <c r="I671" s="10" t="str">
        <f ca="1">IFERROR(__xludf.dummyfunction("QUERY('MOSSÂMEDES'!I5)"),"DIREITO")</f>
        <v>DIREITO</v>
      </c>
      <c r="J671" s="10" t="str">
        <f ca="1">IFERROR(__xludf.dummyfunction("QUERY('MOSSÂMEDES'!J5)"),"NOITE")</f>
        <v>NOITE</v>
      </c>
      <c r="K671" s="10" t="str">
        <f ca="1">IFERROR(__xludf.dummyfunction("QUERY('MOSSÂMEDES'!K5)"),"TARDE")</f>
        <v>TARDE</v>
      </c>
      <c r="L671" s="10" t="str">
        <f ca="1">IFERROR(__xludf.dummyfunction("QUERY('MOSSÂMEDES'!L5)"),"MOSSÂMEDES - GO")</f>
        <v>MOSSÂMEDES - GO</v>
      </c>
      <c r="M671" s="10">
        <f ca="1">IFERROR(__xludf.dummyfunction("QUERY('MOSSÂMEDES'!M5)"),5)</f>
        <v>5</v>
      </c>
      <c r="N671" s="10" t="str">
        <f ca="1">IFERROR(__xludf.dummyfunction("QUERY('MOSSÂMEDES'!N5)"),"DISPONÍVEL")</f>
        <v>DISPONÍVEL</v>
      </c>
      <c r="O671" s="9" t="str">
        <f ca="1">IFERROR(__xludf.dummyfunction("QUERY('MOSSÂMEDES'!O5)"),"")</f>
        <v/>
      </c>
      <c r="P671" s="9" t="str">
        <f ca="1">IFERROR(__xludf.dummyfunction("QUERY('MOSSÂMEDES'!P5)"),"")</f>
        <v/>
      </c>
      <c r="Q671" s="9" t="str">
        <f ca="1">IFERROR(__xludf.dummyfunction("QUERY('MOSSÂMEDES'!Q5)"),"")</f>
        <v/>
      </c>
      <c r="R671" s="9" t="str">
        <f ca="1">IFERROR(__xludf.dummyfunction("QUERY('MOSSÂMEDES'!R5)"),"")</f>
        <v/>
      </c>
    </row>
    <row r="672" spans="1:18">
      <c r="A672" s="10">
        <f ca="1">IFERROR(__xludf.dummyfunction("QUERY('MOZARLÂNDIA'!A5)"),1)</f>
        <v>1</v>
      </c>
      <c r="B672" s="11" t="str">
        <f ca="1">IFERROR(__xludf.dummyfunction("QUERY('MOZARLÂNDIA'!B5)"),"LARIANE GOMES DOS SANTOS")</f>
        <v>LARIANE GOMES DOS SANTOS</v>
      </c>
      <c r="C672" s="11" t="str">
        <f ca="1">IFERROR(__xludf.dummyfunction("QUERY('MOZARLÂNDIA'!C5)"),"")</f>
        <v/>
      </c>
      <c r="D672" s="11" t="str">
        <f ca="1">IFERROR(__xludf.dummyfunction("QUERY('MOZARLÂNDIA'!D5)"),"05670607139")</f>
        <v>05670607139</v>
      </c>
      <c r="E672" s="11" t="str">
        <f ca="1">IFERROR(__xludf.dummyfunction("QUERY('MOZARLÂNDIA'!E5)"),"LARYGDS@GMAIL.COM")</f>
        <v>LARYGDS@GMAIL.COM</v>
      </c>
      <c r="F672" s="11" t="str">
        <f ca="1">IFERROR(__xludf.dummyfunction("QUERY('MOZARLÂNDIA'!F5)"),"")</f>
        <v/>
      </c>
      <c r="G672" s="11" t="str">
        <f ca="1">IFERROR(__xludf.dummyfunction("QUERY('MOZARLÂNDIA'!G5)"),"(62) 996725134")</f>
        <v>(62) 996725134</v>
      </c>
      <c r="H672" s="11" t="str">
        <f ca="1">IFERROR(__xludf.dummyfunction("QUERY('MOZARLÂNDIA'!H5)"),"SUPERIOR")</f>
        <v>SUPERIOR</v>
      </c>
      <c r="I672" s="10" t="str">
        <f ca="1">IFERROR(__xludf.dummyfunction("QUERY('MOZARLÂNDIA'!I5)"),"DIREITO")</f>
        <v>DIREITO</v>
      </c>
      <c r="J672" s="10" t="str">
        <f ca="1">IFERROR(__xludf.dummyfunction("QUERY('MOZARLÂNDIA'!J5)"),"NOITE")</f>
        <v>NOITE</v>
      </c>
      <c r="K672" s="10" t="str">
        <f ca="1">IFERROR(__xludf.dummyfunction("QUERY('MOZARLÂNDIA'!K5)"),"TARDE")</f>
        <v>TARDE</v>
      </c>
      <c r="L672" s="10" t="str">
        <f ca="1">IFERROR(__xludf.dummyfunction("QUERY('MOZARLÂNDIA'!L5)"),"MOZARLÂNDIA - GO")</f>
        <v>MOZARLÂNDIA - GO</v>
      </c>
      <c r="M672" s="10">
        <f ca="1">IFERROR(__xludf.dummyfunction("QUERY('MOZARLÂNDIA'!M5)"),8)</f>
        <v>8</v>
      </c>
      <c r="N672" s="10" t="str">
        <f ca="1">IFERROR(__xludf.dummyfunction("QUERY('MOZARLÂNDIA'!N5)"),"DESCLASSIFICADO")</f>
        <v>DESCLASSIFICADO</v>
      </c>
      <c r="O672" s="12">
        <f ca="1">IFERROR(__xludf.dummyfunction("QUERY('MOZARLÂNDIA'!O5)"),45222)</f>
        <v>45222</v>
      </c>
      <c r="P672" s="11" t="str">
        <f ca="1">IFERROR(__xludf.dummyfunction("QUERY('MOZARLÂNDIA'!P5)"),"sem retorno")</f>
        <v>sem retorno</v>
      </c>
      <c r="Q672" s="11" t="str">
        <f ca="1">IFERROR(__xludf.dummyfunction("QUERY('MOZARLÂNDIA'!Q5)"),"16/11 - 14:23")</f>
        <v>16/11 - 14:23</v>
      </c>
      <c r="R672" s="11" t="str">
        <f ca="1">IFERROR(__xludf.dummyfunction("QUERY('MOZARLÂNDIA'!R5)"),"sem retorno")</f>
        <v>sem retorno</v>
      </c>
    </row>
    <row r="673" spans="1:18">
      <c r="A673" s="10">
        <f ca="1">IFERROR(__xludf.dummyfunction("QUERY('NAZÁRIO'!A5)"),1)</f>
        <v>1</v>
      </c>
      <c r="B673" s="11" t="str">
        <f ca="1">IFERROR(__xludf.dummyfunction("QUERY('NAZÁRIO'!B5)"),"JOÃO VICTOR DE OLIVEIRA")</f>
        <v>JOÃO VICTOR DE OLIVEIRA</v>
      </c>
      <c r="C673" s="11" t="str">
        <f ca="1">IFERROR(__xludf.dummyfunction("QUERY('NAZÁRIO'!C5)"),"")</f>
        <v/>
      </c>
      <c r="D673" s="11" t="str">
        <f ca="1">IFERROR(__xludf.dummyfunction("QUERY('NAZÁRIO'!D5)"),"05459670152")</f>
        <v>05459670152</v>
      </c>
      <c r="E673" s="11" t="str">
        <f ca="1">IFERROR(__xludf.dummyfunction("QUERY('NAZÁRIO'!E5)"),"JV998486826@GMAIL.COM")</f>
        <v>JV998486826@GMAIL.COM</v>
      </c>
      <c r="F673" s="11" t="str">
        <f ca="1">IFERROR(__xludf.dummyfunction("QUERY('NAZÁRIO'!F5)"),"(62) 98486826")</f>
        <v>(62) 98486826</v>
      </c>
      <c r="G673" s="11" t="str">
        <f ca="1">IFERROR(__xludf.dummyfunction("QUERY('NAZÁRIO'!G5)"),"(62) 998486826")</f>
        <v>(62) 998486826</v>
      </c>
      <c r="H673" s="11" t="str">
        <f ca="1">IFERROR(__xludf.dummyfunction("QUERY('NAZÁRIO'!H5)"),"SUPERIOR")</f>
        <v>SUPERIOR</v>
      </c>
      <c r="I673" s="10" t="str">
        <f ca="1">IFERROR(__xludf.dummyfunction("QUERY('NAZÁRIO'!I5)"),"DIREITO")</f>
        <v>DIREITO</v>
      </c>
      <c r="J673" s="10" t="str">
        <f ca="1">IFERROR(__xludf.dummyfunction("QUERY('NAZÁRIO'!J5)"),"NOITE")</f>
        <v>NOITE</v>
      </c>
      <c r="K673" s="10" t="str">
        <f ca="1">IFERROR(__xludf.dummyfunction("QUERY('NAZÁRIO'!K5)"),"TARDE")</f>
        <v>TARDE</v>
      </c>
      <c r="L673" s="10" t="str">
        <f ca="1">IFERROR(__xludf.dummyfunction("QUERY('NAZÁRIO'!L5)"),"NAZÁRIO - GO")</f>
        <v>NAZÁRIO - GO</v>
      </c>
      <c r="M673" s="10">
        <f ca="1">IFERROR(__xludf.dummyfunction("QUERY('NAZÁRIO'!M5)"),8)</f>
        <v>8</v>
      </c>
      <c r="N673" s="10" t="str">
        <f ca="1">IFERROR(__xludf.dummyfunction("QUERY('NAZÁRIO'!N5)"),"CONTRATADO")</f>
        <v>CONTRATADO</v>
      </c>
      <c r="O673" s="11" t="str">
        <f ca="1">IFERROR(__xludf.dummyfunction("QUERY('NAZÁRIO'!O5)"),"")</f>
        <v/>
      </c>
      <c r="P673" s="11" t="str">
        <f ca="1">IFERROR(__xludf.dummyfunction("QUERY('NAZÁRIO'!P5)"),"")</f>
        <v/>
      </c>
      <c r="Q673" s="11" t="str">
        <f ca="1">IFERROR(__xludf.dummyfunction("QUERY('NAZÁRIO'!Q5)"),"")</f>
        <v/>
      </c>
      <c r="R673" s="11" t="str">
        <f ca="1">IFERROR(__xludf.dummyfunction("QUERY('NAZÁRIO'!R5)"),"")</f>
        <v/>
      </c>
    </row>
    <row r="674" spans="1:18">
      <c r="A674" s="10">
        <f ca="1">IFERROR(__xludf.dummyfunction("QUERY('NERÓPOLIS'!A5:A7)"),1)</f>
        <v>1</v>
      </c>
      <c r="B674" s="11" t="str">
        <f ca="1">IFERROR(__xludf.dummyfunction("QUERY('NERÓPOLIS'!B5:B7)"),"ANA CLARA FIDELIS DE OLIVEIRA")</f>
        <v>ANA CLARA FIDELIS DE OLIVEIRA</v>
      </c>
      <c r="C674" s="11" t="str">
        <f ca="1">IFERROR(__xludf.dummyfunction("QUERY('NERÓPOLIS'!C5:C7)"),"6869655")</f>
        <v>6869655</v>
      </c>
      <c r="D674" s="11" t="str">
        <f ca="1">IFERROR(__xludf.dummyfunction("QUERY('NERÓPOLIS'!D5:D7)"),"70899708170")</f>
        <v>70899708170</v>
      </c>
      <c r="E674" s="11" t="str">
        <f ca="1">IFERROR(__xludf.dummyfunction("QUERY('NERÓPOLIS'!E5:E7)"),"ANACLARAFIDELIS814@GMAIL.COM")</f>
        <v>ANACLARAFIDELIS814@GMAIL.COM</v>
      </c>
      <c r="F674" s="11" t="str">
        <f ca="1">IFERROR(__xludf.dummyfunction("QUERY('NERÓPOLIS'!F5:F7)"),"")</f>
        <v/>
      </c>
      <c r="G674" s="11" t="str">
        <f ca="1">IFERROR(__xludf.dummyfunction("QUERY('NERÓPOLIS'!G5:G7)"),"(62) 995092851")</f>
        <v>(62) 995092851</v>
      </c>
      <c r="H674" s="11" t="str">
        <f ca="1">IFERROR(__xludf.dummyfunction("QUERY('NERÓPOLIS'!H5:H7)"),"SUPERIOR")</f>
        <v>SUPERIOR</v>
      </c>
      <c r="I674" s="10" t="str">
        <f ca="1">IFERROR(__xludf.dummyfunction("QUERY('NERÓPOLIS'!I5:I7)"),"DIREITO")</f>
        <v>DIREITO</v>
      </c>
      <c r="J674" s="10" t="str">
        <f ca="1">IFERROR(__xludf.dummyfunction("QUERY('NERÓPOLIS'!J5:J7)"),"MANHÃ")</f>
        <v>MANHÃ</v>
      </c>
      <c r="K674" s="10" t="str">
        <f ca="1">IFERROR(__xludf.dummyfunction("QUERY('NERÓPOLIS'!K5:K7)"),"TARDE")</f>
        <v>TARDE</v>
      </c>
      <c r="L674" s="10" t="str">
        <f ca="1">IFERROR(__xludf.dummyfunction("QUERY('NERÓPOLIS'!L5:L7)"),"NERÓPOLIS - GO")</f>
        <v>NERÓPOLIS - GO</v>
      </c>
      <c r="M674" s="10">
        <f ca="1">IFERROR(__xludf.dummyfunction("QUERY('NERÓPOLIS'!M5:M7)"),5)</f>
        <v>5</v>
      </c>
      <c r="N674" s="10" t="str">
        <f ca="1">IFERROR(__xludf.dummyfunction("QUERY('NERÓPOLIS'!N5:N7)"),"2ª CONVOCAÇÃO")</f>
        <v>2ª CONVOCAÇÃO</v>
      </c>
      <c r="O674" s="11" t="str">
        <f ca="1">IFERROR(__xludf.dummyfunction("QUERY('NERÓPOLIS'!O5:O7)"),"")</f>
        <v/>
      </c>
      <c r="P674" s="11" t="str">
        <f ca="1">IFERROR(__xludf.dummyfunction("QUERY('NERÓPOLIS'!P5:P7)"),"contratação cancelada, não assinou o tce")</f>
        <v>contratação cancelada, não assinou o tce</v>
      </c>
      <c r="Q674" s="11" t="str">
        <f ca="1">IFERROR(__xludf.dummyfunction("QUERY('NERÓPOLIS'!Q5:Q7)"),"20/11 - 10:39")</f>
        <v>20/11 - 10:39</v>
      </c>
      <c r="R674" s="11" t="str">
        <f ca="1">IFERROR(__xludf.dummyfunction("QUERY('NERÓPOLIS'!R5:R7)"),"")</f>
        <v/>
      </c>
    </row>
    <row r="675" spans="1:18">
      <c r="A675" s="10">
        <f ca="1">IFERROR(__xludf.dummyfunction("""COMPUTED_VALUE"""),2)</f>
        <v>2</v>
      </c>
      <c r="B675" s="11" t="str">
        <f ca="1">IFERROR(__xludf.dummyfunction("""COMPUTED_VALUE"""),"CAIQUE RICARDO XAVIER DA SILVA")</f>
        <v>CAIQUE RICARDO XAVIER DA SILVA</v>
      </c>
      <c r="C675" s="11"/>
      <c r="D675" s="11" t="str">
        <f ca="1">IFERROR(__xludf.dummyfunction("""COMPUTED_VALUE"""),"08266504148")</f>
        <v>08266504148</v>
      </c>
      <c r="E675" s="11" t="str">
        <f ca="1">IFERROR(__xludf.dummyfunction("""COMPUTED_VALUE"""),"CAIQUERXDS17@GMAIL.COM")</f>
        <v>CAIQUERXDS17@GMAIL.COM</v>
      </c>
      <c r="F675" s="11"/>
      <c r="G675" s="11" t="str">
        <f ca="1">IFERROR(__xludf.dummyfunction("""COMPUTED_VALUE"""),"(62) 981028274")</f>
        <v>(62) 981028274</v>
      </c>
      <c r="H675" s="11" t="str">
        <f ca="1">IFERROR(__xludf.dummyfunction("""COMPUTED_VALUE"""),"SUPERIOR")</f>
        <v>SUPERIOR</v>
      </c>
      <c r="I675" s="10" t="str">
        <f ca="1">IFERROR(__xludf.dummyfunction("""COMPUTED_VALUE"""),"DIREITO")</f>
        <v>DIREITO</v>
      </c>
      <c r="J675" s="10" t="str">
        <f ca="1">IFERROR(__xludf.dummyfunction("""COMPUTED_VALUE"""),"NOITE")</f>
        <v>NOITE</v>
      </c>
      <c r="K675" s="10" t="str">
        <f ca="1">IFERROR(__xludf.dummyfunction("""COMPUTED_VALUE"""),"TARDE")</f>
        <v>TARDE</v>
      </c>
      <c r="L675" s="10" t="str">
        <f ca="1">IFERROR(__xludf.dummyfunction("""COMPUTED_VALUE"""),"NERÓPOLIS - GO")</f>
        <v>NERÓPOLIS - GO</v>
      </c>
      <c r="M675" s="10">
        <f ca="1">IFERROR(__xludf.dummyfunction("""COMPUTED_VALUE"""),5)</f>
        <v>5</v>
      </c>
      <c r="N675" s="10" t="str">
        <f ca="1">IFERROR(__xludf.dummyfunction("""COMPUTED_VALUE"""),"CONTRATADO")</f>
        <v>CONTRATADO</v>
      </c>
      <c r="O675" s="11"/>
      <c r="P675" s="11"/>
      <c r="Q675" s="11"/>
      <c r="R675" s="11"/>
    </row>
    <row r="676" spans="1:18">
      <c r="A676" s="10">
        <f ca="1">IFERROR(__xludf.dummyfunction("""COMPUTED_VALUE"""),3)</f>
        <v>3</v>
      </c>
      <c r="B676" s="11" t="str">
        <f ca="1">IFERROR(__xludf.dummyfunction("""COMPUTED_VALUE"""),"ANA KAROLINE FRANCO MAGALHÃES")</f>
        <v>ANA KAROLINE FRANCO MAGALHÃES</v>
      </c>
      <c r="C676" s="11"/>
      <c r="D676" s="11" t="str">
        <f ca="1">IFERROR(__xludf.dummyfunction("""COMPUTED_VALUE"""),"71068077107")</f>
        <v>71068077107</v>
      </c>
      <c r="E676" s="11" t="str">
        <f ca="1">IFERROR(__xludf.dummyfunction("""COMPUTED_VALUE"""),"ANAKAROLINEFRANCCO@GMAIL.COM")</f>
        <v>ANAKAROLINEFRANCCO@GMAIL.COM</v>
      </c>
      <c r="F676" s="11"/>
      <c r="G676" s="11" t="str">
        <f ca="1">IFERROR(__xludf.dummyfunction("""COMPUTED_VALUE"""),"(62) 985332162")</f>
        <v>(62) 985332162</v>
      </c>
      <c r="H676" s="11" t="str">
        <f ca="1">IFERROR(__xludf.dummyfunction("""COMPUTED_VALUE"""),"SUPERIOR")</f>
        <v>SUPERIOR</v>
      </c>
      <c r="I676" s="10" t="str">
        <f ca="1">IFERROR(__xludf.dummyfunction("""COMPUTED_VALUE"""),"DIREITO")</f>
        <v>DIREITO</v>
      </c>
      <c r="J676" s="10" t="str">
        <f ca="1">IFERROR(__xludf.dummyfunction("""COMPUTED_VALUE"""),"MANHÃ")</f>
        <v>MANHÃ</v>
      </c>
      <c r="K676" s="10" t="str">
        <f ca="1">IFERROR(__xludf.dummyfunction("""COMPUTED_VALUE"""),"TARDE")</f>
        <v>TARDE</v>
      </c>
      <c r="L676" s="10" t="str">
        <f ca="1">IFERROR(__xludf.dummyfunction("""COMPUTED_VALUE"""),"NERÓPOLIS - GO")</f>
        <v>NERÓPOLIS - GO</v>
      </c>
      <c r="M676" s="10">
        <f ca="1">IFERROR(__xludf.dummyfunction("""COMPUTED_VALUE"""),5)</f>
        <v>5</v>
      </c>
      <c r="N676" s="10" t="str">
        <f ca="1">IFERROR(__xludf.dummyfunction("""COMPUTED_VALUE"""),"1ª CONVOCAÇÃO")</f>
        <v>1ª CONVOCAÇÃO</v>
      </c>
      <c r="O676" s="11" t="str">
        <f ca="1">IFERROR(__xludf.dummyfunction("""COMPUTED_VALUE"""),"16/11 - 08:23")</f>
        <v>16/11 - 08:23</v>
      </c>
      <c r="P676" s="11"/>
      <c r="Q676" s="11"/>
      <c r="R676" s="11"/>
    </row>
    <row r="677" spans="1:18">
      <c r="A677" s="10">
        <f ca="1">IFERROR(__xludf.dummyfunction("QUERY('NOVA CRIXÁS'!A5)"),1)</f>
        <v>1</v>
      </c>
      <c r="B677" s="9" t="str">
        <f ca="1">IFERROR(__xludf.dummyfunction("QUERY('NOVA CRIXÁS'!B5)"),"DÁLETTE JORDANA ALVES DA SILVA")</f>
        <v>DÁLETTE JORDANA ALVES DA SILVA</v>
      </c>
      <c r="C677" s="9" t="str">
        <f ca="1">IFERROR(__xludf.dummyfunction("QUERY('NOVA CRIXÁS'!C5)"),"")</f>
        <v/>
      </c>
      <c r="D677" s="9" t="str">
        <f ca="1">IFERROR(__xludf.dummyfunction("QUERY('NOVA CRIXÁS'!D5)"),"05245314126")</f>
        <v>05245314126</v>
      </c>
      <c r="E677" s="9" t="str">
        <f ca="1">IFERROR(__xludf.dummyfunction("QUERY('NOVA CRIXÁS'!E5)"),"DJAASILVA@YAHOO.COM")</f>
        <v>DJAASILVA@YAHOO.COM</v>
      </c>
      <c r="F677" s="9" t="str">
        <f ca="1">IFERROR(__xludf.dummyfunction("QUERY('NOVA CRIXÁS'!F5)"),"")</f>
        <v/>
      </c>
      <c r="G677" s="9" t="str">
        <f ca="1">IFERROR(__xludf.dummyfunction("QUERY('NOVA CRIXÁS'!G5)"),"(62) 999749702")</f>
        <v>(62) 999749702</v>
      </c>
      <c r="H677" s="9" t="str">
        <f ca="1">IFERROR(__xludf.dummyfunction("QUERY('NOVA CRIXÁS'!H5)"),"SUPERIOR")</f>
        <v>SUPERIOR</v>
      </c>
      <c r="I677" s="10" t="str">
        <f ca="1">IFERROR(__xludf.dummyfunction("QUERY('NOVA CRIXÁS'!I5)"),"DIREITO")</f>
        <v>DIREITO</v>
      </c>
      <c r="J677" s="10" t="str">
        <f ca="1">IFERROR(__xludf.dummyfunction("QUERY('NOVA CRIXÁS'!J5)"),"NOITE")</f>
        <v>NOITE</v>
      </c>
      <c r="K677" s="10" t="str">
        <f ca="1">IFERROR(__xludf.dummyfunction("QUERY('NOVA CRIXÁS'!K5)"),"TARDE")</f>
        <v>TARDE</v>
      </c>
      <c r="L677" s="10" t="str">
        <f ca="1">IFERROR(__xludf.dummyfunction("QUERY('NOVA CRIXÁS'!L5)"),"NOVA CRIXÁS - GO")</f>
        <v>NOVA CRIXÁS - GO</v>
      </c>
      <c r="M677" s="10">
        <f ca="1">IFERROR(__xludf.dummyfunction("QUERY('NOVA CRIXÁS'!M5)"),8)</f>
        <v>8</v>
      </c>
      <c r="N677" s="10" t="str">
        <f ca="1">IFERROR(__xludf.dummyfunction("QUERY('NOVA CRIXÁS'!N5)"),"DESCLASSIFICADO")</f>
        <v>DESCLASSIFICADO</v>
      </c>
      <c r="O677" s="9" t="str">
        <f ca="1">IFERROR(__xludf.dummyfunction("QUERY('NOVA CRIXÁS'!O5)"),"27/10 - 14:13")</f>
        <v>27/10 - 14:13</v>
      </c>
      <c r="P677" s="9" t="str">
        <f ca="1">IFERROR(__xludf.dummyfunction("QUERY('NOVA CRIXÁS'!P5)"),"")</f>
        <v/>
      </c>
      <c r="Q677" s="9" t="str">
        <f ca="1">IFERROR(__xludf.dummyfunction("QUERY('NOVA CRIXÁS'!Q5)"),"16/11 - 08:23")</f>
        <v>16/11 - 08:23</v>
      </c>
      <c r="R677" s="9" t="str">
        <f ca="1">IFERROR(__xludf.dummyfunction("QUERY('NOVA CRIXÁS'!R5)"),"sem retorno")</f>
        <v>sem retorno</v>
      </c>
    </row>
    <row r="678" spans="1:18">
      <c r="A678" s="10">
        <f ca="1">IFERROR(__xludf.dummyfunction("QUERY('NOVO GAMA'!A5:A9)"),1)</f>
        <v>1</v>
      </c>
      <c r="B678" s="9" t="str">
        <f ca="1">IFERROR(__xludf.dummyfunction("QUERY('NOVO GAMA'!B5:B9)"),"PALOMA LOURRANY ALVES SILVA")</f>
        <v>PALOMA LOURRANY ALVES SILVA</v>
      </c>
      <c r="C678" s="9" t="str">
        <f ca="1">IFERROR(__xludf.dummyfunction("QUERY('NOVO GAMA'!C5:C9)"),"6028591")</f>
        <v>6028591</v>
      </c>
      <c r="D678" s="9" t="str">
        <f ca="1">IFERROR(__xludf.dummyfunction("QUERY('NOVO GAMA'!D5:D9)"),"05253908129")</f>
        <v>05253908129</v>
      </c>
      <c r="E678" s="9" t="str">
        <f ca="1">IFERROR(__xludf.dummyfunction("QUERY('NOVO GAMA'!E5:E9)"),"PALOMALVESPLAS@GMAIL.COM")</f>
        <v>PALOMALVESPLAS@GMAIL.COM</v>
      </c>
      <c r="F678" s="9" t="str">
        <f ca="1">IFERROR(__xludf.dummyfunction("QUERY('NOVO GAMA'!F5:F9)"),"(61) 99235821")</f>
        <v>(61) 99235821</v>
      </c>
      <c r="G678" s="9" t="str">
        <f ca="1">IFERROR(__xludf.dummyfunction("QUERY('NOVO GAMA'!G5:G9)"),"(61) 992358217")</f>
        <v>(61) 992358217</v>
      </c>
      <c r="H678" s="9" t="str">
        <f ca="1">IFERROR(__xludf.dummyfunction("QUERY('NOVO GAMA'!H5:H9)"),"SUPERIOR")</f>
        <v>SUPERIOR</v>
      </c>
      <c r="I678" s="10" t="str">
        <f ca="1">IFERROR(__xludf.dummyfunction("QUERY('NOVO GAMA'!I5:I9)"),"DIREITO")</f>
        <v>DIREITO</v>
      </c>
      <c r="J678" s="10" t="str">
        <f ca="1">IFERROR(__xludf.dummyfunction("QUERY('NOVO GAMA'!J5:J9)"),"NOITE")</f>
        <v>NOITE</v>
      </c>
      <c r="K678" s="10" t="str">
        <f ca="1">IFERROR(__xludf.dummyfunction("QUERY('NOVO GAMA'!K5:K9)"),"TARDE")</f>
        <v>TARDE</v>
      </c>
      <c r="L678" s="10" t="str">
        <f ca="1">IFERROR(__xludf.dummyfunction("QUERY('NOVO GAMA'!L5:L9)"),"NOVO GAMA - GO")</f>
        <v>NOVO GAMA - GO</v>
      </c>
      <c r="M678" s="10">
        <f ca="1">IFERROR(__xludf.dummyfunction("QUERY('NOVO GAMA'!M5:M9)"),8)</f>
        <v>8</v>
      </c>
      <c r="N678" s="10" t="str">
        <f ca="1">IFERROR(__xludf.dummyfunction("QUERY('NOVO GAMA'!N5:N9)"),"CONTRATADO")</f>
        <v>CONTRATADO</v>
      </c>
      <c r="O678" s="9" t="str">
        <f ca="1">IFERROR(__xludf.dummyfunction("QUERY('NOVO GAMA'!O5)"),"16/11 - 14:34")</f>
        <v>16/11 - 14:34</v>
      </c>
      <c r="P678" s="9" t="str">
        <f ca="1">IFERROR(__xludf.dummyfunction("QUERY('NOVO GAMA'!P5)"),"")</f>
        <v/>
      </c>
      <c r="Q678" s="9" t="str">
        <f ca="1">IFERROR(__xludf.dummyfunction("QUERY('NOVO GAMA'!Q5)"),"")</f>
        <v/>
      </c>
    </row>
    <row r="679" spans="1:18">
      <c r="A679" s="10">
        <f ca="1">IFERROR(__xludf.dummyfunction("""COMPUTED_VALUE"""),2)</f>
        <v>2</v>
      </c>
      <c r="B679" s="11" t="str">
        <f ca="1">IFERROR(__xludf.dummyfunction("""COMPUTED_VALUE"""),"ANA JÚLIA REIS FERREIRA")</f>
        <v>ANA JÚLIA REIS FERREIRA</v>
      </c>
      <c r="C679" s="11" t="str">
        <f ca="1">IFERROR(__xludf.dummyfunction("""COMPUTED_VALUE"""),"3726088")</f>
        <v>3726088</v>
      </c>
      <c r="D679" s="11" t="str">
        <f ca="1">IFERROR(__xludf.dummyfunction("""COMPUTED_VALUE"""),"07294243166")</f>
        <v>07294243166</v>
      </c>
      <c r="E679" s="11" t="str">
        <f ca="1">IFERROR(__xludf.dummyfunction("""COMPUTED_VALUE"""),"ANAJULIAREIS2019@GMAIL.COM")</f>
        <v>ANAJULIAREIS2019@GMAIL.COM</v>
      </c>
      <c r="F679" s="11" t="str">
        <f ca="1">IFERROR(__xludf.dummyfunction("""COMPUTED_VALUE"""),"(61) 91000348")</f>
        <v>(61) 91000348</v>
      </c>
      <c r="G679" s="11" t="str">
        <f ca="1">IFERROR(__xludf.dummyfunction("""COMPUTED_VALUE"""),"(61) 995709496")</f>
        <v>(61) 995709496</v>
      </c>
      <c r="H679" s="11" t="str">
        <f ca="1">IFERROR(__xludf.dummyfunction("""COMPUTED_VALUE"""),"SUPERIOR")</f>
        <v>SUPERIOR</v>
      </c>
      <c r="I679" s="10" t="str">
        <f ca="1">IFERROR(__xludf.dummyfunction("""COMPUTED_VALUE"""),"DIREITO")</f>
        <v>DIREITO</v>
      </c>
      <c r="J679" s="10" t="str">
        <f ca="1">IFERROR(__xludf.dummyfunction("""COMPUTED_VALUE"""),"NOITE")</f>
        <v>NOITE</v>
      </c>
      <c r="K679" s="10" t="str">
        <f ca="1">IFERROR(__xludf.dummyfunction("""COMPUTED_VALUE"""),"TARDE")</f>
        <v>TARDE</v>
      </c>
      <c r="L679" s="10" t="str">
        <f ca="1">IFERROR(__xludf.dummyfunction("""COMPUTED_VALUE"""),"NOVO GAMA - GO")</f>
        <v>NOVO GAMA - GO</v>
      </c>
      <c r="M679" s="10">
        <f ca="1">IFERROR(__xludf.dummyfunction("""COMPUTED_VALUE"""),6)</f>
        <v>6</v>
      </c>
      <c r="N679" s="10" t="str">
        <f ca="1">IFERROR(__xludf.dummyfunction("""COMPUTED_VALUE"""),"CONTRATADO")</f>
        <v>CONTRATADO</v>
      </c>
    </row>
    <row r="680" spans="1:18">
      <c r="A680" s="10">
        <f ca="1">IFERROR(__xludf.dummyfunction("""COMPUTED_VALUE"""),3)</f>
        <v>3</v>
      </c>
      <c r="B680" s="11" t="str">
        <f ca="1">IFERROR(__xludf.dummyfunction("""COMPUTED_VALUE"""),"LORRANY HOLANDA DOS SANTOS")</f>
        <v>LORRANY HOLANDA DOS SANTOS</v>
      </c>
      <c r="C680" s="11" t="str">
        <f ca="1">IFERROR(__xludf.dummyfunction("""COMPUTED_VALUE"""),"3696169")</f>
        <v>3696169</v>
      </c>
      <c r="D680" s="11" t="str">
        <f ca="1">IFERROR(__xludf.dummyfunction("""COMPUTED_VALUE"""),"07167330132")</f>
        <v>07167330132</v>
      </c>
      <c r="E680" s="11" t="str">
        <f ca="1">IFERROR(__xludf.dummyfunction("""COMPUTED_VALUE"""),"HOANDALORRANY@GMAIL.COM")</f>
        <v>HOANDALORRANY@GMAIL.COM</v>
      </c>
      <c r="F680" s="11"/>
      <c r="G680" s="11" t="str">
        <f ca="1">IFERROR(__xludf.dummyfunction("""COMPUTED_VALUE"""),"(61) 993325661")</f>
        <v>(61) 993325661</v>
      </c>
      <c r="H680" s="11" t="str">
        <f ca="1">IFERROR(__xludf.dummyfunction("""COMPUTED_VALUE"""),"SUPERIOR")</f>
        <v>SUPERIOR</v>
      </c>
      <c r="I680" s="10" t="str">
        <f ca="1">IFERROR(__xludf.dummyfunction("""COMPUTED_VALUE"""),"DIREITO")</f>
        <v>DIREITO</v>
      </c>
      <c r="J680" s="10" t="str">
        <f ca="1">IFERROR(__xludf.dummyfunction("""COMPUTED_VALUE"""),"NOITE")</f>
        <v>NOITE</v>
      </c>
      <c r="K680" s="10" t="str">
        <f ca="1">IFERROR(__xludf.dummyfunction("""COMPUTED_VALUE"""),"TARDE")</f>
        <v>TARDE</v>
      </c>
      <c r="L680" s="10" t="str">
        <f ca="1">IFERROR(__xludf.dummyfunction("""COMPUTED_VALUE"""),"NOVO GAMA - GO")</f>
        <v>NOVO GAMA - GO</v>
      </c>
      <c r="M680" s="10">
        <f ca="1">IFERROR(__xludf.dummyfunction("""COMPUTED_VALUE"""),8)</f>
        <v>8</v>
      </c>
      <c r="N680" s="10" t="str">
        <f ca="1">IFERROR(__xludf.dummyfunction("""COMPUTED_VALUE"""),"DISPONÍVEL")</f>
        <v>DISPONÍVEL</v>
      </c>
    </row>
    <row r="681" spans="1:18">
      <c r="A681" s="10">
        <f ca="1">IFERROR(__xludf.dummyfunction("""COMPUTED_VALUE"""),4)</f>
        <v>4</v>
      </c>
      <c r="B681" s="11" t="str">
        <f ca="1">IFERROR(__xludf.dummyfunction("""COMPUTED_VALUE"""),"FILIPE ALVES DE FRANCA")</f>
        <v>FILIPE ALVES DE FRANCA</v>
      </c>
      <c r="C681" s="11" t="str">
        <f ca="1">IFERROR(__xludf.dummyfunction("""COMPUTED_VALUE"""),"3955274")</f>
        <v>3955274</v>
      </c>
      <c r="D681" s="11" t="str">
        <f ca="1">IFERROR(__xludf.dummyfunction("""COMPUTED_VALUE"""),"05670570111")</f>
        <v>05670570111</v>
      </c>
      <c r="E681" s="11" t="str">
        <f ca="1">IFERROR(__xludf.dummyfunction("""COMPUTED_VALUE"""),"FILIPEALFRANCA83@GMAIL.COM")</f>
        <v>FILIPEALFRANCA83@GMAIL.COM</v>
      </c>
      <c r="F681" s="11" t="str">
        <f ca="1">IFERROR(__xludf.dummyfunction("""COMPUTED_VALUE"""),"(61) 85604645")</f>
        <v>(61) 85604645</v>
      </c>
      <c r="G681" s="11" t="str">
        <f ca="1">IFERROR(__xludf.dummyfunction("""COMPUTED_VALUE"""),"(61) 85092914")</f>
        <v>(61) 85092914</v>
      </c>
      <c r="H681" s="11" t="str">
        <f ca="1">IFERROR(__xludf.dummyfunction("""COMPUTED_VALUE"""),"SUPERIOR")</f>
        <v>SUPERIOR</v>
      </c>
      <c r="I681" s="10" t="str">
        <f ca="1">IFERROR(__xludf.dummyfunction("""COMPUTED_VALUE"""),"DIREITO")</f>
        <v>DIREITO</v>
      </c>
      <c r="J681" s="10" t="str">
        <f ca="1">IFERROR(__xludf.dummyfunction("""COMPUTED_VALUE"""),"NOITE")</f>
        <v>NOITE</v>
      </c>
      <c r="K681" s="10" t="str">
        <f ca="1">IFERROR(__xludf.dummyfunction("""COMPUTED_VALUE"""),"TARDE")</f>
        <v>TARDE</v>
      </c>
      <c r="L681" s="10" t="str">
        <f ca="1">IFERROR(__xludf.dummyfunction("""COMPUTED_VALUE"""),"NOVO GAMA - GO")</f>
        <v>NOVO GAMA - GO</v>
      </c>
      <c r="M681" s="10">
        <f ca="1">IFERROR(__xludf.dummyfunction("""COMPUTED_VALUE"""),6)</f>
        <v>6</v>
      </c>
      <c r="N681" s="10" t="str">
        <f ca="1">IFERROR(__xludf.dummyfunction("""COMPUTED_VALUE"""),"DISPONÍVEL")</f>
        <v>DISPONÍVEL</v>
      </c>
    </row>
    <row r="682" spans="1:18">
      <c r="A682" s="10">
        <f ca="1">IFERROR(__xludf.dummyfunction("""COMPUTED_VALUE"""),5)</f>
        <v>5</v>
      </c>
      <c r="B682" s="11" t="str">
        <f ca="1">IFERROR(__xludf.dummyfunction("""COMPUTED_VALUE"""),"ANDRESSA RODRIGUES FORTES")</f>
        <v>ANDRESSA RODRIGUES FORTES</v>
      </c>
      <c r="C682" s="11"/>
      <c r="D682" s="11" t="str">
        <f ca="1">IFERROR(__xludf.dummyfunction("""COMPUTED_VALUE"""),"06351216117")</f>
        <v>06351216117</v>
      </c>
      <c r="E682" s="11" t="str">
        <f ca="1">IFERROR(__xludf.dummyfunction("""COMPUTED_VALUE"""),"ANDRESSAFORTES75@GMAIL.COM")</f>
        <v>ANDRESSAFORTES75@GMAIL.COM</v>
      </c>
      <c r="F682" s="11" t="str">
        <f ca="1">IFERROR(__xludf.dummyfunction("""COMPUTED_VALUE"""),"(61) 30123944")</f>
        <v>(61) 30123944</v>
      </c>
      <c r="G682" s="11" t="str">
        <f ca="1">IFERROR(__xludf.dummyfunction("""COMPUTED_VALUE"""),"(61) 993904388")</f>
        <v>(61) 993904388</v>
      </c>
      <c r="H682" s="11" t="str">
        <f ca="1">IFERROR(__xludf.dummyfunction("""COMPUTED_VALUE"""),"SUPERIOR")</f>
        <v>SUPERIOR</v>
      </c>
      <c r="I682" s="10" t="str">
        <f ca="1">IFERROR(__xludf.dummyfunction("""COMPUTED_VALUE"""),"DIREITO")</f>
        <v>DIREITO</v>
      </c>
      <c r="J682" s="10" t="str">
        <f ca="1">IFERROR(__xludf.dummyfunction("""COMPUTED_VALUE"""),"MANHÃ")</f>
        <v>MANHÃ</v>
      </c>
      <c r="K682" s="10" t="str">
        <f ca="1">IFERROR(__xludf.dummyfunction("""COMPUTED_VALUE"""),"TARDE")</f>
        <v>TARDE</v>
      </c>
      <c r="L682" s="10" t="str">
        <f ca="1">IFERROR(__xludf.dummyfunction("""COMPUTED_VALUE"""),"NOVO GAMA - GO")</f>
        <v>NOVO GAMA - GO</v>
      </c>
      <c r="M682" s="10">
        <f ca="1">IFERROR(__xludf.dummyfunction("""COMPUTED_VALUE"""),6)</f>
        <v>6</v>
      </c>
      <c r="N682" s="10" t="str">
        <f ca="1">IFERROR(__xludf.dummyfunction("""COMPUTED_VALUE"""),"DISPONÍVEL")</f>
        <v>DISPONÍVEL</v>
      </c>
    </row>
    <row r="683" spans="1:18">
      <c r="A683" s="10">
        <f ca="1">IFERROR(__xludf.dummyfunction("QUERY(ORIZONA!A5:A9)"),1)</f>
        <v>1</v>
      </c>
      <c r="B683" s="9" t="str">
        <f ca="1">IFERROR(__xludf.dummyfunction("QUERY(ORIZONA!B5:B9)"),"ANA LUISA CAIXETA DE SOUSA")</f>
        <v>ANA LUISA CAIXETA DE SOUSA</v>
      </c>
      <c r="C683" s="9" t="str">
        <f ca="1">IFERROR(__xludf.dummyfunction("QUERY(ORIZONA!C5:C9)"),"")</f>
        <v/>
      </c>
      <c r="D683" s="9" t="str">
        <f ca="1">IFERROR(__xludf.dummyfunction("QUERY(ORIZONA!D5:D9)"),"08120416155")</f>
        <v>08120416155</v>
      </c>
      <c r="E683" s="9" t="str">
        <f ca="1">IFERROR(__xludf.dummyfunction("QUERY(ORIZONA!E5:E9)"),"ANALUISACAIXETA3@GMAIL.COM")</f>
        <v>ANALUISACAIXETA3@GMAIL.COM</v>
      </c>
      <c r="F683" s="9" t="str">
        <f ca="1">IFERROR(__xludf.dummyfunction("QUERY(ORIZONA!F5:F9)"),"(64) 34741604")</f>
        <v>(64) 34741604</v>
      </c>
      <c r="G683" s="9" t="str">
        <f ca="1">IFERROR(__xludf.dummyfunction("QUERY(ORIZONA!G5:G9)"),"(64) 999540119")</f>
        <v>(64) 999540119</v>
      </c>
      <c r="H683" s="9" t="str">
        <f ca="1">IFERROR(__xludf.dummyfunction("QUERY(ORIZONA!H5:H9)"),"SUPERIOR")</f>
        <v>SUPERIOR</v>
      </c>
      <c r="I683" s="10" t="str">
        <f ca="1">IFERROR(__xludf.dummyfunction("QUERY(ORIZONA!I5:I9)"),"DIREITO")</f>
        <v>DIREITO</v>
      </c>
      <c r="J683" s="10" t="str">
        <f ca="1">IFERROR(__xludf.dummyfunction("QUERY(ORIZONA!J5:J9)"),"MANHÃ")</f>
        <v>MANHÃ</v>
      </c>
      <c r="K683" s="10" t="str">
        <f ca="1">IFERROR(__xludf.dummyfunction("QUERY(ORIZONA!K5:K9)"),"TARDE")</f>
        <v>TARDE</v>
      </c>
      <c r="L683" s="10" t="str">
        <f ca="1">IFERROR(__xludf.dummyfunction("QUERY(ORIZONA!L5:L9)"),"ORIZONA - GO")</f>
        <v>ORIZONA - GO</v>
      </c>
      <c r="M683" s="10">
        <f ca="1">IFERROR(__xludf.dummyfunction("QUERY(ORIZONA!M5:M9)"),6)</f>
        <v>6</v>
      </c>
      <c r="N683" s="10" t="str">
        <f ca="1">IFERROR(__xludf.dummyfunction("QUERY(ORIZONA!N5:N9)"),"CONTRATADO")</f>
        <v>CONTRATADO</v>
      </c>
      <c r="O683" s="9" t="str">
        <f ca="1">IFERROR(__xludf.dummyfunction("QUERY(ORIZONA!O5:O9)"),"24/10 - 13:35")</f>
        <v>24/10 - 13:35</v>
      </c>
      <c r="P683" s="9" t="str">
        <f ca="1">IFERROR(__xludf.dummyfunction("QUERY(ORIZONA!P5:P9)"),"")</f>
        <v/>
      </c>
      <c r="Q683" s="9" t="str">
        <f ca="1">IFERROR(__xludf.dummyfunction("QUERY(ORIZONA!Q5:Q9)"),"")</f>
        <v/>
      </c>
    </row>
    <row r="684" spans="1:18">
      <c r="A684" s="10">
        <f ca="1">IFERROR(__xludf.dummyfunction("""COMPUTED_VALUE"""),2)</f>
        <v>2</v>
      </c>
      <c r="B684" s="11" t="str">
        <f ca="1">IFERROR(__xludf.dummyfunction("""COMPUTED_VALUE"""),"THAÍS GONÇALVES EVANGELISTA")</f>
        <v>THAÍS GONÇALVES EVANGELISTA</v>
      </c>
      <c r="C684" s="11"/>
      <c r="D684" s="11" t="str">
        <f ca="1">IFERROR(__xludf.dummyfunction("""COMPUTED_VALUE"""),"07469727175")</f>
        <v>07469727175</v>
      </c>
      <c r="E684" s="11" t="str">
        <f ca="1">IFERROR(__xludf.dummyfunction("""COMPUTED_VALUE"""),"TAISG4289@GMAIL.COM")</f>
        <v>TAISG4289@GMAIL.COM</v>
      </c>
      <c r="F684" s="11" t="str">
        <f ca="1">IFERROR(__xludf.dummyfunction("""COMPUTED_VALUE"""),"(64) 96455726")</f>
        <v>(64) 96455726</v>
      </c>
      <c r="G684" s="11" t="str">
        <f ca="1">IFERROR(__xludf.dummyfunction("""COMPUTED_VALUE"""),"(64) 996455726")</f>
        <v>(64) 996455726</v>
      </c>
      <c r="H684" s="11" t="str">
        <f ca="1">IFERROR(__xludf.dummyfunction("""COMPUTED_VALUE"""),"SUPERIOR")</f>
        <v>SUPERIOR</v>
      </c>
      <c r="I684" s="10" t="str">
        <f ca="1">IFERROR(__xludf.dummyfunction("""COMPUTED_VALUE"""),"DIREITO")</f>
        <v>DIREITO</v>
      </c>
      <c r="J684" s="10" t="str">
        <f ca="1">IFERROR(__xludf.dummyfunction("""COMPUTED_VALUE"""),"MANHÃ")</f>
        <v>MANHÃ</v>
      </c>
      <c r="K684" s="10" t="str">
        <f ca="1">IFERROR(__xludf.dummyfunction("""COMPUTED_VALUE"""),"TARDE")</f>
        <v>TARDE</v>
      </c>
      <c r="L684" s="10" t="str">
        <f ca="1">IFERROR(__xludf.dummyfunction("""COMPUTED_VALUE"""),"ORIZONA - GO")</f>
        <v>ORIZONA - GO</v>
      </c>
      <c r="M684" s="10">
        <f ca="1">IFERROR(__xludf.dummyfunction("""COMPUTED_VALUE"""),9)</f>
        <v>9</v>
      </c>
      <c r="N684" s="10" t="str">
        <f ca="1">IFERROR(__xludf.dummyfunction("""COMPUTED_VALUE"""),"DESCLASSIFICADO")</f>
        <v>DESCLASSIFICADO</v>
      </c>
      <c r="O684" s="11"/>
      <c r="P684" s="11"/>
      <c r="Q684" s="11"/>
    </row>
    <row r="685" spans="1:18">
      <c r="A685" s="10">
        <f ca="1">IFERROR(__xludf.dummyfunction("""COMPUTED_VALUE"""),3)</f>
        <v>3</v>
      </c>
      <c r="B685" s="11" t="str">
        <f ca="1">IFERROR(__xludf.dummyfunction("""COMPUTED_VALUE"""),"EDUARDO NASCIMENTO REZENDE")</f>
        <v>EDUARDO NASCIMENTO REZENDE</v>
      </c>
      <c r="C685" s="11" t="str">
        <f ca="1">IFERROR(__xludf.dummyfunction("""COMPUTED_VALUE"""),"03841548164")</f>
        <v>03841548164</v>
      </c>
      <c r="D685" s="11" t="str">
        <f ca="1">IFERROR(__xludf.dummyfunction("""COMPUTED_VALUE"""),"03841548164")</f>
        <v>03841548164</v>
      </c>
      <c r="E685" s="11" t="str">
        <f ca="1">IFERROR(__xludf.dummyfunction("""COMPUTED_VALUE"""),"REZENDEDULLE@GMAIL.COM")</f>
        <v>REZENDEDULLE@GMAIL.COM</v>
      </c>
      <c r="F685" s="11"/>
      <c r="G685" s="11" t="str">
        <f ca="1">IFERROR(__xludf.dummyfunction("""COMPUTED_VALUE"""),"(64) 993194857")</f>
        <v>(64) 993194857</v>
      </c>
      <c r="H685" s="11" t="str">
        <f ca="1">IFERROR(__xludf.dummyfunction("""COMPUTED_VALUE"""),"SUPERIOR")</f>
        <v>SUPERIOR</v>
      </c>
      <c r="I685" s="10" t="str">
        <f ca="1">IFERROR(__xludf.dummyfunction("""COMPUTED_VALUE"""),"DIREITO")</f>
        <v>DIREITO</v>
      </c>
      <c r="J685" s="10" t="str">
        <f ca="1">IFERROR(__xludf.dummyfunction("""COMPUTED_VALUE"""),"MANHÃ")</f>
        <v>MANHÃ</v>
      </c>
      <c r="K685" s="10" t="str">
        <f ca="1">IFERROR(__xludf.dummyfunction("""COMPUTED_VALUE"""),"TARDE")</f>
        <v>TARDE</v>
      </c>
      <c r="L685" s="10" t="str">
        <f ca="1">IFERROR(__xludf.dummyfunction("""COMPUTED_VALUE"""),"ORIZONA - GO")</f>
        <v>ORIZONA - GO</v>
      </c>
      <c r="M685" s="10">
        <f ca="1">IFERROR(__xludf.dummyfunction("""COMPUTED_VALUE"""),6)</f>
        <v>6</v>
      </c>
      <c r="N685" s="10" t="str">
        <f ca="1">IFERROR(__xludf.dummyfunction("""COMPUTED_VALUE"""),"CONTRATADO")</f>
        <v>CONTRATADO</v>
      </c>
      <c r="O685" s="11"/>
      <c r="P685" s="11"/>
      <c r="Q685" s="11"/>
    </row>
    <row r="686" spans="1:18">
      <c r="A686" s="10">
        <f ca="1">IFERROR(__xludf.dummyfunction("""COMPUTED_VALUE"""),4)</f>
        <v>4</v>
      </c>
      <c r="B686" s="11" t="str">
        <f ca="1">IFERROR(__xludf.dummyfunction("""COMPUTED_VALUE"""),"DEBORAH DE SOUSA OLIVEIRA")</f>
        <v>DEBORAH DE SOUSA OLIVEIRA</v>
      </c>
      <c r="C686" s="11"/>
      <c r="D686" s="11" t="str">
        <f ca="1">IFERROR(__xludf.dummyfunction("""COMPUTED_VALUE"""),"06359594102")</f>
        <v>06359594102</v>
      </c>
      <c r="E686" s="11" t="str">
        <f ca="1">IFERROR(__xludf.dummyfunction("""COMPUTED_VALUE"""),"DBORAHSOUSAOLIVEIRA@YAHOO.COM")</f>
        <v>DBORAHSOUSAOLIVEIRA@YAHOO.COM</v>
      </c>
      <c r="F686" s="11"/>
      <c r="G686" s="11" t="str">
        <f ca="1">IFERROR(__xludf.dummyfunction("""COMPUTED_VALUE"""),"(64) 999097414")</f>
        <v>(64) 999097414</v>
      </c>
      <c r="H686" s="11" t="str">
        <f ca="1">IFERROR(__xludf.dummyfunction("""COMPUTED_VALUE"""),"SUPERIOR")</f>
        <v>SUPERIOR</v>
      </c>
      <c r="I686" s="10" t="str">
        <f ca="1">IFERROR(__xludf.dummyfunction("""COMPUTED_VALUE"""),"DIREITO")</f>
        <v>DIREITO</v>
      </c>
      <c r="J686" s="10" t="str">
        <f ca="1">IFERROR(__xludf.dummyfunction("""COMPUTED_VALUE"""),"MANHÃ")</f>
        <v>MANHÃ</v>
      </c>
      <c r="K686" s="10" t="str">
        <f ca="1">IFERROR(__xludf.dummyfunction("""COMPUTED_VALUE"""),"TARDE")</f>
        <v>TARDE</v>
      </c>
      <c r="L686" s="10" t="str">
        <f ca="1">IFERROR(__xludf.dummyfunction("""COMPUTED_VALUE"""),"ORIZONA - GO")</f>
        <v>ORIZONA - GO</v>
      </c>
      <c r="M686" s="10">
        <f ca="1">IFERROR(__xludf.dummyfunction("""COMPUTED_VALUE"""),9)</f>
        <v>9</v>
      </c>
      <c r="N686" s="10" t="str">
        <f ca="1">IFERROR(__xludf.dummyfunction("""COMPUTED_VALUE"""),"DISPONÍVEL")</f>
        <v>DISPONÍVEL</v>
      </c>
      <c r="O686" s="11"/>
      <c r="P686" s="11"/>
      <c r="Q686" s="11"/>
    </row>
    <row r="687" spans="1:18">
      <c r="A687" s="10">
        <f ca="1">IFERROR(__xludf.dummyfunction("QUERY('PARAÚNA'!A5)"),1)</f>
        <v>1</v>
      </c>
      <c r="B687" s="9" t="str">
        <f ca="1">IFERROR(__xludf.dummyfunction("QUERY('PARAÚNA'!B5)"),"MAISA LOPES PEDROSO")</f>
        <v>MAISA LOPES PEDROSO</v>
      </c>
      <c r="C687" s="9" t="str">
        <f ca="1">IFERROR(__xludf.dummyfunction("QUERY('PARAÚNA'!C5)"),"")</f>
        <v/>
      </c>
      <c r="D687" s="9" t="str">
        <f ca="1">IFERROR(__xludf.dummyfunction("QUERY('PARAÚNA'!D5)"),"70278272126")</f>
        <v>70278272126</v>
      </c>
      <c r="E687" s="9" t="str">
        <f ca="1">IFERROR(__xludf.dummyfunction("QUERY('PARAÚNA'!E5)"),"MAISA.LOOPES68@OUTLOOK.COM")</f>
        <v>MAISA.LOOPES68@OUTLOOK.COM</v>
      </c>
      <c r="F687" s="9" t="str">
        <f ca="1">IFERROR(__xludf.dummyfunction("QUERY('PARAÚNA'!F5)"),"")</f>
        <v/>
      </c>
      <c r="G687" s="9" t="str">
        <f ca="1">IFERROR(__xludf.dummyfunction("QUERY('PARAÚNA'!G5)"),"(64) 993316095")</f>
        <v>(64) 993316095</v>
      </c>
      <c r="H687" s="9" t="str">
        <f ca="1">IFERROR(__xludf.dummyfunction("QUERY('PARAÚNA'!H5)"),"SUPERIOR")</f>
        <v>SUPERIOR</v>
      </c>
      <c r="I687" s="10" t="str">
        <f ca="1">IFERROR(__xludf.dummyfunction("QUERY('PARAÚNA'!I5)"),"DIREITO")</f>
        <v>DIREITO</v>
      </c>
      <c r="J687" s="10" t="str">
        <f ca="1">IFERROR(__xludf.dummyfunction("QUERY('PARAÚNA'!J5)"),"MANHÃ")</f>
        <v>MANHÃ</v>
      </c>
      <c r="K687" s="10" t="str">
        <f ca="1">IFERROR(__xludf.dummyfunction("QUERY('PARAÚNA'!K5)"),"TARDE")</f>
        <v>TARDE</v>
      </c>
      <c r="L687" s="10" t="str">
        <f ca="1">IFERROR(__xludf.dummyfunction("QUERY('PARAÚNA'!L5)"),"PARAÚNA - GO")</f>
        <v>PARAÚNA - GO</v>
      </c>
      <c r="M687" s="10">
        <f ca="1">IFERROR(__xludf.dummyfunction("QUERY('PARAÚNA'!M5)"),6)</f>
        <v>6</v>
      </c>
      <c r="N687" s="10" t="str">
        <f ca="1">IFERROR(__xludf.dummyfunction("QUERY('PARAÚNA'!N5)"),"DISPONÍVEL")</f>
        <v>DISPONÍVEL</v>
      </c>
      <c r="O687" s="9" t="str">
        <f ca="1">IFERROR(__xludf.dummyfunction("QUERY('PARAÚNA'!O5)"),"")</f>
        <v/>
      </c>
      <c r="P687" s="9" t="str">
        <f ca="1">IFERROR(__xludf.dummyfunction("QUERY('PARAÚNA'!P5)"),"")</f>
        <v/>
      </c>
      <c r="Q687" s="9" t="str">
        <f ca="1">IFERROR(__xludf.dummyfunction("QUERY('PARAÚNA'!Q5)"),"")</f>
        <v/>
      </c>
      <c r="R687" s="9" t="str">
        <f ca="1">IFERROR(__xludf.dummyfunction("QUERY('PARAÚNA'!R5)"),"")</f>
        <v/>
      </c>
    </row>
    <row r="688" spans="1:18">
      <c r="A688" s="10">
        <f ca="1">IFERROR(__xludf.dummyfunction("QUERY(PIRACANJUBA!A5:A6)"),1)</f>
        <v>1</v>
      </c>
      <c r="B688" s="9" t="str">
        <f ca="1">IFERROR(__xludf.dummyfunction("QUERY(PIRACANJUBA!B5:B6)"),"ALINE DIAS DOS SANTOS")</f>
        <v>ALINE DIAS DOS SANTOS</v>
      </c>
      <c r="C688" s="9" t="str">
        <f ca="1">IFERROR(__xludf.dummyfunction("QUERY(PIRACANJUBA!C5:C6)"),"7057817")</f>
        <v>7057817</v>
      </c>
      <c r="D688" s="9" t="str">
        <f ca="1">IFERROR(__xludf.dummyfunction("QUERY(PIRACANJUBA!D5:D6)"),"71097861104")</f>
        <v>71097861104</v>
      </c>
      <c r="E688" s="9" t="str">
        <f ca="1">IFERROR(__xludf.dummyfunction("QUERY(PIRACANJUBA!E5:E6)"),"SANTOSALINEDIAS@GMAIL.COM")</f>
        <v>SANTOSALINEDIAS@GMAIL.COM</v>
      </c>
      <c r="F688" s="9" t="str">
        <f ca="1">IFERROR(__xludf.dummyfunction("QUERY(PIRACANJUBA!F5:F6)"),"(64) 34056545")</f>
        <v>(64) 34056545</v>
      </c>
      <c r="G688" s="9" t="str">
        <f ca="1">IFERROR(__xludf.dummyfunction("QUERY(PIRACANJUBA!G5:G6)"),"(64) 993239226")</f>
        <v>(64) 993239226</v>
      </c>
      <c r="H688" s="9" t="str">
        <f ca="1">IFERROR(__xludf.dummyfunction("QUERY(PIRACANJUBA!H5:H6)"),"SUPERIOR")</f>
        <v>SUPERIOR</v>
      </c>
      <c r="I688" s="10" t="str">
        <f ca="1">IFERROR(__xludf.dummyfunction("QUERY(PIRACANJUBA!I5:I6)"),"DIREITO")</f>
        <v>DIREITO</v>
      </c>
      <c r="J688" s="10" t="str">
        <f ca="1">IFERROR(__xludf.dummyfunction("QUERY(PIRACANJUBA!J5:J6)"),"NOITE")</f>
        <v>NOITE</v>
      </c>
      <c r="K688" s="10" t="str">
        <f ca="1">IFERROR(__xludf.dummyfunction("QUERY(PIRACANJUBA!K5:K6)"),"TARDE")</f>
        <v>TARDE</v>
      </c>
      <c r="L688" s="10" t="str">
        <f ca="1">IFERROR(__xludf.dummyfunction("QUERY(PIRACANJUBA!L5:L6)"),"PIRACANJUBA - GO")</f>
        <v>PIRACANJUBA - GO</v>
      </c>
      <c r="M688" s="10">
        <f ca="1">IFERROR(__xludf.dummyfunction("QUERY(PIRACANJUBA!M5:M6)"),6)</f>
        <v>6</v>
      </c>
      <c r="N688" s="10" t="str">
        <f ca="1">IFERROR(__xludf.dummyfunction("QUERY(PIRACANJUBA!N5:N6)"),"REMANEJADO")</f>
        <v>REMANEJADO</v>
      </c>
      <c r="O688" s="9" t="str">
        <f ca="1">IFERROR(__xludf.dummyfunction("QUERY(PIRACANJUBA!O5:O6)"),"16/11 - 14:23")</f>
        <v>16/11 - 14:23</v>
      </c>
      <c r="P688" s="9" t="str">
        <f ca="1">IFERROR(__xludf.dummyfunction("QUERY(PIRACANJUBA!P5:P6)"),"DESISTIU DA VAGA")</f>
        <v>DESISTIU DA VAGA</v>
      </c>
      <c r="Q688" s="9" t="str">
        <f ca="1">IFERROR(__xludf.dummyfunction("QUERY(PIRACANJUBA!Q5:Q6)"),"")</f>
        <v/>
      </c>
      <c r="R688" s="9" t="str">
        <f ca="1">IFERROR(__xludf.dummyfunction("QUERY(PIRACANJUBA!R5:R6)"),"")</f>
        <v/>
      </c>
    </row>
    <row r="689" spans="1:18">
      <c r="A689" s="10">
        <f ca="1">IFERROR(__xludf.dummyfunction("""COMPUTED_VALUE"""),2)</f>
        <v>2</v>
      </c>
      <c r="B689" s="11" t="str">
        <f ca="1">IFERROR(__xludf.dummyfunction("""COMPUTED_VALUE"""),"VINÍCIUS GONÇALVES BASTOS MELO")</f>
        <v>VINÍCIUS GONÇALVES BASTOS MELO</v>
      </c>
      <c r="C689" s="11"/>
      <c r="D689" s="11" t="str">
        <f ca="1">IFERROR(__xludf.dummyfunction("""COMPUTED_VALUE"""),"70964100150")</f>
        <v>70964100150</v>
      </c>
      <c r="E689" s="11" t="str">
        <f ca="1">IFERROR(__xludf.dummyfunction("""COMPUTED_VALUE"""),"VBASTOS58@GMAIL.COM")</f>
        <v>VBASTOS58@GMAIL.COM</v>
      </c>
      <c r="F689" s="11" t="str">
        <f ca="1">IFERROR(__xludf.dummyfunction("""COMPUTED_VALUE"""),"(64) 93336060")</f>
        <v>(64) 93336060</v>
      </c>
      <c r="G689" s="11" t="str">
        <f ca="1">IFERROR(__xludf.dummyfunction("""COMPUTED_VALUE"""),"(64) 92712882")</f>
        <v>(64) 92712882</v>
      </c>
      <c r="H689" s="11" t="str">
        <f ca="1">IFERROR(__xludf.dummyfunction("""COMPUTED_VALUE"""),"SUPERIOR")</f>
        <v>SUPERIOR</v>
      </c>
      <c r="I689" s="10" t="str">
        <f ca="1">IFERROR(__xludf.dummyfunction("""COMPUTED_VALUE"""),"DIREITO")</f>
        <v>DIREITO</v>
      </c>
      <c r="J689" s="10" t="str">
        <f ca="1">IFERROR(__xludf.dummyfunction("""COMPUTED_VALUE"""),"NOITE")</f>
        <v>NOITE</v>
      </c>
      <c r="K689" s="10" t="str">
        <f ca="1">IFERROR(__xludf.dummyfunction("""COMPUTED_VALUE"""),"TARDE")</f>
        <v>TARDE</v>
      </c>
      <c r="L689" s="10" t="str">
        <f ca="1">IFERROR(__xludf.dummyfunction("""COMPUTED_VALUE"""),"PIRACANJUBA - GO")</f>
        <v>PIRACANJUBA - GO</v>
      </c>
      <c r="M689" s="10">
        <f ca="1">IFERROR(__xludf.dummyfunction("""COMPUTED_VALUE"""),6)</f>
        <v>6</v>
      </c>
      <c r="N689" s="10" t="str">
        <f ca="1">IFERROR(__xludf.dummyfunction("""COMPUTED_VALUE"""),"CONTRATADO")</f>
        <v>CONTRATADO</v>
      </c>
      <c r="O689" s="11" t="str">
        <f ca="1">IFERROR(__xludf.dummyfunction("""COMPUTED_VALUE"""),"16/11 - 14:23")</f>
        <v>16/11 - 14:23</v>
      </c>
      <c r="P689" s="11"/>
      <c r="Q689" s="11"/>
      <c r="R689" s="11"/>
    </row>
  </sheetData>
  <printOptions horizontalCentered="1" gridLines="1"/>
  <pageMargins left="0.7" right="0.7" top="0.75" bottom="0.75" header="0.511811023622047" footer="0.511811023622047"/>
  <pageSetup paperSize="9" fitToHeight="0" pageOrder="overThenDown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7" zoomScaleNormal="100" workbookViewId="0">
      <selection activeCell="B25" sqref="B25"/>
    </sheetView>
  </sheetViews>
  <sheetFormatPr defaultColWidth="14.42578125" defaultRowHeight="15"/>
  <cols>
    <col min="2" max="2" width="39.5703125" bestFit="1" customWidth="1"/>
    <col min="3" max="3" width="11.7109375" bestFit="1" customWidth="1"/>
    <col min="4" max="4" width="18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47" t="s">
        <v>6691</v>
      </c>
    </row>
    <row r="5" spans="1:5">
      <c r="A5" s="28">
        <v>1</v>
      </c>
      <c r="B5" s="29" t="s">
        <v>108</v>
      </c>
      <c r="C5" s="30" t="s">
        <v>64</v>
      </c>
      <c r="D5" s="30" t="s">
        <v>121</v>
      </c>
      <c r="E5" s="21" t="s">
        <v>69</v>
      </c>
    </row>
    <row r="6" spans="1:5">
      <c r="A6" s="28">
        <v>2</v>
      </c>
      <c r="B6" s="29" t="s">
        <v>123</v>
      </c>
      <c r="C6" s="30" t="s">
        <v>64</v>
      </c>
      <c r="D6" s="30" t="s">
        <v>121</v>
      </c>
      <c r="E6" s="21" t="s">
        <v>69</v>
      </c>
    </row>
    <row r="7" spans="1:5">
      <c r="A7" s="28">
        <v>3</v>
      </c>
      <c r="B7" s="29" t="s">
        <v>135</v>
      </c>
      <c r="C7" s="30" t="s">
        <v>64</v>
      </c>
      <c r="D7" s="30" t="s">
        <v>121</v>
      </c>
      <c r="E7" s="21" t="s">
        <v>69</v>
      </c>
    </row>
    <row r="8" spans="1:5">
      <c r="A8" s="28">
        <v>4</v>
      </c>
      <c r="B8" s="29" t="s">
        <v>145</v>
      </c>
      <c r="C8" s="30" t="s">
        <v>64</v>
      </c>
      <c r="D8" s="30" t="s">
        <v>121</v>
      </c>
      <c r="E8" s="21" t="s">
        <v>69</v>
      </c>
    </row>
    <row r="9" spans="1:5">
      <c r="A9" s="28">
        <v>5</v>
      </c>
      <c r="B9" s="29" t="s">
        <v>154</v>
      </c>
      <c r="C9" s="30" t="s">
        <v>64</v>
      </c>
      <c r="D9" s="30" t="s">
        <v>121</v>
      </c>
      <c r="E9" s="21" t="s">
        <v>69</v>
      </c>
    </row>
    <row r="10" spans="1:5">
      <c r="A10" s="28">
        <v>6</v>
      </c>
      <c r="B10" s="29" t="s">
        <v>162</v>
      </c>
      <c r="C10" s="30" t="s">
        <v>64</v>
      </c>
      <c r="D10" s="30" t="s">
        <v>121</v>
      </c>
      <c r="E10" s="21" t="s">
        <v>69</v>
      </c>
    </row>
    <row r="11" spans="1:5">
      <c r="A11" s="28">
        <v>7</v>
      </c>
      <c r="B11" s="29" t="s">
        <v>172</v>
      </c>
      <c r="C11" s="30" t="s">
        <v>64</v>
      </c>
      <c r="D11" s="30" t="s">
        <v>121</v>
      </c>
      <c r="E11" s="21" t="s">
        <v>69</v>
      </c>
    </row>
    <row r="12" spans="1:5">
      <c r="A12" s="28">
        <v>8</v>
      </c>
      <c r="B12" s="29" t="s">
        <v>180</v>
      </c>
      <c r="C12" s="30" t="s">
        <v>64</v>
      </c>
      <c r="D12" s="30" t="s">
        <v>121</v>
      </c>
      <c r="E12" s="21" t="s">
        <v>69</v>
      </c>
    </row>
    <row r="13" spans="1:5">
      <c r="A13" s="28">
        <v>9</v>
      </c>
      <c r="B13" s="29" t="s">
        <v>188</v>
      </c>
      <c r="C13" s="30" t="s">
        <v>64</v>
      </c>
      <c r="D13" s="30" t="s">
        <v>121</v>
      </c>
      <c r="E13" s="21" t="s">
        <v>69</v>
      </c>
    </row>
    <row r="14" spans="1:5">
      <c r="A14" s="28">
        <v>1</v>
      </c>
      <c r="B14" s="29" t="s">
        <v>197</v>
      </c>
      <c r="C14" s="30" t="s">
        <v>204</v>
      </c>
      <c r="D14" s="30" t="s">
        <v>121</v>
      </c>
      <c r="E14" s="21" t="s">
        <v>69</v>
      </c>
    </row>
    <row r="15" spans="1:5">
      <c r="A15" s="28">
        <v>2</v>
      </c>
      <c r="B15" s="29" t="s">
        <v>205</v>
      </c>
      <c r="C15" s="30" t="s">
        <v>204</v>
      </c>
      <c r="D15" s="30" t="s">
        <v>121</v>
      </c>
      <c r="E15" s="21" t="s">
        <v>69</v>
      </c>
    </row>
    <row r="16" spans="1:5" ht="15.75" customHeight="1">
      <c r="A16" s="28">
        <v>3</v>
      </c>
      <c r="B16" s="29" t="s">
        <v>211</v>
      </c>
      <c r="C16" s="30" t="s">
        <v>204</v>
      </c>
      <c r="D16" s="30" t="s">
        <v>121</v>
      </c>
      <c r="E16" s="21" t="s">
        <v>69</v>
      </c>
    </row>
    <row r="17" spans="1:5" ht="15.75" customHeight="1">
      <c r="A17" s="28">
        <v>4</v>
      </c>
      <c r="B17" s="29" t="s">
        <v>220</v>
      </c>
      <c r="C17" s="30" t="s">
        <v>204</v>
      </c>
      <c r="D17" s="30" t="s">
        <v>121</v>
      </c>
      <c r="E17" s="21" t="s">
        <v>69</v>
      </c>
    </row>
  </sheetData>
  <mergeCells count="1">
    <mergeCell ref="A1:E3"/>
  </mergeCells>
  <conditionalFormatting sqref="A1:E17">
    <cfRule type="expression" dxfId="1623" priority="825">
      <formula>$E$5:$E$20001="CONTRATADO"</formula>
    </cfRule>
  </conditionalFormatting>
  <conditionalFormatting sqref="A1:E17">
    <cfRule type="expression" dxfId="1622" priority="827">
      <formula>$E$5:$E$20001="DESCLASSIFICADO"</formula>
    </cfRule>
  </conditionalFormatting>
  <conditionalFormatting sqref="A1:E17">
    <cfRule type="expression" dxfId="1621" priority="829">
      <formula>$E$5:$E$20001="REMANEJADO"</formula>
    </cfRule>
  </conditionalFormatting>
  <conditionalFormatting sqref="A1:E17">
    <cfRule type="expression" dxfId="1620" priority="831">
      <formula>$E$5:$E$20001="1ª CONVOCAÇÃO"</formula>
    </cfRule>
  </conditionalFormatting>
  <conditionalFormatting sqref="A1:E17">
    <cfRule type="expression" dxfId="1619" priority="833">
      <formula>$E$5:$E$20001="2ª CONVOCAÇÃO"</formula>
    </cfRule>
  </conditionalFormatting>
  <conditionalFormatting sqref="A1:E17">
    <cfRule type="expression" dxfId="1618" priority="835">
      <formula>$E$5:$E$20001="NÃO ATENDE/AGUARDANDO RETORNO"</formula>
    </cfRule>
  </conditionalFormatting>
  <conditionalFormatting sqref="A1:E17">
    <cfRule type="expression" dxfId="1617" priority="851">
      <formula>$E$5:$E$20806="REMANEJADO"</formula>
    </cfRule>
  </conditionalFormatting>
  <conditionalFormatting sqref="A1:E17">
    <cfRule type="expression" dxfId="1616" priority="855">
      <formula>$E$5:$E$20806="2ª CONVOCAÇÃO"</formula>
    </cfRule>
  </conditionalFormatting>
  <conditionalFormatting sqref="A1:E17">
    <cfRule type="expression" dxfId="1615" priority="857">
      <formula>$E$5:$E$20806="NÃO ATENDE/AGUARDANDO RETORNO"</formula>
    </cfRule>
  </conditionalFormatting>
  <conditionalFormatting sqref="A1:E17">
    <cfRule type="expression" dxfId="1614" priority="859">
      <formula>$E$6:$E$20806="CONTRATADO"</formula>
    </cfRule>
  </conditionalFormatting>
  <conditionalFormatting sqref="A1:E17">
    <cfRule type="expression" dxfId="1613" priority="861">
      <formula>$E5="NÃO ATENDE/AGUARDANDO RETORNO"</formula>
    </cfRule>
  </conditionalFormatting>
  <conditionalFormatting sqref="A1:E17">
    <cfRule type="expression" dxfId="1612" priority="954">
      <formula>$Z$6:$Z$20806="REMANEJADO"</formula>
    </cfRule>
  </conditionalFormatting>
  <conditionalFormatting sqref="A1:E17">
    <cfRule type="expression" dxfId="1611" priority="956">
      <formula>$Z$6:$Z$20001="DESCLASSIFICADO"</formula>
    </cfRule>
  </conditionalFormatting>
  <conditionalFormatting sqref="A1:E17">
    <cfRule type="expression" dxfId="1610" priority="958">
      <formula>$Z$6:$Z$20001="REMANEJADO"</formula>
    </cfRule>
  </conditionalFormatting>
  <conditionalFormatting sqref="A1:E17">
    <cfRule type="expression" dxfId="1609" priority="960">
      <formula>$Z$6:$Z$20001="1ª CONVOCAÇÃO"</formula>
    </cfRule>
  </conditionalFormatting>
  <conditionalFormatting sqref="A1:E17">
    <cfRule type="expression" dxfId="1608" priority="962">
      <formula>$Z$6:$Z$20001="2ª CONVOCAÇÃO"</formula>
    </cfRule>
  </conditionalFormatting>
  <conditionalFormatting sqref="A1:E17">
    <cfRule type="expression" dxfId="1607" priority="964">
      <formula>$Z$6:$Z$20001="NÃO ATENDE/AGUARDANDO RETORNO"</formula>
    </cfRule>
  </conditionalFormatting>
  <conditionalFormatting sqref="A1:E17">
    <cfRule type="expression" dxfId="1606" priority="966">
      <formula>$Z$6:$Z$20806="CONTRATADO"</formula>
    </cfRule>
  </conditionalFormatting>
  <conditionalFormatting sqref="A1:E17">
    <cfRule type="expression" dxfId="1605" priority="968">
      <formula>$Z$6:$Z$20806="DESCLASSIFICADO"</formula>
    </cfRule>
  </conditionalFormatting>
  <conditionalFormatting sqref="A1:E17">
    <cfRule type="expression" dxfId="1604" priority="970">
      <formula>$Z$6:$Z$20806="1ª CONVOCAÇÃO"</formula>
    </cfRule>
  </conditionalFormatting>
  <dataValidations count="1">
    <dataValidation type="list" allowBlank="1" showErrorMessage="1" sqref="E5:E17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B20" sqref="B20"/>
    </sheetView>
  </sheetViews>
  <sheetFormatPr defaultColWidth="14.42578125" defaultRowHeight="15"/>
  <cols>
    <col min="1" max="1" width="16" style="6" customWidth="1"/>
    <col min="2" max="2" width="41.42578125" bestFit="1" customWidth="1"/>
    <col min="3" max="3" width="29.28515625" style="6" customWidth="1"/>
    <col min="4" max="4" width="27" style="6" bestFit="1" customWidth="1"/>
    <col min="5" max="5" width="2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653</v>
      </c>
      <c r="C5" s="30" t="s">
        <v>266</v>
      </c>
      <c r="D5" s="30" t="s">
        <v>662</v>
      </c>
      <c r="E5" s="21" t="s">
        <v>69</v>
      </c>
    </row>
    <row r="6" spans="1:5" ht="15.75" customHeight="1">
      <c r="A6" s="45">
        <v>1</v>
      </c>
      <c r="B6" s="46" t="s">
        <v>663</v>
      </c>
      <c r="C6" s="45" t="s">
        <v>64</v>
      </c>
      <c r="D6" s="45" t="s">
        <v>662</v>
      </c>
      <c r="E6" s="21" t="s">
        <v>7</v>
      </c>
    </row>
    <row r="7" spans="1:5" ht="15.75" customHeight="1">
      <c r="A7" s="45">
        <v>2</v>
      </c>
      <c r="B7" s="46" t="s">
        <v>673</v>
      </c>
      <c r="C7" s="45" t="s">
        <v>64</v>
      </c>
      <c r="D7" s="45" t="s">
        <v>662</v>
      </c>
      <c r="E7" s="21" t="s">
        <v>325</v>
      </c>
    </row>
    <row r="8" spans="1:5" ht="15.75" customHeight="1">
      <c r="A8" s="45">
        <v>3</v>
      </c>
      <c r="B8" s="46" t="s">
        <v>682</v>
      </c>
      <c r="C8" s="45" t="s">
        <v>64</v>
      </c>
      <c r="D8" s="45" t="s">
        <v>662</v>
      </c>
      <c r="E8" s="21" t="s">
        <v>325</v>
      </c>
    </row>
    <row r="9" spans="1:5" ht="15.75" customHeight="1">
      <c r="A9" s="45">
        <v>4</v>
      </c>
      <c r="B9" s="46" t="s">
        <v>690</v>
      </c>
      <c r="C9" s="45" t="s">
        <v>64</v>
      </c>
      <c r="D9" s="45" t="s">
        <v>662</v>
      </c>
      <c r="E9" s="21" t="s">
        <v>325</v>
      </c>
    </row>
    <row r="10" spans="1:5" ht="15.75" customHeight="1">
      <c r="A10" s="45">
        <v>5</v>
      </c>
      <c r="B10" s="46" t="s">
        <v>699</v>
      </c>
      <c r="C10" s="45" t="s">
        <v>64</v>
      </c>
      <c r="D10" s="45" t="s">
        <v>662</v>
      </c>
      <c r="E10" s="21" t="s">
        <v>325</v>
      </c>
    </row>
    <row r="11" spans="1:5" ht="15.75" customHeight="1">
      <c r="A11" s="45">
        <v>6</v>
      </c>
      <c r="B11" s="46" t="s">
        <v>709</v>
      </c>
      <c r="C11" s="45" t="s">
        <v>64</v>
      </c>
      <c r="D11" s="45" t="s">
        <v>662</v>
      </c>
      <c r="E11" s="21" t="s">
        <v>325</v>
      </c>
    </row>
    <row r="12" spans="1:5" ht="15.75" customHeight="1">
      <c r="A12" s="45">
        <v>7</v>
      </c>
      <c r="B12" s="46" t="s">
        <v>717</v>
      </c>
      <c r="C12" s="45" t="s">
        <v>64</v>
      </c>
      <c r="D12" s="45" t="s">
        <v>662</v>
      </c>
      <c r="E12" s="21" t="s">
        <v>325</v>
      </c>
    </row>
    <row r="13" spans="1:5" ht="15.75" customHeight="1">
      <c r="A13" s="45">
        <v>8</v>
      </c>
      <c r="B13" s="46" t="s">
        <v>724</v>
      </c>
      <c r="C13" s="45" t="s">
        <v>64</v>
      </c>
      <c r="D13" s="45" t="s">
        <v>662</v>
      </c>
      <c r="E13" s="21" t="s">
        <v>7</v>
      </c>
    </row>
    <row r="14" spans="1:5" ht="15.75" customHeight="1">
      <c r="A14" s="45">
        <v>9</v>
      </c>
      <c r="B14" s="46" t="s">
        <v>733</v>
      </c>
      <c r="C14" s="45" t="s">
        <v>64</v>
      </c>
      <c r="D14" s="45" t="s">
        <v>662</v>
      </c>
      <c r="E14" s="21" t="s">
        <v>325</v>
      </c>
    </row>
    <row r="15" spans="1:5" ht="15.75" customHeight="1">
      <c r="A15" s="45">
        <v>10</v>
      </c>
      <c r="B15" s="46" t="s">
        <v>743</v>
      </c>
      <c r="C15" s="45" t="s">
        <v>64</v>
      </c>
      <c r="D15" s="45" t="s">
        <v>662</v>
      </c>
      <c r="E15" s="21" t="s">
        <v>325</v>
      </c>
    </row>
    <row r="16" spans="1:5" ht="15.75" customHeight="1">
      <c r="A16" s="45">
        <v>11</v>
      </c>
      <c r="B16" s="46" t="s">
        <v>751</v>
      </c>
      <c r="C16" s="45" t="s">
        <v>64</v>
      </c>
      <c r="D16" s="45" t="s">
        <v>662</v>
      </c>
      <c r="E16" s="21" t="s">
        <v>7</v>
      </c>
    </row>
    <row r="17" spans="1:5" ht="15.75" customHeight="1">
      <c r="A17" s="45">
        <v>12</v>
      </c>
      <c r="B17" s="46" t="s">
        <v>759</v>
      </c>
      <c r="C17" s="45" t="s">
        <v>64</v>
      </c>
      <c r="D17" s="45" t="s">
        <v>662</v>
      </c>
      <c r="E17" s="21" t="s">
        <v>325</v>
      </c>
    </row>
    <row r="18" spans="1:5" ht="15.75" customHeight="1">
      <c r="A18" s="28">
        <v>1</v>
      </c>
      <c r="B18" s="29" t="s">
        <v>766</v>
      </c>
      <c r="C18" s="30" t="s">
        <v>204</v>
      </c>
      <c r="D18" s="30" t="s">
        <v>662</v>
      </c>
      <c r="E18" s="21" t="s">
        <v>69</v>
      </c>
    </row>
    <row r="19" spans="1:5" ht="15.75" customHeight="1">
      <c r="A19" s="28">
        <v>2</v>
      </c>
      <c r="B19" s="29" t="s">
        <v>776</v>
      </c>
      <c r="C19" s="30" t="s">
        <v>204</v>
      </c>
      <c r="D19" s="30" t="s">
        <v>662</v>
      </c>
      <c r="E19" s="21" t="s">
        <v>69</v>
      </c>
    </row>
    <row r="20" spans="1:5" ht="15.75" customHeight="1">
      <c r="A20" s="28">
        <v>3</v>
      </c>
      <c r="B20" s="29" t="s">
        <v>784</v>
      </c>
      <c r="C20" s="30" t="s">
        <v>204</v>
      </c>
      <c r="D20" s="30" t="s">
        <v>662</v>
      </c>
      <c r="E20" s="21" t="s">
        <v>69</v>
      </c>
    </row>
  </sheetData>
  <mergeCells count="1">
    <mergeCell ref="A1:E3"/>
  </mergeCells>
  <conditionalFormatting sqref="A1:D5 E1:E20 A18:D20">
    <cfRule type="expression" dxfId="1603" priority="2">
      <formula>$Z$6:$Z$20806="REMANEJADO"</formula>
    </cfRule>
  </conditionalFormatting>
  <conditionalFormatting sqref="A1:D5 A18:D20 E1:E20">
    <cfRule type="expression" dxfId="1602" priority="3">
      <formula>$E$5:$E$20001="CONTRATADO"</formula>
    </cfRule>
  </conditionalFormatting>
  <conditionalFormatting sqref="A1:D5 A18:D20 E1:E20">
    <cfRule type="expression" dxfId="1601" priority="4">
      <formula>$E$5:$E$20001="DESCLASSIFICADO"</formula>
    </cfRule>
  </conditionalFormatting>
  <conditionalFormatting sqref="A1:D5 A18:D20 E1:E20">
    <cfRule type="expression" dxfId="1600" priority="5">
      <formula>$E$5:$E$20001="REMANEJADO"</formula>
    </cfRule>
  </conditionalFormatting>
  <conditionalFormatting sqref="A1:D5 A18:D20 E1:E20">
    <cfRule type="expression" dxfId="1599" priority="6">
      <formula>$E$5:$E$20001="1ª CONVOCAÇÃO"</formula>
    </cfRule>
  </conditionalFormatting>
  <conditionalFormatting sqref="A1:D5 A18:D20 E1:E20">
    <cfRule type="expression" dxfId="1598" priority="7">
      <formula>$E$5:$E$20001="2ª CONVOCAÇÃO"</formula>
    </cfRule>
  </conditionalFormatting>
  <conditionalFormatting sqref="A1:D5 A18:D20 E1:E20">
    <cfRule type="expression" dxfId="1597" priority="8">
      <formula>$E$5:$E$20001="NÃO ATENDE/AGUARDANDO RETORNO"</formula>
    </cfRule>
  </conditionalFormatting>
  <conditionalFormatting sqref="A1:D5 E1:E20 A18:D20">
    <cfRule type="expression" dxfId="1596" priority="10">
      <formula>$Z$6:$Z$20001="DESCLASSIFICADO"</formula>
    </cfRule>
  </conditionalFormatting>
  <conditionalFormatting sqref="A1:D5 E1:E20 A18:D20">
    <cfRule type="expression" dxfId="1595" priority="11">
      <formula>$Z$6:$Z$20001="REMANEJADO"</formula>
    </cfRule>
  </conditionalFormatting>
  <conditionalFormatting sqref="A1:D5 E1:E20 A18:D20">
    <cfRule type="expression" dxfId="1594" priority="12">
      <formula>$Z$6:$Z$20001="1ª CONVOCAÇÃO"</formula>
    </cfRule>
  </conditionalFormatting>
  <conditionalFormatting sqref="A1:D5 E1:E20 A18:D20">
    <cfRule type="expression" dxfId="1593" priority="13">
      <formula>$Z$6:$Z$20001="2ª CONVOCAÇÃO"</formula>
    </cfRule>
  </conditionalFormatting>
  <conditionalFormatting sqref="A1:D5 E1:E20 A18:D20">
    <cfRule type="expression" dxfId="1592" priority="14">
      <formula>$Z$6:$Z$20001="NÃO ATENDE/AGUARDANDO RETORNO"</formula>
    </cfRule>
  </conditionalFormatting>
  <conditionalFormatting sqref="A1:D5 E1:E20 A18:D20">
    <cfRule type="expression" dxfId="1591" priority="15">
      <formula>$Z$6:$Z$20806="CONTRATADO"</formula>
    </cfRule>
  </conditionalFormatting>
  <conditionalFormatting sqref="A1:D5 E1:E20 A18:D20">
    <cfRule type="expression" dxfId="1590" priority="16">
      <formula>$Z$6:$Z$20806="DESCLASSIFICADO"</formula>
    </cfRule>
  </conditionalFormatting>
  <conditionalFormatting sqref="A1:D5 A18:D20 E1:E20">
    <cfRule type="expression" dxfId="1589" priority="17">
      <formula>$E$5:$E$20806="REMANEJADO"</formula>
    </cfRule>
  </conditionalFormatting>
  <conditionalFormatting sqref="A1:D5 E1:E20 A18:D20">
    <cfRule type="expression" dxfId="1588" priority="18">
      <formula>$Z$6:$Z$20806="1ª CONVOCAÇÃO"</formula>
    </cfRule>
  </conditionalFormatting>
  <conditionalFormatting sqref="A1:D5 A18:D20 E1:E20">
    <cfRule type="expression" dxfId="1587" priority="19">
      <formula>$E$5:$E$20806="2ª CONVOCAÇÃO"</formula>
    </cfRule>
  </conditionalFormatting>
  <conditionalFormatting sqref="A1:D5 A18:D20 E1:E20">
    <cfRule type="expression" dxfId="1586" priority="20">
      <formula>$E$5:$E$20806="NÃO ATENDE/AGUARDANDO RETORNO"</formula>
    </cfRule>
  </conditionalFormatting>
  <conditionalFormatting sqref="A1:D5 A18:D20 E1:E20">
    <cfRule type="expression" dxfId="1585" priority="21">
      <formula>$E$6:$E$20806="CONTRATADO"</formula>
    </cfRule>
  </conditionalFormatting>
  <dataValidations count="1">
    <dataValidation type="list" allowBlank="1" showErrorMessage="1" sqref="E5:E20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sqref="A1:E3"/>
    </sheetView>
  </sheetViews>
  <sheetFormatPr defaultColWidth="14.42578125" defaultRowHeight="15"/>
  <cols>
    <col min="2" max="2" width="37.5703125" bestFit="1" customWidth="1"/>
    <col min="3" max="3" width="12.140625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792</v>
      </c>
      <c r="C5" s="30" t="s">
        <v>64</v>
      </c>
      <c r="D5" s="30" t="s">
        <v>803</v>
      </c>
      <c r="E5" s="21" t="s">
        <v>69</v>
      </c>
    </row>
    <row r="6" spans="1:5" ht="15.75" customHeight="1">
      <c r="A6" s="28">
        <v>2</v>
      </c>
      <c r="B6" s="29" t="s">
        <v>804</v>
      </c>
      <c r="C6" s="30" t="s">
        <v>64</v>
      </c>
      <c r="D6" s="30" t="s">
        <v>803</v>
      </c>
      <c r="E6" s="21" t="s">
        <v>69</v>
      </c>
    </row>
    <row r="7" spans="1:5" ht="15.75" customHeight="1">
      <c r="A7" s="28">
        <v>3</v>
      </c>
      <c r="B7" s="29" t="s">
        <v>811</v>
      </c>
      <c r="C7" s="30" t="s">
        <v>64</v>
      </c>
      <c r="D7" s="30" t="s">
        <v>803</v>
      </c>
      <c r="E7" s="21" t="s">
        <v>69</v>
      </c>
    </row>
    <row r="8" spans="1:5" ht="15.75" customHeight="1">
      <c r="A8" s="28">
        <v>4</v>
      </c>
      <c r="B8" s="29" t="s">
        <v>817</v>
      </c>
      <c r="C8" s="30" t="s">
        <v>64</v>
      </c>
      <c r="D8" s="30" t="s">
        <v>803</v>
      </c>
      <c r="E8" s="21" t="s">
        <v>69</v>
      </c>
    </row>
    <row r="9" spans="1:5" ht="15.75" customHeight="1">
      <c r="A9" s="28">
        <v>5</v>
      </c>
      <c r="B9" s="29" t="s">
        <v>826</v>
      </c>
      <c r="C9" s="30" t="s">
        <v>64</v>
      </c>
      <c r="D9" s="30" t="s">
        <v>803</v>
      </c>
      <c r="E9" s="21" t="s">
        <v>69</v>
      </c>
    </row>
    <row r="10" spans="1:5" ht="15.75" customHeight="1">
      <c r="A10" s="28">
        <v>6</v>
      </c>
      <c r="B10" s="29" t="s">
        <v>832</v>
      </c>
      <c r="C10" s="30" t="s">
        <v>64</v>
      </c>
      <c r="D10" s="30" t="s">
        <v>803</v>
      </c>
      <c r="E10" s="21" t="s">
        <v>69</v>
      </c>
    </row>
    <row r="11" spans="1:5" ht="15.75" customHeight="1">
      <c r="A11" s="28">
        <v>7</v>
      </c>
      <c r="B11" s="29" t="s">
        <v>840</v>
      </c>
      <c r="C11" s="30" t="s">
        <v>64</v>
      </c>
      <c r="D11" s="30" t="s">
        <v>803</v>
      </c>
      <c r="E11" s="21" t="s">
        <v>69</v>
      </c>
    </row>
    <row r="12" spans="1:5" ht="15.75" customHeight="1">
      <c r="A12" s="28">
        <v>8</v>
      </c>
      <c r="B12" s="29" t="s">
        <v>848</v>
      </c>
      <c r="C12" s="30" t="s">
        <v>64</v>
      </c>
      <c r="D12" s="30" t="s">
        <v>803</v>
      </c>
      <c r="E12" s="21" t="s">
        <v>69</v>
      </c>
    </row>
    <row r="13" spans="1:5" ht="15.75" customHeight="1">
      <c r="A13" s="28">
        <v>9</v>
      </c>
      <c r="B13" s="29" t="s">
        <v>854</v>
      </c>
      <c r="C13" s="30" t="s">
        <v>64</v>
      </c>
      <c r="D13" s="30" t="s">
        <v>803</v>
      </c>
      <c r="E13" s="21" t="s">
        <v>69</v>
      </c>
    </row>
    <row r="14" spans="1:5" ht="15.75" customHeight="1">
      <c r="A14" s="28">
        <v>10</v>
      </c>
      <c r="B14" s="29" t="s">
        <v>862</v>
      </c>
      <c r="C14" s="30" t="s">
        <v>64</v>
      </c>
      <c r="D14" s="30" t="s">
        <v>803</v>
      </c>
      <c r="E14" s="21" t="s">
        <v>69</v>
      </c>
    </row>
    <row r="15" spans="1:5" ht="15.75" customHeight="1">
      <c r="A15" s="28">
        <v>11</v>
      </c>
      <c r="B15" s="29" t="s">
        <v>868</v>
      </c>
      <c r="C15" s="30" t="s">
        <v>64</v>
      </c>
      <c r="D15" s="30" t="s">
        <v>803</v>
      </c>
      <c r="E15" s="21" t="s">
        <v>69</v>
      </c>
    </row>
  </sheetData>
  <mergeCells count="1">
    <mergeCell ref="A1:E3"/>
  </mergeCells>
  <conditionalFormatting sqref="A1:E15">
    <cfRule type="expression" dxfId="1584" priority="1979">
      <formula>$E$5:$E$20001="CONTRATADO"</formula>
    </cfRule>
  </conditionalFormatting>
  <conditionalFormatting sqref="A1:E15">
    <cfRule type="expression" dxfId="1583" priority="1981">
      <formula>$E$5:$E$20001="DESCLASSIFICADO"</formula>
    </cfRule>
  </conditionalFormatting>
  <conditionalFormatting sqref="A1:E15">
    <cfRule type="expression" dxfId="1582" priority="1983">
      <formula>$E$5:$E$20001="REMANEJADO"</formula>
    </cfRule>
  </conditionalFormatting>
  <conditionalFormatting sqref="A1:E15">
    <cfRule type="expression" dxfId="1581" priority="1985">
      <formula>$E$5:$E$20001="1ª CONVOCAÇÃO"</formula>
    </cfRule>
  </conditionalFormatting>
  <conditionalFormatting sqref="A1:E15">
    <cfRule type="expression" dxfId="1580" priority="1987">
      <formula>$E$5:$E$20001="2ª CONVOCAÇÃO"</formula>
    </cfRule>
  </conditionalFormatting>
  <conditionalFormatting sqref="A1:E15">
    <cfRule type="expression" dxfId="1579" priority="1989">
      <formula>$E$5:$E$20001="NÃO ATENDE/AGUARDANDO RETORNO"</formula>
    </cfRule>
  </conditionalFormatting>
  <conditionalFormatting sqref="A1:E15">
    <cfRule type="expression" dxfId="1578" priority="2005">
      <formula>$E$5:$E$20806="REMANEJADO"</formula>
    </cfRule>
  </conditionalFormatting>
  <conditionalFormatting sqref="A1:E15">
    <cfRule type="expression" dxfId="1577" priority="2009">
      <formula>$E$5:$E$20806="2ª CONVOCAÇÃO"</formula>
    </cfRule>
  </conditionalFormatting>
  <conditionalFormatting sqref="A1:E15">
    <cfRule type="expression" dxfId="1576" priority="2011">
      <formula>$E$5:$E$20806="NÃO ATENDE/AGUARDANDO RETORNO"</formula>
    </cfRule>
  </conditionalFormatting>
  <conditionalFormatting sqref="A1:E15">
    <cfRule type="expression" dxfId="1575" priority="2013">
      <formula>$E$6:$E$20806="CONTRATADO"</formula>
    </cfRule>
  </conditionalFormatting>
  <conditionalFormatting sqref="A1:E15">
    <cfRule type="expression" dxfId="1574" priority="2102">
      <formula>$Z$6:$Z$20806="REMANEJADO"</formula>
    </cfRule>
  </conditionalFormatting>
  <conditionalFormatting sqref="A1:E15">
    <cfRule type="expression" dxfId="1573" priority="2104">
      <formula>$Z$6:$Z$20001="DESCLASSIFICADO"</formula>
    </cfRule>
  </conditionalFormatting>
  <conditionalFormatting sqref="A1:E15">
    <cfRule type="expression" dxfId="1572" priority="2106">
      <formula>$Z$6:$Z$20001="REMANEJADO"</formula>
    </cfRule>
  </conditionalFormatting>
  <conditionalFormatting sqref="A1:E15">
    <cfRule type="expression" dxfId="1571" priority="2108">
      <formula>$Z$6:$Z$20001="1ª CONVOCAÇÃO"</formula>
    </cfRule>
  </conditionalFormatting>
  <conditionalFormatting sqref="A1:E15">
    <cfRule type="expression" dxfId="1570" priority="2110">
      <formula>$Z$6:$Z$20001="2ª CONVOCAÇÃO"</formula>
    </cfRule>
  </conditionalFormatting>
  <conditionalFormatting sqref="A1:E15">
    <cfRule type="expression" dxfId="1569" priority="2112">
      <formula>$Z$6:$Z$20001="NÃO ATENDE/AGUARDANDO RETORNO"</formula>
    </cfRule>
  </conditionalFormatting>
  <conditionalFormatting sqref="A1:E15">
    <cfRule type="expression" dxfId="1568" priority="2114">
      <formula>$Z$6:$Z$20806="CONTRATADO"</formula>
    </cfRule>
  </conditionalFormatting>
  <conditionalFormatting sqref="A1:E15">
    <cfRule type="expression" dxfId="1567" priority="2116">
      <formula>$Z$6:$Z$20806="DESCLASSIFICADO"</formula>
    </cfRule>
  </conditionalFormatting>
  <conditionalFormatting sqref="A1:E15">
    <cfRule type="expression" dxfId="1566" priority="2118">
      <formula>$Z$6:$Z$20806="1ª CONVOCAÇÃO"</formula>
    </cfRule>
  </conditionalFormatting>
  <dataValidations count="1">
    <dataValidation type="list" allowBlank="1" showErrorMessage="1" sqref="E5:E1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5"/>
  <sheetViews>
    <sheetView zoomScaleNormal="100" workbookViewId="0">
      <selection sqref="A1:E3"/>
    </sheetView>
  </sheetViews>
  <sheetFormatPr defaultColWidth="14.42578125" defaultRowHeight="15"/>
  <cols>
    <col min="1" max="1" width="14.42578125" style="6"/>
    <col min="2" max="2" width="25.28515625" bestFit="1" customWidth="1"/>
    <col min="3" max="3" width="8" style="6" bestFit="1" customWidth="1"/>
    <col min="4" max="4" width="21.28515625" style="6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3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46" t="s">
        <v>877</v>
      </c>
      <c r="C5" s="45" t="s">
        <v>64</v>
      </c>
      <c r="D5" s="45" t="s">
        <v>886</v>
      </c>
      <c r="E5" s="21" t="s">
        <v>325</v>
      </c>
    </row>
  </sheetData>
  <mergeCells count="1">
    <mergeCell ref="A1:E3"/>
  </mergeCells>
  <conditionalFormatting sqref="E5 A1:E4">
    <cfRule type="expression" dxfId="1565" priority="2146">
      <formula>$E$5:$E$20001="CONTRATADO"</formula>
    </cfRule>
  </conditionalFormatting>
  <conditionalFormatting sqref="E5 A1:E4">
    <cfRule type="expression" dxfId="1564" priority="2149">
      <formula>$E$5:$E$20001="DESCLASSIFICADO"</formula>
    </cfRule>
  </conditionalFormatting>
  <conditionalFormatting sqref="E5 A1:E4">
    <cfRule type="expression" dxfId="1563" priority="2152">
      <formula>$E$5:$E$20001="REMANEJADO"</formula>
    </cfRule>
  </conditionalFormatting>
  <conditionalFormatting sqref="E5 A1:E4">
    <cfRule type="expression" dxfId="1562" priority="2155">
      <formula>$E$5:$E$20001="1ª CONVOCAÇÃO"</formula>
    </cfRule>
  </conditionalFormatting>
  <conditionalFormatting sqref="E5 A1:E4">
    <cfRule type="expression" dxfId="1561" priority="2158">
      <formula>$E$5:$E$20001="2ª CONVOCAÇÃO"</formula>
    </cfRule>
  </conditionalFormatting>
  <conditionalFormatting sqref="E5 A1:E4">
    <cfRule type="expression" dxfId="1560" priority="2161">
      <formula>$E$5:$E$20001="NÃO ATENDE/AGUARDANDO RETORNO"</formula>
    </cfRule>
  </conditionalFormatting>
  <conditionalFormatting sqref="E5 A1:E4">
    <cfRule type="expression" dxfId="1559" priority="2164">
      <formula>$E$5:$E$20806="REMANEJADO"</formula>
    </cfRule>
  </conditionalFormatting>
  <conditionalFormatting sqref="E5 A1:E4">
    <cfRule type="expression" dxfId="1558" priority="2167">
      <formula>$E$5:$E$20806="2ª CONVOCAÇÃO"</formula>
    </cfRule>
  </conditionalFormatting>
  <conditionalFormatting sqref="E5 A1:E4">
    <cfRule type="expression" dxfId="1557" priority="2170">
      <formula>$E$5:$E$20806="NÃO ATENDE/AGUARDANDO RETORNO"</formula>
    </cfRule>
  </conditionalFormatting>
  <conditionalFormatting sqref="E5 A1:E4">
    <cfRule type="expression" dxfId="1556" priority="2173">
      <formula>$E$6:$E$20806="CONTRATADO"</formula>
    </cfRule>
  </conditionalFormatting>
  <conditionalFormatting sqref="E5 A1:E4">
    <cfRule type="expression" dxfId="1555" priority="2271">
      <formula>$Z$6:$Z$20806="REMANEJADO"</formula>
    </cfRule>
  </conditionalFormatting>
  <conditionalFormatting sqref="E5 A1:E4">
    <cfRule type="expression" dxfId="1554" priority="2275">
      <formula>$Z$6:$Z$20001="DESCLASSIFICADO"</formula>
    </cfRule>
  </conditionalFormatting>
  <conditionalFormatting sqref="E5 A1:E4">
    <cfRule type="expression" dxfId="1553" priority="2279">
      <formula>$Z$6:$Z$20001="REMANEJADO"</formula>
    </cfRule>
  </conditionalFormatting>
  <conditionalFormatting sqref="E5 A1:E4">
    <cfRule type="expression" dxfId="1552" priority="2283">
      <formula>$Z$6:$Z$20001="1ª CONVOCAÇÃO"</formula>
    </cfRule>
  </conditionalFormatting>
  <conditionalFormatting sqref="E5 A1:E4">
    <cfRule type="expression" dxfId="1551" priority="2287">
      <formula>$Z$6:$Z$20001="2ª CONVOCAÇÃO"</formula>
    </cfRule>
  </conditionalFormatting>
  <conditionalFormatting sqref="E5 A1:E4">
    <cfRule type="expression" dxfId="1550" priority="2291">
      <formula>$Z$6:$Z$20001="NÃO ATENDE/AGUARDANDO RETORNO"</formula>
    </cfRule>
  </conditionalFormatting>
  <conditionalFormatting sqref="E5 A1:E4">
    <cfRule type="expression" dxfId="1549" priority="2295">
      <formula>$Z$6:$Z$20806="CONTRATADO"</formula>
    </cfRule>
  </conditionalFormatting>
  <conditionalFormatting sqref="E5 A1:E4">
    <cfRule type="expression" dxfId="1548" priority="2299">
      <formula>$Z$6:$Z$20806="DESCLASSIFICADO"</formula>
    </cfRule>
  </conditionalFormatting>
  <conditionalFormatting sqref="E5 A1:E4">
    <cfRule type="expression" dxfId="1547" priority="2303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1" max="1" width="14.42578125" style="6"/>
    <col min="2" max="2" width="38.28515625" bestFit="1" customWidth="1"/>
    <col min="3" max="3" width="8" style="6" bestFit="1" customWidth="1"/>
    <col min="4" max="4" width="15.140625" style="6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0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46" t="s">
        <v>887</v>
      </c>
      <c r="C5" s="45" t="s">
        <v>64</v>
      </c>
      <c r="D5" s="45" t="s">
        <v>897</v>
      </c>
      <c r="E5" s="21" t="s">
        <v>325</v>
      </c>
    </row>
  </sheetData>
  <mergeCells count="1">
    <mergeCell ref="A1:E3"/>
  </mergeCells>
  <conditionalFormatting sqref="A1:D4 E1:E5">
    <cfRule type="expression" dxfId="1546" priority="2307">
      <formula>$E$5:$E$20001="CONTRATADO"</formula>
    </cfRule>
  </conditionalFormatting>
  <conditionalFormatting sqref="E5 A1:E4">
    <cfRule type="expression" dxfId="1545" priority="2310">
      <formula>$E$5:$E$20001="DESCLASSIFICADO"</formula>
    </cfRule>
  </conditionalFormatting>
  <conditionalFormatting sqref="E5 A1:E4">
    <cfRule type="expression" dxfId="1544" priority="2313">
      <formula>$E$5:$E$20001="REMANEJADO"</formula>
    </cfRule>
  </conditionalFormatting>
  <conditionalFormatting sqref="E5 A1:E4">
    <cfRule type="expression" dxfId="1543" priority="2316">
      <formula>$E$5:$E$20001="1ª CONVOCAÇÃO"</formula>
    </cfRule>
  </conditionalFormatting>
  <conditionalFormatting sqref="E5 A1:E4">
    <cfRule type="expression" dxfId="1542" priority="2319">
      <formula>$E$5:$E$20001="2ª CONVOCAÇÃO"</formula>
    </cfRule>
  </conditionalFormatting>
  <conditionalFormatting sqref="E5 A1:E4">
    <cfRule type="expression" dxfId="1541" priority="2322">
      <formula>$E$5:$E$20001="NÃO ATENDE/AGUARDANDO RETORNO"</formula>
    </cfRule>
  </conditionalFormatting>
  <conditionalFormatting sqref="E5 A1:E4">
    <cfRule type="expression" dxfId="1540" priority="2347">
      <formula>$E$5:$E$20806="REMANEJADO"</formula>
    </cfRule>
  </conditionalFormatting>
  <conditionalFormatting sqref="E5 A1:E4">
    <cfRule type="expression" dxfId="1539" priority="2353">
      <formula>$E$5:$E$20806="2ª CONVOCAÇÃO"</formula>
    </cfRule>
  </conditionalFormatting>
  <conditionalFormatting sqref="E5 A1:E4">
    <cfRule type="expression" dxfId="1538" priority="2356">
      <formula>$E$5:$E$20806="NÃO ATENDE/AGUARDANDO RETORNO"</formula>
    </cfRule>
  </conditionalFormatting>
  <conditionalFormatting sqref="E5 A1:E4">
    <cfRule type="expression" dxfId="1537" priority="2359">
      <formula>$E$6:$E$20806="CONTRATADO"</formula>
    </cfRule>
  </conditionalFormatting>
  <conditionalFormatting sqref="E5 A1:E4">
    <cfRule type="expression" dxfId="1536" priority="2528">
      <formula>$Z$6:$Z$20806="REMANEJADO"</formula>
    </cfRule>
  </conditionalFormatting>
  <conditionalFormatting sqref="E5 A1:E4">
    <cfRule type="expression" dxfId="1535" priority="2532">
      <formula>$Z$6:$Z$20001="DESCLASSIFICADO"</formula>
    </cfRule>
  </conditionalFormatting>
  <conditionalFormatting sqref="E5 A1:E4">
    <cfRule type="expression" dxfId="1534" priority="2536">
      <formula>$Z$6:$Z$20001="REMANEJADO"</formula>
    </cfRule>
  </conditionalFormatting>
  <conditionalFormatting sqref="E5 A1:E4">
    <cfRule type="expression" dxfId="1533" priority="2540">
      <formula>$Z$6:$Z$20001="1ª CONVOCAÇÃO"</formula>
    </cfRule>
  </conditionalFormatting>
  <conditionalFormatting sqref="E5 A1:E4">
    <cfRule type="expression" dxfId="1532" priority="2544">
      <formula>$Z$6:$Z$20001="2ª CONVOCAÇÃO"</formula>
    </cfRule>
  </conditionalFormatting>
  <conditionalFormatting sqref="E5 A1:E4">
    <cfRule type="expression" dxfId="1531" priority="2548">
      <formula>$Z$6:$Z$20001="NÃO ATENDE/AGUARDANDO RETORNO"</formula>
    </cfRule>
  </conditionalFormatting>
  <conditionalFormatting sqref="E5 A1:E4">
    <cfRule type="expression" dxfId="1530" priority="2552">
      <formula>$Z$6:$Z$20806="CONTRATADO"</formula>
    </cfRule>
  </conditionalFormatting>
  <conditionalFormatting sqref="E5 A1:E4">
    <cfRule type="expression" dxfId="1529" priority="2556">
      <formula>$Z$6:$Z$20806="DESCLASSIFICADO"</formula>
    </cfRule>
  </conditionalFormatting>
  <conditionalFormatting sqref="E5 A1:E4">
    <cfRule type="expression" dxfId="1528" priority="2560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E10" sqref="E10"/>
    </sheetView>
  </sheetViews>
  <sheetFormatPr defaultColWidth="14.42578125" defaultRowHeight="15"/>
  <cols>
    <col min="1" max="1" width="13.42578125" style="6" bestFit="1" customWidth="1"/>
    <col min="2" max="2" width="23.85546875" bestFit="1" customWidth="1"/>
    <col min="3" max="3" width="8" style="6" bestFit="1" customWidth="1"/>
    <col min="4" max="4" width="21" style="6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28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46" t="s">
        <v>898</v>
      </c>
      <c r="C5" s="45" t="s">
        <v>64</v>
      </c>
      <c r="D5" s="45" t="s">
        <v>906</v>
      </c>
      <c r="E5" s="21" t="s">
        <v>325</v>
      </c>
    </row>
  </sheetData>
  <mergeCells count="1">
    <mergeCell ref="A1:E3"/>
  </mergeCells>
  <conditionalFormatting sqref="A1:D4 E1:E5">
    <cfRule type="expression" dxfId="1527" priority="2564">
      <formula>$E$5:$E$20001="CONTRATADO"</formula>
    </cfRule>
  </conditionalFormatting>
  <conditionalFormatting sqref="E5 A1:E4">
    <cfRule type="expression" dxfId="1526" priority="2567">
      <formula>$E$5:$E$20001="DESCLASSIFICADO"</formula>
    </cfRule>
  </conditionalFormatting>
  <conditionalFormatting sqref="E5 A1:E4">
    <cfRule type="expression" dxfId="1525" priority="2570">
      <formula>$E$5:$E$20001="REMANEJADO"</formula>
    </cfRule>
  </conditionalFormatting>
  <conditionalFormatting sqref="E5 A1:E4">
    <cfRule type="expression" dxfId="1524" priority="2573">
      <formula>$E$5:$E$20001="1ª CONVOCAÇÃO"</formula>
    </cfRule>
  </conditionalFormatting>
  <conditionalFormatting sqref="E5 A1:E4">
    <cfRule type="expression" dxfId="1523" priority="2576">
      <formula>$E$5:$E$20001="2ª CONVOCAÇÃO"</formula>
    </cfRule>
  </conditionalFormatting>
  <conditionalFormatting sqref="E5 A1:E4">
    <cfRule type="expression" dxfId="1522" priority="2579">
      <formula>$E$5:$E$20001="NÃO ATENDE/AGUARDANDO RETORNO"</formula>
    </cfRule>
  </conditionalFormatting>
  <conditionalFormatting sqref="E5 A1:E4">
    <cfRule type="expression" dxfId="1521" priority="2604">
      <formula>$E$5:$E$20806="REMANEJADO"</formula>
    </cfRule>
  </conditionalFormatting>
  <conditionalFormatting sqref="E5 A1:E4">
    <cfRule type="expression" dxfId="1520" priority="2610">
      <formula>$E$5:$E$20806="2ª CONVOCAÇÃO"</formula>
    </cfRule>
  </conditionalFormatting>
  <conditionalFormatting sqref="E5 A1:E4">
    <cfRule type="expression" dxfId="1519" priority="2613">
      <formula>$E$5:$E$20806="NÃO ATENDE/AGUARDANDO RETORNO"</formula>
    </cfRule>
  </conditionalFormatting>
  <conditionalFormatting sqref="E5 A1:E4">
    <cfRule type="expression" dxfId="1518" priority="2616">
      <formula>$E$6:$E$20806="CONTRATADO"</formula>
    </cfRule>
  </conditionalFormatting>
  <conditionalFormatting sqref="E5 A1:E4">
    <cfRule type="expression" dxfId="1517" priority="2785">
      <formula>$Z$6:$Z$20806="REMANEJADO"</formula>
    </cfRule>
  </conditionalFormatting>
  <conditionalFormatting sqref="E5 A1:E4">
    <cfRule type="expression" dxfId="1516" priority="2789">
      <formula>$Z$6:$Z$20001="DESCLASSIFICADO"</formula>
    </cfRule>
  </conditionalFormatting>
  <conditionalFormatting sqref="E5 A1:E4">
    <cfRule type="expression" dxfId="1515" priority="2793">
      <formula>$Z$6:$Z$20001="REMANEJADO"</formula>
    </cfRule>
  </conditionalFormatting>
  <conditionalFormatting sqref="E5 A1:E4">
    <cfRule type="expression" dxfId="1514" priority="2797">
      <formula>$Z$6:$Z$20001="1ª CONVOCAÇÃO"</formula>
    </cfRule>
  </conditionalFormatting>
  <conditionalFormatting sqref="E5 A1:E4">
    <cfRule type="expression" dxfId="1513" priority="2801">
      <formula>$Z$6:$Z$20001="2ª CONVOCAÇÃO"</formula>
    </cfRule>
  </conditionalFormatting>
  <conditionalFormatting sqref="E5 A1:E4">
    <cfRule type="expression" dxfId="1512" priority="2805">
      <formula>$Z$6:$Z$20001="NÃO ATENDE/AGUARDANDO RETORNO"</formula>
    </cfRule>
  </conditionalFormatting>
  <conditionalFormatting sqref="E5 A1:E4">
    <cfRule type="expression" dxfId="1511" priority="2809">
      <formula>$Z$6:$Z$20806="CONTRATADO"</formula>
    </cfRule>
  </conditionalFormatting>
  <conditionalFormatting sqref="E5 A1:E4">
    <cfRule type="expression" dxfId="1510" priority="2813">
      <formula>$Z$6:$Z$20806="DESCLASSIFICADO"</formula>
    </cfRule>
  </conditionalFormatting>
  <conditionalFormatting sqref="E5 A1:E4">
    <cfRule type="expression" dxfId="1509" priority="2817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sqref="A1:E3"/>
    </sheetView>
  </sheetViews>
  <sheetFormatPr defaultColWidth="14.42578125" defaultRowHeight="15"/>
  <cols>
    <col min="2" max="2" width="37.140625" style="48" bestFit="1" customWidth="1"/>
    <col min="3" max="3" width="19.5703125" customWidth="1"/>
    <col min="4" max="4" width="19.28515625" bestFit="1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50" t="s">
        <v>907</v>
      </c>
      <c r="C5" s="30" t="s">
        <v>80</v>
      </c>
      <c r="D5" s="30" t="s">
        <v>917</v>
      </c>
      <c r="E5" s="21" t="s">
        <v>69</v>
      </c>
    </row>
    <row r="6" spans="1:5" ht="15.75" customHeight="1">
      <c r="A6" s="45">
        <v>1</v>
      </c>
      <c r="B6" s="51" t="s">
        <v>918</v>
      </c>
      <c r="C6" s="45" t="s">
        <v>64</v>
      </c>
      <c r="D6" s="45" t="s">
        <v>917</v>
      </c>
      <c r="E6" s="21" t="s">
        <v>325</v>
      </c>
    </row>
    <row r="7" spans="1:5" ht="15.75" customHeight="1">
      <c r="A7" s="45">
        <v>2</v>
      </c>
      <c r="B7" s="51" t="s">
        <v>926</v>
      </c>
      <c r="C7" s="45" t="s">
        <v>64</v>
      </c>
      <c r="D7" s="45" t="s">
        <v>917</v>
      </c>
      <c r="E7" s="21" t="s">
        <v>325</v>
      </c>
    </row>
    <row r="8" spans="1:5" ht="15.75" customHeight="1">
      <c r="A8" s="45">
        <v>3</v>
      </c>
      <c r="B8" s="51" t="s">
        <v>935</v>
      </c>
      <c r="C8" s="45" t="s">
        <v>64</v>
      </c>
      <c r="D8" s="45" t="s">
        <v>917</v>
      </c>
      <c r="E8" s="21" t="s">
        <v>6687</v>
      </c>
    </row>
    <row r="9" spans="1:5" ht="15.75" customHeight="1">
      <c r="A9" s="45">
        <v>4</v>
      </c>
      <c r="B9" s="51" t="s">
        <v>944</v>
      </c>
      <c r="C9" s="45" t="s">
        <v>64</v>
      </c>
      <c r="D9" s="45" t="s">
        <v>917</v>
      </c>
      <c r="E9" s="21" t="s">
        <v>6687</v>
      </c>
    </row>
    <row r="10" spans="1:5" ht="15.75" customHeight="1">
      <c r="A10" s="45">
        <v>5</v>
      </c>
      <c r="B10" s="51" t="s">
        <v>953</v>
      </c>
      <c r="C10" s="45" t="s">
        <v>64</v>
      </c>
      <c r="D10" s="45" t="s">
        <v>917</v>
      </c>
      <c r="E10" s="21" t="s">
        <v>325</v>
      </c>
    </row>
    <row r="11" spans="1:5" ht="15.75" customHeight="1">
      <c r="A11" s="45">
        <v>6</v>
      </c>
      <c r="B11" s="51" t="s">
        <v>962</v>
      </c>
      <c r="C11" s="45" t="s">
        <v>64</v>
      </c>
      <c r="D11" s="45" t="s">
        <v>917</v>
      </c>
      <c r="E11" s="21" t="s">
        <v>325</v>
      </c>
    </row>
    <row r="12" spans="1:5" ht="15.75" customHeight="1">
      <c r="A12" s="45">
        <v>7</v>
      </c>
      <c r="B12" s="51" t="s">
        <v>971</v>
      </c>
      <c r="C12" s="45" t="s">
        <v>64</v>
      </c>
      <c r="D12" s="45" t="s">
        <v>917</v>
      </c>
      <c r="E12" s="21" t="s">
        <v>6687</v>
      </c>
    </row>
    <row r="13" spans="1:5" ht="15.75" customHeight="1">
      <c r="A13" s="45">
        <v>8</v>
      </c>
      <c r="B13" s="51" t="s">
        <v>981</v>
      </c>
      <c r="C13" s="45" t="s">
        <v>64</v>
      </c>
      <c r="D13" s="45" t="s">
        <v>917</v>
      </c>
      <c r="E13" s="21" t="s">
        <v>325</v>
      </c>
    </row>
    <row r="14" spans="1:5" ht="15.75" customHeight="1">
      <c r="A14" s="45">
        <v>1</v>
      </c>
      <c r="B14" s="51" t="s">
        <v>988</v>
      </c>
      <c r="C14" s="45" t="s">
        <v>204</v>
      </c>
      <c r="D14" s="45" t="s">
        <v>917</v>
      </c>
      <c r="E14" s="21" t="s">
        <v>69</v>
      </c>
    </row>
    <row r="15" spans="1:5" ht="15.75" customHeight="1">
      <c r="A15" s="45">
        <v>1</v>
      </c>
      <c r="B15" s="51" t="s">
        <v>997</v>
      </c>
      <c r="C15" s="45" t="s">
        <v>1005</v>
      </c>
      <c r="D15" s="45" t="s">
        <v>917</v>
      </c>
      <c r="E15" s="21" t="s">
        <v>69</v>
      </c>
    </row>
  </sheetData>
  <mergeCells count="1">
    <mergeCell ref="A1:E3"/>
  </mergeCells>
  <conditionalFormatting sqref="A1:D5 E1:E15">
    <cfRule type="expression" dxfId="1508" priority="2821">
      <formula>$E$5:$E$20001="CONTRATADO"</formula>
    </cfRule>
  </conditionalFormatting>
  <conditionalFormatting sqref="E6:E15 A1:E5">
    <cfRule type="expression" dxfId="1507" priority="2824">
      <formula>$E$5:$E$20001="DESCLASSIFICADO"</formula>
    </cfRule>
  </conditionalFormatting>
  <conditionalFormatting sqref="E6:E15 A1:E5">
    <cfRule type="expression" dxfId="1506" priority="2827">
      <formula>$E$5:$E$20001="REMANEJADO"</formula>
    </cfRule>
  </conditionalFormatting>
  <conditionalFormatting sqref="E6:E15 A1:E5">
    <cfRule type="expression" dxfId="1505" priority="2830">
      <formula>$E$5:$E$20001="1ª CONVOCAÇÃO"</formula>
    </cfRule>
  </conditionalFormatting>
  <conditionalFormatting sqref="E6:E15 A1:E5">
    <cfRule type="expression" dxfId="1504" priority="2833">
      <formula>$E$5:$E$20001="2ª CONVOCAÇÃO"</formula>
    </cfRule>
  </conditionalFormatting>
  <conditionalFormatting sqref="E6:E15 A1:E5">
    <cfRule type="expression" dxfId="1503" priority="2836">
      <formula>$E$5:$E$20001="NÃO ATENDE/AGUARDANDO RETORNO"</formula>
    </cfRule>
  </conditionalFormatting>
  <conditionalFormatting sqref="E6:E15 A1:E5">
    <cfRule type="expression" dxfId="1502" priority="2861">
      <formula>$E$5:$E$20806="REMANEJADO"</formula>
    </cfRule>
  </conditionalFormatting>
  <conditionalFormatting sqref="E6:E15 A1:E5">
    <cfRule type="expression" dxfId="1501" priority="2867">
      <formula>$E$5:$E$20806="2ª CONVOCAÇÃO"</formula>
    </cfRule>
  </conditionalFormatting>
  <conditionalFormatting sqref="E6:E15 A1:E5">
    <cfRule type="expression" dxfId="1500" priority="2870">
      <formula>$E$5:$E$20806="NÃO ATENDE/AGUARDANDO RETORNO"</formula>
    </cfRule>
  </conditionalFormatting>
  <conditionalFormatting sqref="E6:E15 A1:E5">
    <cfRule type="expression" dxfId="1499" priority="2873">
      <formula>$E$6:$E$20806="CONTRATADO"</formula>
    </cfRule>
  </conditionalFormatting>
  <conditionalFormatting sqref="E6:E15 A1:E5">
    <cfRule type="expression" dxfId="1498" priority="3042">
      <formula>$Z$6:$Z$20806="REMANEJADO"</formula>
    </cfRule>
  </conditionalFormatting>
  <conditionalFormatting sqref="E6:E15 A1:E5">
    <cfRule type="expression" dxfId="1497" priority="3046">
      <formula>$Z$6:$Z$20001="DESCLASSIFICADO"</formula>
    </cfRule>
  </conditionalFormatting>
  <conditionalFormatting sqref="E6:E15 A1:E5">
    <cfRule type="expression" dxfId="1496" priority="3050">
      <formula>$Z$6:$Z$20001="REMANEJADO"</formula>
    </cfRule>
  </conditionalFormatting>
  <conditionalFormatting sqref="E6:E15 A1:E5">
    <cfRule type="expression" dxfId="1495" priority="3054">
      <formula>$Z$6:$Z$20001="1ª CONVOCAÇÃO"</formula>
    </cfRule>
  </conditionalFormatting>
  <conditionalFormatting sqref="E6:E15 A1:E5">
    <cfRule type="expression" dxfId="1494" priority="3058">
      <formula>$Z$6:$Z$20001="2ª CONVOCAÇÃO"</formula>
    </cfRule>
  </conditionalFormatting>
  <conditionalFormatting sqref="E6:E15 A1:E5">
    <cfRule type="expression" dxfId="1493" priority="3062">
      <formula>$Z$6:$Z$20001="NÃO ATENDE/AGUARDANDO RETORNO"</formula>
    </cfRule>
  </conditionalFormatting>
  <conditionalFormatting sqref="E6:E15 A1:E5">
    <cfRule type="expression" dxfId="1492" priority="3066">
      <formula>$Z$6:$Z$20806="CONTRATADO"</formula>
    </cfRule>
  </conditionalFormatting>
  <conditionalFormatting sqref="E6:E15 A1:E5">
    <cfRule type="expression" dxfId="1491" priority="3070">
      <formula>$Z$6:$Z$20806="DESCLASSIFICADO"</formula>
    </cfRule>
  </conditionalFormatting>
  <conditionalFormatting sqref="E6:E15 A1:E5">
    <cfRule type="expression" dxfId="1490" priority="3074">
      <formula>$Z$6:$Z$20806="1ª CONVOCAÇÃO"</formula>
    </cfRule>
  </conditionalFormatting>
  <dataValidations count="1">
    <dataValidation type="list" allowBlank="1" showErrorMessage="1" sqref="E5:E1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C11" sqref="C11"/>
    </sheetView>
  </sheetViews>
  <sheetFormatPr defaultColWidth="14.42578125" defaultRowHeight="15"/>
  <cols>
    <col min="2" max="2" width="30.140625" style="48" bestFit="1" customWidth="1"/>
    <col min="3" max="3" width="8" bestFit="1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1006</v>
      </c>
      <c r="C5" s="45" t="s">
        <v>64</v>
      </c>
      <c r="D5" s="45" t="s">
        <v>1014</v>
      </c>
      <c r="E5" s="21" t="s">
        <v>5198</v>
      </c>
    </row>
    <row r="6" spans="1:5" ht="15.75" customHeight="1">
      <c r="A6" s="45">
        <v>2</v>
      </c>
      <c r="B6" s="51" t="s">
        <v>1015</v>
      </c>
      <c r="C6" s="45" t="s">
        <v>64</v>
      </c>
      <c r="D6" s="45" t="s">
        <v>1014</v>
      </c>
      <c r="E6" s="21" t="s">
        <v>325</v>
      </c>
    </row>
    <row r="7" spans="1:5" ht="15.75" customHeight="1">
      <c r="A7" s="45">
        <v>3</v>
      </c>
      <c r="B7" s="51" t="s">
        <v>1024</v>
      </c>
      <c r="C7" s="45" t="s">
        <v>64</v>
      </c>
      <c r="D7" s="45" t="s">
        <v>1014</v>
      </c>
      <c r="E7" s="21" t="s">
        <v>325</v>
      </c>
    </row>
    <row r="8" spans="1:5" ht="15.75" customHeight="1">
      <c r="A8" s="45">
        <v>4</v>
      </c>
      <c r="B8" s="51" t="s">
        <v>1030</v>
      </c>
      <c r="C8" s="45" t="s">
        <v>64</v>
      </c>
      <c r="D8" s="45" t="s">
        <v>1014</v>
      </c>
      <c r="E8" s="21" t="s">
        <v>69</v>
      </c>
    </row>
  </sheetData>
  <mergeCells count="1">
    <mergeCell ref="A1:E3"/>
  </mergeCells>
  <conditionalFormatting sqref="A1:D4 E1:E8">
    <cfRule type="expression" dxfId="1489" priority="3078">
      <formula>$E$5:$E$20001="CONTRATADO"</formula>
    </cfRule>
  </conditionalFormatting>
  <conditionalFormatting sqref="E5:E8 A1:E4">
    <cfRule type="expression" dxfId="1488" priority="3081">
      <formula>$E$5:$E$20001="DESCLASSIFICADO"</formula>
    </cfRule>
  </conditionalFormatting>
  <conditionalFormatting sqref="E5:E8 A1:E4">
    <cfRule type="expression" dxfId="1487" priority="3084">
      <formula>$E$5:$E$20001="REMANEJADO"</formula>
    </cfRule>
  </conditionalFormatting>
  <conditionalFormatting sqref="E5:E8 A1:E4">
    <cfRule type="expression" dxfId="1486" priority="3087">
      <formula>$E$5:$E$20001="1ª CONVOCAÇÃO"</formula>
    </cfRule>
  </conditionalFormatting>
  <conditionalFormatting sqref="E5:E8 A1:E4">
    <cfRule type="expression" dxfId="1485" priority="3090">
      <formula>$E$5:$E$20001="2ª CONVOCAÇÃO"</formula>
    </cfRule>
  </conditionalFormatting>
  <conditionalFormatting sqref="E5:E8 A1:E4">
    <cfRule type="expression" dxfId="1484" priority="3093">
      <formula>$E$5:$E$20001="NÃO ATENDE/AGUARDANDO RETORNO"</formula>
    </cfRule>
  </conditionalFormatting>
  <conditionalFormatting sqref="E5:E8 A1:E4">
    <cfRule type="expression" dxfId="1483" priority="3118">
      <formula>$E$5:$E$20806="REMANEJADO"</formula>
    </cfRule>
  </conditionalFormatting>
  <conditionalFormatting sqref="E5:E8 A1:E4">
    <cfRule type="expression" dxfId="1482" priority="3124">
      <formula>$E$5:$E$20806="2ª CONVOCAÇÃO"</formula>
    </cfRule>
  </conditionalFormatting>
  <conditionalFormatting sqref="E5:E8 A1:E4">
    <cfRule type="expression" dxfId="1481" priority="3127">
      <formula>$E$5:$E$20806="NÃO ATENDE/AGUARDANDO RETORNO"</formula>
    </cfRule>
  </conditionalFormatting>
  <conditionalFormatting sqref="E5:E8 A1:E4">
    <cfRule type="expression" dxfId="1480" priority="3130">
      <formula>$E$6:$E$20806="CONTRATADO"</formula>
    </cfRule>
  </conditionalFormatting>
  <conditionalFormatting sqref="E5:E8 A1:E4">
    <cfRule type="expression" dxfId="1479" priority="3299">
      <formula>$Z$6:$Z$20806="REMANEJADO"</formula>
    </cfRule>
  </conditionalFormatting>
  <conditionalFormatting sqref="E5:E8 A1:E4">
    <cfRule type="expression" dxfId="1478" priority="3303">
      <formula>$Z$6:$Z$20001="DESCLASSIFICADO"</formula>
    </cfRule>
  </conditionalFormatting>
  <conditionalFormatting sqref="E5:E8 A1:E4">
    <cfRule type="expression" dxfId="1477" priority="3307">
      <formula>$Z$6:$Z$20001="REMANEJADO"</formula>
    </cfRule>
  </conditionalFormatting>
  <conditionalFormatting sqref="E5:E8 A1:E4">
    <cfRule type="expression" dxfId="1476" priority="3311">
      <formula>$Z$6:$Z$20001="1ª CONVOCAÇÃO"</formula>
    </cfRule>
  </conditionalFormatting>
  <conditionalFormatting sqref="E5:E8 A1:E4">
    <cfRule type="expression" dxfId="1475" priority="3315">
      <formula>$Z$6:$Z$20001="2ª CONVOCAÇÃO"</formula>
    </cfRule>
  </conditionalFormatting>
  <conditionalFormatting sqref="E5:E8 A1:E4">
    <cfRule type="expression" dxfId="1474" priority="3319">
      <formula>$Z$6:$Z$20001="NÃO ATENDE/AGUARDANDO RETORNO"</formula>
    </cfRule>
  </conditionalFormatting>
  <conditionalFormatting sqref="E5:E8 A1:E4">
    <cfRule type="expression" dxfId="1473" priority="3323">
      <formula>$Z$6:$Z$20806="CONTRATADO"</formula>
    </cfRule>
  </conditionalFormatting>
  <conditionalFormatting sqref="E5:E8 A1:E4">
    <cfRule type="expression" dxfId="1472" priority="3327">
      <formula>$Z$6:$Z$20806="DESCLASSIFICADO"</formula>
    </cfRule>
  </conditionalFormatting>
  <conditionalFormatting sqref="E5:E8 A1:E4">
    <cfRule type="expression" dxfId="1471" priority="3331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workbookViewId="0">
      <selection sqref="A1:E3"/>
    </sheetView>
  </sheetViews>
  <sheetFormatPr defaultColWidth="14.42578125" defaultRowHeight="15"/>
  <cols>
    <col min="2" max="2" width="28.7109375" customWidth="1"/>
    <col min="3" max="3" width="16.28515625" bestFit="1" customWidth="1"/>
    <col min="4" max="4" width="22.8554687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1036</v>
      </c>
      <c r="C5" s="30" t="s">
        <v>80</v>
      </c>
      <c r="D5" s="30" t="s">
        <v>1044</v>
      </c>
      <c r="E5" s="21" t="s">
        <v>69</v>
      </c>
    </row>
    <row r="6" spans="1:5" ht="15.75" customHeight="1">
      <c r="A6" s="28">
        <v>1</v>
      </c>
      <c r="B6" s="29" t="s">
        <v>1045</v>
      </c>
      <c r="C6" s="30" t="s">
        <v>64</v>
      </c>
      <c r="D6" s="30" t="s">
        <v>1044</v>
      </c>
      <c r="E6" s="21" t="s">
        <v>69</v>
      </c>
    </row>
    <row r="7" spans="1:5" ht="15.75" customHeight="1">
      <c r="A7" s="28">
        <v>2</v>
      </c>
      <c r="B7" s="29" t="s">
        <v>1052</v>
      </c>
      <c r="C7" s="30" t="s">
        <v>64</v>
      </c>
      <c r="D7" s="30" t="s">
        <v>1044</v>
      </c>
      <c r="E7" s="21" t="s">
        <v>69</v>
      </c>
    </row>
    <row r="8" spans="1:5" ht="15.75" customHeight="1">
      <c r="A8" s="28">
        <v>3</v>
      </c>
      <c r="B8" s="29" t="s">
        <v>1059</v>
      </c>
      <c r="C8" s="30" t="s">
        <v>64</v>
      </c>
      <c r="D8" s="30" t="s">
        <v>1044</v>
      </c>
      <c r="E8" s="21" t="s">
        <v>69</v>
      </c>
    </row>
    <row r="9" spans="1:5" ht="15.75" customHeight="1">
      <c r="A9" s="28">
        <v>4</v>
      </c>
      <c r="B9" s="29" t="s">
        <v>1068</v>
      </c>
      <c r="C9" s="30" t="s">
        <v>64</v>
      </c>
      <c r="D9" s="30" t="s">
        <v>1044</v>
      </c>
      <c r="E9" s="21" t="s">
        <v>69</v>
      </c>
    </row>
    <row r="10" spans="1:5" ht="15.75" customHeight="1">
      <c r="A10" s="28">
        <v>5</v>
      </c>
      <c r="B10" s="29" t="s">
        <v>1075</v>
      </c>
      <c r="C10" s="30" t="s">
        <v>64</v>
      </c>
      <c r="D10" s="30" t="s">
        <v>1044</v>
      </c>
      <c r="E10" s="21" t="s">
        <v>69</v>
      </c>
    </row>
    <row r="11" spans="1:5" ht="15.75" customHeight="1">
      <c r="A11" s="28">
        <v>6</v>
      </c>
      <c r="B11" s="29" t="s">
        <v>1084</v>
      </c>
      <c r="C11" s="30" t="s">
        <v>64</v>
      </c>
      <c r="D11" s="30" t="s">
        <v>1044</v>
      </c>
      <c r="E11" s="21" t="s">
        <v>69</v>
      </c>
    </row>
  </sheetData>
  <mergeCells count="1">
    <mergeCell ref="A1:E3"/>
  </mergeCells>
  <conditionalFormatting sqref="A1:E11">
    <cfRule type="expression" dxfId="1470" priority="3632">
      <formula>$E$5:$E$20001="CONTRATADO"</formula>
    </cfRule>
  </conditionalFormatting>
  <conditionalFormatting sqref="A1:E11">
    <cfRule type="expression" dxfId="1469" priority="3634">
      <formula>$E$5:$E$20001="DESCLASSIFICADO"</formula>
    </cfRule>
  </conditionalFormatting>
  <conditionalFormatting sqref="A1:E11">
    <cfRule type="expression" dxfId="1468" priority="3636">
      <formula>$E$5:$E$20001="REMANEJADO"</formula>
    </cfRule>
  </conditionalFormatting>
  <conditionalFormatting sqref="A1:E11">
    <cfRule type="expression" dxfId="1467" priority="3638">
      <formula>$E$5:$E$20001="1ª CONVOCAÇÃO"</formula>
    </cfRule>
  </conditionalFormatting>
  <conditionalFormatting sqref="A1:E11">
    <cfRule type="expression" dxfId="1466" priority="3640">
      <formula>$E$5:$E$20001="2ª CONVOCAÇÃO"</formula>
    </cfRule>
  </conditionalFormatting>
  <conditionalFormatting sqref="A1:E11">
    <cfRule type="expression" dxfId="1465" priority="3642">
      <formula>$E$5:$E$20001="NÃO ATENDE/AGUARDANDO RETORNO"</formula>
    </cfRule>
  </conditionalFormatting>
  <conditionalFormatting sqref="A1:E11">
    <cfRule type="expression" dxfId="1464" priority="3658">
      <formula>$E$5:$E$20806="REMANEJADO"</formula>
    </cfRule>
  </conditionalFormatting>
  <conditionalFormatting sqref="A1:E11">
    <cfRule type="expression" dxfId="1463" priority="3662">
      <formula>$E$5:$E$20806="2ª CONVOCAÇÃO"</formula>
    </cfRule>
  </conditionalFormatting>
  <conditionalFormatting sqref="A1:E11">
    <cfRule type="expression" dxfId="1462" priority="3664">
      <formula>$E$5:$E$20806="NÃO ATENDE/AGUARDANDO RETORNO"</formula>
    </cfRule>
  </conditionalFormatting>
  <conditionalFormatting sqref="A1:E11">
    <cfRule type="expression" dxfId="1461" priority="3666">
      <formula>$E$6:$E$20806="CONTRATADO"</formula>
    </cfRule>
  </conditionalFormatting>
  <conditionalFormatting sqref="A1:E11">
    <cfRule type="expression" dxfId="1460" priority="3755">
      <formula>$Z$6:$Z$20806="REMANEJADO"</formula>
    </cfRule>
  </conditionalFormatting>
  <conditionalFormatting sqref="A1:E11">
    <cfRule type="expression" dxfId="1459" priority="3757">
      <formula>$Z$6:$Z$20001="DESCLASSIFICADO"</formula>
    </cfRule>
  </conditionalFormatting>
  <conditionalFormatting sqref="A1:E11">
    <cfRule type="expression" dxfId="1458" priority="3759">
      <formula>$Z$6:$Z$20001="REMANEJADO"</formula>
    </cfRule>
  </conditionalFormatting>
  <conditionalFormatting sqref="A1:E11">
    <cfRule type="expression" dxfId="1457" priority="3761">
      <formula>$Z$6:$Z$20001="1ª CONVOCAÇÃO"</formula>
    </cfRule>
  </conditionalFormatting>
  <conditionalFormatting sqref="A1:E11">
    <cfRule type="expression" dxfId="1456" priority="3763">
      <formula>$Z$6:$Z$20001="2ª CONVOCAÇÃO"</formula>
    </cfRule>
  </conditionalFormatting>
  <conditionalFormatting sqref="A1:E11">
    <cfRule type="expression" dxfId="1455" priority="3765">
      <formula>$Z$6:$Z$20001="NÃO ATENDE/AGUARDANDO RETORNO"</formula>
    </cfRule>
  </conditionalFormatting>
  <conditionalFormatting sqref="A1:E11">
    <cfRule type="expression" dxfId="1454" priority="3767">
      <formula>$Z$6:$Z$20806="CONTRATADO"</formula>
    </cfRule>
  </conditionalFormatting>
  <conditionalFormatting sqref="A1:E11">
    <cfRule type="expression" dxfId="1453" priority="3769">
      <formula>$Z$6:$Z$20806="DESCLASSIFICADO"</formula>
    </cfRule>
  </conditionalFormatting>
  <conditionalFormatting sqref="A1:E11">
    <cfRule type="expression" dxfId="1452" priority="3771">
      <formula>$Z$6:$Z$20806="1ª CONVOCAÇÃO"</formula>
    </cfRule>
  </conditionalFormatting>
  <dataValidations count="1">
    <dataValidation type="list" allowBlank="1" showErrorMessage="1" sqref="E5:E11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workbookViewId="0">
      <selection sqref="A1:E3"/>
    </sheetView>
  </sheetViews>
  <sheetFormatPr defaultColWidth="14.42578125" defaultRowHeight="15"/>
  <cols>
    <col min="2" max="2" width="35.5703125" style="48" bestFit="1" customWidth="1"/>
    <col min="3" max="3" width="11" customWidth="1"/>
    <col min="4" max="4" width="18.42578125" bestFit="1" customWidth="1"/>
    <col min="5" max="5" width="19.570312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1092</v>
      </c>
      <c r="C5" s="45" t="s">
        <v>64</v>
      </c>
      <c r="D5" s="45" t="s">
        <v>1101</v>
      </c>
      <c r="E5" s="21" t="s">
        <v>325</v>
      </c>
    </row>
    <row r="6" spans="1:5" ht="15.75" customHeight="1">
      <c r="A6" s="45">
        <v>2</v>
      </c>
      <c r="B6" s="51" t="s">
        <v>1102</v>
      </c>
      <c r="C6" s="45" t="s">
        <v>64</v>
      </c>
      <c r="D6" s="45" t="s">
        <v>1101</v>
      </c>
      <c r="E6" s="21" t="s">
        <v>6687</v>
      </c>
    </row>
    <row r="7" spans="1:5" ht="15.75" customHeight="1">
      <c r="A7" s="45">
        <v>3</v>
      </c>
      <c r="B7" s="51" t="s">
        <v>1109</v>
      </c>
      <c r="C7" s="45" t="s">
        <v>64</v>
      </c>
      <c r="D7" s="45" t="s">
        <v>1101</v>
      </c>
      <c r="E7" s="21" t="s">
        <v>6687</v>
      </c>
    </row>
    <row r="8" spans="1:5" ht="15.75" customHeight="1">
      <c r="A8" s="45">
        <v>4</v>
      </c>
      <c r="B8" s="51" t="s">
        <v>1119</v>
      </c>
      <c r="C8" s="45" t="s">
        <v>64</v>
      </c>
      <c r="D8" s="45" t="s">
        <v>1101</v>
      </c>
      <c r="E8" s="21" t="s">
        <v>325</v>
      </c>
    </row>
    <row r="9" spans="1:5" ht="15.75" customHeight="1">
      <c r="A9" s="45">
        <v>5</v>
      </c>
      <c r="B9" s="51" t="s">
        <v>1128</v>
      </c>
      <c r="C9" s="45" t="s">
        <v>64</v>
      </c>
      <c r="D9" s="45" t="s">
        <v>1101</v>
      </c>
      <c r="E9" s="21" t="s">
        <v>325</v>
      </c>
    </row>
    <row r="10" spans="1:5" ht="15.75" customHeight="1">
      <c r="A10" s="45">
        <v>6</v>
      </c>
      <c r="B10" s="51" t="s">
        <v>1136</v>
      </c>
      <c r="C10" s="45" t="s">
        <v>64</v>
      </c>
      <c r="D10" s="45" t="s">
        <v>1101</v>
      </c>
      <c r="E10" s="21" t="s">
        <v>325</v>
      </c>
    </row>
    <row r="11" spans="1:5" ht="15.75" customHeight="1">
      <c r="A11" s="45">
        <v>7</v>
      </c>
      <c r="B11" s="51" t="s">
        <v>1145</v>
      </c>
      <c r="C11" s="45" t="s">
        <v>64</v>
      </c>
      <c r="D11" s="45" t="s">
        <v>1101</v>
      </c>
      <c r="E11" s="21" t="s">
        <v>6687</v>
      </c>
    </row>
  </sheetData>
  <mergeCells count="1">
    <mergeCell ref="A1:E3"/>
  </mergeCells>
  <conditionalFormatting sqref="A1:D4 E1:E11">
    <cfRule type="expression" dxfId="1451" priority="3775">
      <formula>$E$5:$E$20001="CONTRATADO"</formula>
    </cfRule>
  </conditionalFormatting>
  <conditionalFormatting sqref="E5:E11 A1:E4">
    <cfRule type="expression" dxfId="1450" priority="3778">
      <formula>$E$5:$E$20001="DESCLASSIFICADO"</formula>
    </cfRule>
  </conditionalFormatting>
  <conditionalFormatting sqref="E5:E11 A1:E4">
    <cfRule type="expression" dxfId="1449" priority="3781">
      <formula>$E$5:$E$20001="REMANEJADO"</formula>
    </cfRule>
  </conditionalFormatting>
  <conditionalFormatting sqref="E5:E11 A1:E4">
    <cfRule type="expression" dxfId="1448" priority="3784">
      <formula>$E$5:$E$20001="1ª CONVOCAÇÃO"</formula>
    </cfRule>
  </conditionalFormatting>
  <conditionalFormatting sqref="E5:E11 A1:E4">
    <cfRule type="expression" dxfId="1447" priority="3787">
      <formula>$E$5:$E$20001="2ª CONVOCAÇÃO"</formula>
    </cfRule>
  </conditionalFormatting>
  <conditionalFormatting sqref="E5:E11 A1:E4">
    <cfRule type="expression" dxfId="1446" priority="3790">
      <formula>$E$5:$E$20001="NÃO ATENDE/AGUARDANDO RETORNO"</formula>
    </cfRule>
  </conditionalFormatting>
  <conditionalFormatting sqref="E5:E11 A1:E4">
    <cfRule type="expression" dxfId="1445" priority="3815">
      <formula>$E$5:$E$20806="REMANEJADO"</formula>
    </cfRule>
  </conditionalFormatting>
  <conditionalFormatting sqref="E5:E11 A1:E4">
    <cfRule type="expression" dxfId="1444" priority="3821">
      <formula>$E$5:$E$20806="2ª CONVOCAÇÃO"</formula>
    </cfRule>
  </conditionalFormatting>
  <conditionalFormatting sqref="E5:E11 A1:E4">
    <cfRule type="expression" dxfId="1443" priority="3824">
      <formula>$E$5:$E$20806="NÃO ATENDE/AGUARDANDO RETORNO"</formula>
    </cfRule>
  </conditionalFormatting>
  <conditionalFormatting sqref="E5:E11 A1:E4">
    <cfRule type="expression" dxfId="1442" priority="3827">
      <formula>$E$6:$E$20806="CONTRATADO"</formula>
    </cfRule>
  </conditionalFormatting>
  <conditionalFormatting sqref="E5:E11 A1:E4">
    <cfRule type="expression" dxfId="1441" priority="3996">
      <formula>$Z$6:$Z$20806="REMANEJADO"</formula>
    </cfRule>
  </conditionalFormatting>
  <conditionalFormatting sqref="E5:E11 A1:E4">
    <cfRule type="expression" dxfId="1440" priority="4000">
      <formula>$Z$6:$Z$20001="DESCLASSIFICADO"</formula>
    </cfRule>
  </conditionalFormatting>
  <conditionalFormatting sqref="E5:E11 A1:E4">
    <cfRule type="expression" dxfId="1439" priority="4004">
      <formula>$Z$6:$Z$20001="REMANEJADO"</formula>
    </cfRule>
  </conditionalFormatting>
  <conditionalFormatting sqref="E5:E11 A1:E4">
    <cfRule type="expression" dxfId="1438" priority="4008">
      <formula>$Z$6:$Z$20001="1ª CONVOCAÇÃO"</formula>
    </cfRule>
  </conditionalFormatting>
  <conditionalFormatting sqref="E5:E11 A1:E4">
    <cfRule type="expression" dxfId="1437" priority="4012">
      <formula>$Z$6:$Z$20001="2ª CONVOCAÇÃO"</formula>
    </cfRule>
  </conditionalFormatting>
  <conditionalFormatting sqref="E5:E11 A1:E4">
    <cfRule type="expression" dxfId="1436" priority="4016">
      <formula>$Z$6:$Z$20001="NÃO ATENDE/AGUARDANDO RETORNO"</formula>
    </cfRule>
  </conditionalFormatting>
  <conditionalFormatting sqref="E5:E11 A1:E4">
    <cfRule type="expression" dxfId="1435" priority="4020">
      <formula>$Z$6:$Z$20806="CONTRATADO"</formula>
    </cfRule>
  </conditionalFormatting>
  <conditionalFormatting sqref="E5:E11 A1:E4">
    <cfRule type="expression" dxfId="1434" priority="4024">
      <formula>$Z$6:$Z$20806="DESCLASSIFICADO"</formula>
    </cfRule>
  </conditionalFormatting>
  <conditionalFormatting sqref="E5:E11 A1:E4">
    <cfRule type="expression" dxfId="1433" priority="4028">
      <formula>$Z$6:$Z$20806="1ª CONVOCAÇÃO"</formula>
    </cfRule>
  </conditionalFormatting>
  <dataValidations count="1">
    <dataValidation type="list" allowBlank="1" showErrorMessage="1" sqref="E5:E11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75"/>
  <sheetViews>
    <sheetView showGridLines="0" zoomScaleNormal="100" workbookViewId="0">
      <pane ySplit="6" topLeftCell="A7" activePane="bottomLeft" state="frozen"/>
      <selection pane="bottomLeft" activeCell="B8" sqref="B8"/>
    </sheetView>
  </sheetViews>
  <sheetFormatPr defaultColWidth="14.42578125" defaultRowHeight="15"/>
  <cols>
    <col min="1" max="1" width="15" customWidth="1"/>
    <col min="2" max="2" width="94.42578125" customWidth="1"/>
    <col min="3" max="3" width="14.140625" hidden="1" customWidth="1"/>
    <col min="4" max="4" width="12" hidden="1" customWidth="1"/>
    <col min="5" max="5" width="11.7109375" hidden="1" customWidth="1"/>
    <col min="6" max="6" width="19.28515625" hidden="1" customWidth="1"/>
    <col min="7" max="7" width="22.140625" hidden="1" customWidth="1"/>
    <col min="8" max="8" width="22.42578125" hidden="1" customWidth="1"/>
    <col min="9" max="9" width="13.7109375" hidden="1" customWidth="1"/>
    <col min="10" max="10" width="17.85546875" hidden="1" customWidth="1"/>
    <col min="11" max="11" width="9.140625" hidden="1" customWidth="1"/>
    <col min="12" max="12" width="13.42578125" hidden="1" customWidth="1"/>
    <col min="13" max="13" width="32" hidden="1" customWidth="1"/>
    <col min="14" max="14" width="97.28515625" hidden="1" customWidth="1"/>
    <col min="15" max="15" width="54.28515625" hidden="1" customWidth="1"/>
    <col min="16" max="16" width="49.7109375" hidden="1" customWidth="1"/>
    <col min="17" max="17" width="13.5703125" hidden="1" customWidth="1"/>
    <col min="18" max="18" width="14.5703125" hidden="1" customWidth="1"/>
    <col min="19" max="19" width="9.42578125" hidden="1" customWidth="1"/>
    <col min="20" max="20" width="31.7109375" hidden="1" customWidth="1"/>
    <col min="21" max="21" width="80.7109375" hidden="1" customWidth="1"/>
    <col min="22" max="22" width="21.140625" hidden="1" customWidth="1"/>
    <col min="23" max="23" width="30.85546875" customWidth="1"/>
    <col min="24" max="24" width="26.28515625" hidden="1" customWidth="1"/>
    <col min="25" max="25" width="29.5703125" hidden="1" customWidth="1"/>
    <col min="26" max="26" width="22.5703125" hidden="1" customWidth="1"/>
    <col min="27" max="27" width="19.140625" hidden="1" customWidth="1"/>
    <col min="28" max="28" width="22.42578125" hidden="1" customWidth="1"/>
    <col min="29" max="29" width="25.5703125" hidden="1" customWidth="1"/>
    <col min="30" max="30" width="21.140625" hidden="1" customWidth="1"/>
    <col min="31" max="31" width="14.28515625" hidden="1" customWidth="1"/>
    <col min="32" max="32" width="19.42578125" hidden="1" customWidth="1"/>
    <col min="33" max="33" width="35" customWidth="1"/>
    <col min="34" max="34" width="18.140625" hidden="1" customWidth="1"/>
    <col min="35" max="35" width="47.42578125" hidden="1" customWidth="1"/>
    <col min="36" max="36" width="25.140625" hidden="1" customWidth="1"/>
    <col min="37" max="37" width="15.7109375" hidden="1" customWidth="1"/>
    <col min="38" max="38" width="18.28515625" hidden="1" customWidth="1"/>
    <col min="39" max="39" width="38.85546875" hidden="1" customWidth="1"/>
    <col min="40" max="43" width="33.5703125" hidden="1" customWidth="1"/>
  </cols>
  <sheetData>
    <row r="1" spans="1:43" ht="1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14"/>
      <c r="AN2" s="14"/>
      <c r="AO2" s="14"/>
      <c r="AP2" s="14"/>
      <c r="AQ2" s="14"/>
    </row>
    <row r="3" spans="1:43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4"/>
      <c r="AN3" s="14"/>
      <c r="AO3" s="14"/>
      <c r="AP3" s="14"/>
      <c r="AQ3" s="14"/>
    </row>
    <row r="4" spans="1:43" ht="1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4"/>
      <c r="AN4" s="15"/>
      <c r="AO4" s="15"/>
      <c r="AP4" s="15"/>
      <c r="AQ4" s="15"/>
    </row>
    <row r="5" spans="1:43" ht="1.5" customHeight="1">
      <c r="A5" s="14"/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16"/>
      <c r="AN5" s="17" t="s">
        <v>5</v>
      </c>
      <c r="AO5" s="17" t="s">
        <v>6</v>
      </c>
      <c r="AP5" s="17" t="s">
        <v>7</v>
      </c>
      <c r="AQ5" s="17" t="s">
        <v>8</v>
      </c>
    </row>
    <row r="6" spans="1:43" ht="32.25" customHeight="1">
      <c r="A6" s="18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23</v>
      </c>
      <c r="P6" s="18" t="s">
        <v>24</v>
      </c>
      <c r="Q6" s="18" t="s">
        <v>25</v>
      </c>
      <c r="R6" s="18" t="s">
        <v>26</v>
      </c>
      <c r="S6" s="18" t="s">
        <v>27</v>
      </c>
      <c r="T6" s="18" t="s">
        <v>28</v>
      </c>
      <c r="U6" s="18" t="s">
        <v>29</v>
      </c>
      <c r="V6" s="18" t="s">
        <v>30</v>
      </c>
      <c r="W6" s="18" t="s">
        <v>31</v>
      </c>
      <c r="X6" s="18" t="s">
        <v>32</v>
      </c>
      <c r="Y6" s="18" t="s">
        <v>33</v>
      </c>
      <c r="Z6" s="18" t="s">
        <v>34</v>
      </c>
      <c r="AA6" s="18" t="s">
        <v>35</v>
      </c>
      <c r="AB6" s="18" t="s">
        <v>36</v>
      </c>
      <c r="AC6" s="18" t="s">
        <v>37</v>
      </c>
      <c r="AD6" s="18" t="s">
        <v>38</v>
      </c>
      <c r="AE6" s="18" t="s">
        <v>39</v>
      </c>
      <c r="AF6" s="18" t="s">
        <v>40</v>
      </c>
      <c r="AG6" s="18" t="s">
        <v>41</v>
      </c>
      <c r="AH6" s="18" t="s">
        <v>42</v>
      </c>
      <c r="AI6" s="18" t="s">
        <v>43</v>
      </c>
      <c r="AJ6" s="18" t="s">
        <v>44</v>
      </c>
      <c r="AK6" s="18" t="s">
        <v>45</v>
      </c>
      <c r="AL6" s="18" t="s">
        <v>46</v>
      </c>
      <c r="AM6" s="19" t="s">
        <v>0</v>
      </c>
      <c r="AN6" s="20" t="s">
        <v>5</v>
      </c>
      <c r="AO6" s="20" t="s">
        <v>6</v>
      </c>
      <c r="AP6" s="20" t="s">
        <v>7</v>
      </c>
      <c r="AQ6" s="20" t="s">
        <v>8</v>
      </c>
    </row>
    <row r="7" spans="1:43">
      <c r="A7" s="21">
        <v>1</v>
      </c>
      <c r="B7" s="22" t="s">
        <v>47</v>
      </c>
      <c r="C7" s="23"/>
      <c r="D7" s="24" t="s">
        <v>48</v>
      </c>
      <c r="E7" s="23" t="s">
        <v>49</v>
      </c>
      <c r="F7" s="23" t="s">
        <v>50</v>
      </c>
      <c r="G7" s="23" t="s">
        <v>51</v>
      </c>
      <c r="H7" s="21" t="s">
        <v>52</v>
      </c>
      <c r="I7" s="23"/>
      <c r="J7" s="23" t="s">
        <v>53</v>
      </c>
      <c r="K7" s="23" t="s">
        <v>54</v>
      </c>
      <c r="L7" s="23" t="s">
        <v>55</v>
      </c>
      <c r="M7" s="23" t="s">
        <v>56</v>
      </c>
      <c r="N7" s="23" t="s">
        <v>57</v>
      </c>
      <c r="O7" s="23" t="s">
        <v>58</v>
      </c>
      <c r="P7" s="23" t="s">
        <v>59</v>
      </c>
      <c r="Q7" s="21" t="s">
        <v>60</v>
      </c>
      <c r="R7" s="23" t="s">
        <v>61</v>
      </c>
      <c r="S7" s="23" t="s">
        <v>53</v>
      </c>
      <c r="T7" s="23"/>
      <c r="U7" s="21" t="s">
        <v>62</v>
      </c>
      <c r="V7" s="23" t="s">
        <v>63</v>
      </c>
      <c r="W7" s="23" t="s">
        <v>64</v>
      </c>
      <c r="X7" s="25">
        <v>44927</v>
      </c>
      <c r="Y7" s="25">
        <v>46357</v>
      </c>
      <c r="Z7" s="23" t="s">
        <v>65</v>
      </c>
      <c r="AA7" s="21" t="s">
        <v>66</v>
      </c>
      <c r="AB7" s="21" t="s">
        <v>67</v>
      </c>
      <c r="AC7" s="22"/>
      <c r="AD7" s="21">
        <v>0</v>
      </c>
      <c r="AE7" s="22"/>
      <c r="AF7" s="24"/>
      <c r="AG7" s="23" t="s">
        <v>68</v>
      </c>
      <c r="AH7" s="21"/>
      <c r="AI7" s="21" t="s">
        <v>53</v>
      </c>
      <c r="AJ7" s="26">
        <v>37786</v>
      </c>
      <c r="AK7" s="21">
        <v>5</v>
      </c>
      <c r="AL7" s="21">
        <v>16</v>
      </c>
      <c r="AM7" s="21" t="s">
        <v>69</v>
      </c>
      <c r="AN7" s="27"/>
      <c r="AO7" s="27"/>
      <c r="AP7" s="27"/>
      <c r="AQ7" s="27"/>
    </row>
    <row r="8" spans="1:43">
      <c r="A8" s="28">
        <v>1</v>
      </c>
      <c r="B8" s="29" t="s">
        <v>70</v>
      </c>
      <c r="C8" s="30"/>
      <c r="D8" s="31" t="s">
        <v>71</v>
      </c>
      <c r="E8" s="30" t="s">
        <v>72</v>
      </c>
      <c r="F8" s="30" t="s">
        <v>50</v>
      </c>
      <c r="G8" s="30" t="s">
        <v>51</v>
      </c>
      <c r="H8" s="28" t="s">
        <v>52</v>
      </c>
      <c r="I8" s="30"/>
      <c r="J8" s="30" t="s">
        <v>53</v>
      </c>
      <c r="K8" s="30" t="s">
        <v>73</v>
      </c>
      <c r="L8" s="30" t="s">
        <v>55</v>
      </c>
      <c r="M8" s="30" t="s">
        <v>74</v>
      </c>
      <c r="N8" s="30" t="s">
        <v>75</v>
      </c>
      <c r="O8" s="30" t="s">
        <v>76</v>
      </c>
      <c r="P8" s="30" t="s">
        <v>77</v>
      </c>
      <c r="Q8" s="28" t="s">
        <v>78</v>
      </c>
      <c r="R8" s="30" t="s">
        <v>78</v>
      </c>
      <c r="S8" s="30" t="s">
        <v>53</v>
      </c>
      <c r="T8" s="30"/>
      <c r="U8" s="28" t="s">
        <v>79</v>
      </c>
      <c r="V8" s="30" t="s">
        <v>63</v>
      </c>
      <c r="W8" s="30" t="s">
        <v>80</v>
      </c>
      <c r="X8" s="32">
        <v>44228</v>
      </c>
      <c r="Y8" s="32">
        <v>45627</v>
      </c>
      <c r="Z8" s="30" t="s">
        <v>65</v>
      </c>
      <c r="AA8" s="28" t="s">
        <v>66</v>
      </c>
      <c r="AB8" s="28" t="s">
        <v>67</v>
      </c>
      <c r="AC8" s="29"/>
      <c r="AD8" s="28">
        <v>0</v>
      </c>
      <c r="AE8" s="29"/>
      <c r="AF8" s="31"/>
      <c r="AG8" s="30" t="s">
        <v>81</v>
      </c>
      <c r="AH8" s="28"/>
      <c r="AI8" s="28" t="s">
        <v>53</v>
      </c>
      <c r="AJ8" s="33">
        <v>37451</v>
      </c>
      <c r="AK8" s="28">
        <v>6</v>
      </c>
      <c r="AL8" s="28">
        <v>17</v>
      </c>
      <c r="AM8" s="21" t="s">
        <v>69</v>
      </c>
      <c r="AN8" s="27"/>
      <c r="AO8" s="27"/>
      <c r="AP8" s="27"/>
      <c r="AQ8" s="27"/>
    </row>
    <row r="9" spans="1:43">
      <c r="A9" s="28">
        <v>1</v>
      </c>
      <c r="B9" s="29" t="s">
        <v>82</v>
      </c>
      <c r="C9" s="30"/>
      <c r="D9" s="31" t="s">
        <v>83</v>
      </c>
      <c r="E9" s="30" t="s">
        <v>72</v>
      </c>
      <c r="F9" s="30" t="s">
        <v>84</v>
      </c>
      <c r="G9" s="30" t="s">
        <v>51</v>
      </c>
      <c r="H9" s="28" t="s">
        <v>85</v>
      </c>
      <c r="I9" s="30"/>
      <c r="J9" s="30" t="s">
        <v>53</v>
      </c>
      <c r="K9" s="30" t="s">
        <v>73</v>
      </c>
      <c r="L9" s="30" t="s">
        <v>55</v>
      </c>
      <c r="M9" s="30" t="s">
        <v>74</v>
      </c>
      <c r="N9" s="30" t="s">
        <v>86</v>
      </c>
      <c r="O9" s="30" t="s">
        <v>87</v>
      </c>
      <c r="P9" s="30" t="s">
        <v>88</v>
      </c>
      <c r="Q9" s="28" t="s">
        <v>89</v>
      </c>
      <c r="R9" s="30" t="s">
        <v>90</v>
      </c>
      <c r="S9" s="30" t="s">
        <v>53</v>
      </c>
      <c r="T9" s="30"/>
      <c r="U9" s="28" t="s">
        <v>91</v>
      </c>
      <c r="V9" s="30" t="s">
        <v>63</v>
      </c>
      <c r="W9" s="30" t="s">
        <v>64</v>
      </c>
      <c r="X9" s="32">
        <v>44409</v>
      </c>
      <c r="Y9" s="32">
        <v>46174</v>
      </c>
      <c r="Z9" s="30" t="s">
        <v>65</v>
      </c>
      <c r="AA9" s="28" t="s">
        <v>66</v>
      </c>
      <c r="AB9" s="28" t="s">
        <v>67</v>
      </c>
      <c r="AC9" s="29"/>
      <c r="AD9" s="28">
        <v>0</v>
      </c>
      <c r="AE9" s="29"/>
      <c r="AF9" s="31"/>
      <c r="AG9" s="30" t="s">
        <v>81</v>
      </c>
      <c r="AH9" s="28"/>
      <c r="AI9" s="28" t="s">
        <v>53</v>
      </c>
      <c r="AJ9" s="33">
        <v>28169</v>
      </c>
      <c r="AK9" s="28">
        <v>5</v>
      </c>
      <c r="AL9" s="28">
        <v>24</v>
      </c>
      <c r="AM9" s="21" t="s">
        <v>69</v>
      </c>
      <c r="AN9" s="27"/>
      <c r="AO9" s="27"/>
      <c r="AP9" s="27"/>
      <c r="AQ9" s="27"/>
    </row>
    <row r="10" spans="1:43">
      <c r="A10" s="28">
        <v>2</v>
      </c>
      <c r="B10" s="29" t="s">
        <v>92</v>
      </c>
      <c r="C10" s="30"/>
      <c r="D10" s="31" t="s">
        <v>93</v>
      </c>
      <c r="E10" s="30" t="s">
        <v>72</v>
      </c>
      <c r="F10" s="30" t="s">
        <v>50</v>
      </c>
      <c r="G10" s="30" t="s">
        <v>51</v>
      </c>
      <c r="H10" s="28" t="s">
        <v>52</v>
      </c>
      <c r="I10" s="30"/>
      <c r="J10" s="30" t="s">
        <v>53</v>
      </c>
      <c r="K10" s="30" t="s">
        <v>73</v>
      </c>
      <c r="L10" s="30" t="s">
        <v>55</v>
      </c>
      <c r="M10" s="30" t="s">
        <v>74</v>
      </c>
      <c r="N10" s="30" t="s">
        <v>94</v>
      </c>
      <c r="O10" s="30" t="s">
        <v>95</v>
      </c>
      <c r="P10" s="30" t="s">
        <v>96</v>
      </c>
      <c r="Q10" s="28"/>
      <c r="R10" s="30" t="s">
        <v>97</v>
      </c>
      <c r="S10" s="30" t="s">
        <v>53</v>
      </c>
      <c r="T10" s="30"/>
      <c r="U10" s="28" t="s">
        <v>98</v>
      </c>
      <c r="V10" s="30" t="s">
        <v>63</v>
      </c>
      <c r="W10" s="30" t="s">
        <v>64</v>
      </c>
      <c r="X10" s="32">
        <v>44562</v>
      </c>
      <c r="Y10" s="32">
        <v>46327</v>
      </c>
      <c r="Z10" s="30" t="s">
        <v>65</v>
      </c>
      <c r="AA10" s="28" t="s">
        <v>66</v>
      </c>
      <c r="AB10" s="28" t="s">
        <v>67</v>
      </c>
      <c r="AC10" s="29"/>
      <c r="AD10" s="28">
        <v>0</v>
      </c>
      <c r="AE10" s="29"/>
      <c r="AF10" s="31"/>
      <c r="AG10" s="30" t="s">
        <v>81</v>
      </c>
      <c r="AH10" s="28"/>
      <c r="AI10" s="28" t="s">
        <v>53</v>
      </c>
      <c r="AJ10" s="33">
        <v>38257</v>
      </c>
      <c r="AK10" s="28">
        <v>5</v>
      </c>
      <c r="AL10" s="28">
        <v>21</v>
      </c>
      <c r="AM10" s="21" t="s">
        <v>69</v>
      </c>
      <c r="AN10" s="27"/>
      <c r="AO10" s="27"/>
      <c r="AP10" s="27"/>
      <c r="AQ10" s="27"/>
    </row>
    <row r="11" spans="1:43">
      <c r="A11" s="28">
        <v>3</v>
      </c>
      <c r="B11" s="29" t="s">
        <v>99</v>
      </c>
      <c r="C11" s="30" t="s">
        <v>100</v>
      </c>
      <c r="D11" s="31" t="s">
        <v>101</v>
      </c>
      <c r="E11" s="30" t="s">
        <v>72</v>
      </c>
      <c r="F11" s="30" t="s">
        <v>50</v>
      </c>
      <c r="G11" s="30" t="s">
        <v>51</v>
      </c>
      <c r="H11" s="28" t="s">
        <v>52</v>
      </c>
      <c r="I11" s="30"/>
      <c r="J11" s="30" t="s">
        <v>53</v>
      </c>
      <c r="K11" s="30" t="s">
        <v>73</v>
      </c>
      <c r="L11" s="30" t="s">
        <v>55</v>
      </c>
      <c r="M11" s="30" t="s">
        <v>74</v>
      </c>
      <c r="N11" s="30" t="s">
        <v>102</v>
      </c>
      <c r="O11" s="30" t="s">
        <v>103</v>
      </c>
      <c r="P11" s="30" t="s">
        <v>104</v>
      </c>
      <c r="Q11" s="28" t="s">
        <v>105</v>
      </c>
      <c r="R11" s="30" t="s">
        <v>106</v>
      </c>
      <c r="S11" s="30" t="s">
        <v>53</v>
      </c>
      <c r="T11" s="30"/>
      <c r="U11" s="28" t="s">
        <v>107</v>
      </c>
      <c r="V11" s="30" t="s">
        <v>63</v>
      </c>
      <c r="W11" s="30" t="s">
        <v>64</v>
      </c>
      <c r="X11" s="32">
        <v>44378</v>
      </c>
      <c r="Y11" s="32">
        <v>46357</v>
      </c>
      <c r="Z11" s="30" t="s">
        <v>65</v>
      </c>
      <c r="AA11" s="28" t="s">
        <v>66</v>
      </c>
      <c r="AB11" s="28" t="s">
        <v>67</v>
      </c>
      <c r="AC11" s="29"/>
      <c r="AD11" s="28">
        <v>0</v>
      </c>
      <c r="AE11" s="29"/>
      <c r="AF11" s="31"/>
      <c r="AG11" s="30" t="s">
        <v>81</v>
      </c>
      <c r="AH11" s="28"/>
      <c r="AI11" s="28" t="s">
        <v>53</v>
      </c>
      <c r="AJ11" s="33">
        <v>37452</v>
      </c>
      <c r="AK11" s="28">
        <v>5</v>
      </c>
      <c r="AL11" s="28">
        <v>15</v>
      </c>
      <c r="AM11" s="21" t="s">
        <v>69</v>
      </c>
      <c r="AN11" s="27"/>
      <c r="AO11" s="27"/>
      <c r="AP11" s="27"/>
      <c r="AQ11" s="27"/>
    </row>
    <row r="12" spans="1:43">
      <c r="A12" s="28">
        <v>1</v>
      </c>
      <c r="B12" s="29" t="s">
        <v>108</v>
      </c>
      <c r="C12" s="30" t="s">
        <v>109</v>
      </c>
      <c r="D12" s="31" t="s">
        <v>110</v>
      </c>
      <c r="E12" s="30" t="s">
        <v>49</v>
      </c>
      <c r="F12" s="30" t="s">
        <v>50</v>
      </c>
      <c r="G12" s="30" t="s">
        <v>51</v>
      </c>
      <c r="H12" s="28" t="s">
        <v>85</v>
      </c>
      <c r="I12" s="30"/>
      <c r="J12" s="30" t="s">
        <v>53</v>
      </c>
      <c r="K12" s="30" t="s">
        <v>111</v>
      </c>
      <c r="L12" s="30" t="s">
        <v>112</v>
      </c>
      <c r="M12" s="30" t="s">
        <v>113</v>
      </c>
      <c r="N12" s="30" t="s">
        <v>114</v>
      </c>
      <c r="O12" s="30" t="s">
        <v>115</v>
      </c>
      <c r="P12" s="30" t="s">
        <v>116</v>
      </c>
      <c r="Q12" s="28"/>
      <c r="R12" s="30" t="s">
        <v>117</v>
      </c>
      <c r="S12" s="30" t="s">
        <v>118</v>
      </c>
      <c r="T12" s="30" t="s">
        <v>119</v>
      </c>
      <c r="U12" s="28" t="s">
        <v>120</v>
      </c>
      <c r="V12" s="30" t="s">
        <v>63</v>
      </c>
      <c r="W12" s="30" t="s">
        <v>64</v>
      </c>
      <c r="X12" s="32">
        <v>44197</v>
      </c>
      <c r="Y12" s="32">
        <v>45992</v>
      </c>
      <c r="Z12" s="30" t="s">
        <v>65</v>
      </c>
      <c r="AA12" s="28" t="s">
        <v>66</v>
      </c>
      <c r="AB12" s="28" t="s">
        <v>67</v>
      </c>
      <c r="AC12" s="29"/>
      <c r="AD12" s="28">
        <v>0</v>
      </c>
      <c r="AE12" s="29"/>
      <c r="AF12" s="31"/>
      <c r="AG12" s="30" t="s">
        <v>121</v>
      </c>
      <c r="AH12" s="28" t="s">
        <v>122</v>
      </c>
      <c r="AI12" s="28" t="s">
        <v>53</v>
      </c>
      <c r="AJ12" s="33">
        <v>37429</v>
      </c>
      <c r="AK12" s="28">
        <v>6</v>
      </c>
      <c r="AL12" s="28">
        <v>29</v>
      </c>
      <c r="AM12" s="21" t="s">
        <v>69</v>
      </c>
      <c r="AN12" s="27"/>
      <c r="AO12" s="27"/>
      <c r="AP12" s="27"/>
      <c r="AQ12" s="27"/>
    </row>
    <row r="13" spans="1:43">
      <c r="A13" s="28">
        <v>2</v>
      </c>
      <c r="B13" s="29" t="s">
        <v>123</v>
      </c>
      <c r="C13" s="30" t="s">
        <v>124</v>
      </c>
      <c r="D13" s="31" t="s">
        <v>125</v>
      </c>
      <c r="E13" s="30" t="s">
        <v>72</v>
      </c>
      <c r="F13" s="30" t="s">
        <v>50</v>
      </c>
      <c r="G13" s="30" t="s">
        <v>51</v>
      </c>
      <c r="H13" s="28" t="s">
        <v>52</v>
      </c>
      <c r="I13" s="30"/>
      <c r="J13" s="30" t="s">
        <v>53</v>
      </c>
      <c r="K13" s="30" t="s">
        <v>126</v>
      </c>
      <c r="L13" s="30" t="s">
        <v>55</v>
      </c>
      <c r="M13" s="30" t="s">
        <v>127</v>
      </c>
      <c r="N13" s="30" t="s">
        <v>128</v>
      </c>
      <c r="O13" s="30" t="s">
        <v>129</v>
      </c>
      <c r="P13" s="30" t="s">
        <v>130</v>
      </c>
      <c r="Q13" s="28" t="s">
        <v>131</v>
      </c>
      <c r="R13" s="30" t="s">
        <v>132</v>
      </c>
      <c r="S13" s="30" t="s">
        <v>53</v>
      </c>
      <c r="T13" s="30"/>
      <c r="U13" s="28" t="s">
        <v>133</v>
      </c>
      <c r="V13" s="30" t="s">
        <v>63</v>
      </c>
      <c r="W13" s="30" t="s">
        <v>64</v>
      </c>
      <c r="X13" s="32">
        <v>44593</v>
      </c>
      <c r="Y13" s="32">
        <v>46357</v>
      </c>
      <c r="Z13" s="30" t="s">
        <v>65</v>
      </c>
      <c r="AA13" s="28" t="s">
        <v>134</v>
      </c>
      <c r="AB13" s="28" t="s">
        <v>67</v>
      </c>
      <c r="AC13" s="29"/>
      <c r="AD13" s="28">
        <v>0</v>
      </c>
      <c r="AE13" s="29"/>
      <c r="AF13" s="31"/>
      <c r="AG13" s="30" t="s">
        <v>121</v>
      </c>
      <c r="AH13" s="28"/>
      <c r="AI13" s="28" t="s">
        <v>53</v>
      </c>
      <c r="AJ13" s="33">
        <v>38121</v>
      </c>
      <c r="AK13" s="28">
        <v>5</v>
      </c>
      <c r="AL13" s="28">
        <v>26</v>
      </c>
      <c r="AM13" s="21" t="s">
        <v>69</v>
      </c>
      <c r="AN13" s="27"/>
      <c r="AO13" s="27"/>
      <c r="AP13" s="27"/>
      <c r="AQ13" s="27"/>
    </row>
    <row r="14" spans="1:43">
      <c r="A14" s="28">
        <v>3</v>
      </c>
      <c r="B14" s="29" t="s">
        <v>135</v>
      </c>
      <c r="C14" s="30" t="s">
        <v>136</v>
      </c>
      <c r="D14" s="31" t="s">
        <v>137</v>
      </c>
      <c r="E14" s="30" t="s">
        <v>72</v>
      </c>
      <c r="F14" s="30" t="s">
        <v>50</v>
      </c>
      <c r="G14" s="30" t="s">
        <v>51</v>
      </c>
      <c r="H14" s="28" t="s">
        <v>52</v>
      </c>
      <c r="I14" s="30"/>
      <c r="J14" s="30" t="s">
        <v>53</v>
      </c>
      <c r="K14" s="30" t="s">
        <v>138</v>
      </c>
      <c r="L14" s="30" t="s">
        <v>55</v>
      </c>
      <c r="M14" s="30" t="s">
        <v>127</v>
      </c>
      <c r="N14" s="30" t="s">
        <v>139</v>
      </c>
      <c r="O14" s="30" t="s">
        <v>140</v>
      </c>
      <c r="P14" s="30" t="s">
        <v>141</v>
      </c>
      <c r="Q14" s="28" t="s">
        <v>142</v>
      </c>
      <c r="R14" s="30" t="s">
        <v>143</v>
      </c>
      <c r="S14" s="30" t="s">
        <v>53</v>
      </c>
      <c r="T14" s="30"/>
      <c r="U14" s="28" t="s">
        <v>144</v>
      </c>
      <c r="V14" s="30" t="s">
        <v>63</v>
      </c>
      <c r="W14" s="30" t="s">
        <v>64</v>
      </c>
      <c r="X14" s="32">
        <v>43678</v>
      </c>
      <c r="Y14" s="32">
        <v>45870</v>
      </c>
      <c r="Z14" s="30" t="s">
        <v>65</v>
      </c>
      <c r="AA14" s="28" t="s">
        <v>66</v>
      </c>
      <c r="AB14" s="28" t="s">
        <v>67</v>
      </c>
      <c r="AC14" s="29"/>
      <c r="AD14" s="28">
        <v>0</v>
      </c>
      <c r="AE14" s="29"/>
      <c r="AF14" s="31"/>
      <c r="AG14" s="30" t="s">
        <v>121</v>
      </c>
      <c r="AH14" s="28"/>
      <c r="AI14" s="28" t="s">
        <v>53</v>
      </c>
      <c r="AJ14" s="33">
        <v>36545</v>
      </c>
      <c r="AK14" s="28">
        <v>9</v>
      </c>
      <c r="AL14" s="28">
        <v>20</v>
      </c>
      <c r="AM14" s="21" t="s">
        <v>69</v>
      </c>
      <c r="AN14" s="27"/>
      <c r="AO14" s="27"/>
      <c r="AP14" s="27"/>
      <c r="AQ14" s="27"/>
    </row>
    <row r="15" spans="1:43">
      <c r="A15" s="28">
        <v>4</v>
      </c>
      <c r="B15" s="29" t="s">
        <v>145</v>
      </c>
      <c r="C15" s="30" t="s">
        <v>146</v>
      </c>
      <c r="D15" s="31" t="s">
        <v>147</v>
      </c>
      <c r="E15" s="30" t="s">
        <v>72</v>
      </c>
      <c r="F15" s="30" t="s">
        <v>50</v>
      </c>
      <c r="G15" s="30" t="s">
        <v>51</v>
      </c>
      <c r="H15" s="28" t="s">
        <v>52</v>
      </c>
      <c r="I15" s="30"/>
      <c r="J15" s="30" t="s">
        <v>53</v>
      </c>
      <c r="K15" s="30" t="s">
        <v>148</v>
      </c>
      <c r="L15" s="30" t="s">
        <v>55</v>
      </c>
      <c r="M15" s="30" t="s">
        <v>127</v>
      </c>
      <c r="N15" s="30" t="s">
        <v>149</v>
      </c>
      <c r="O15" s="30" t="s">
        <v>150</v>
      </c>
      <c r="P15" s="30" t="s">
        <v>151</v>
      </c>
      <c r="Q15" s="28"/>
      <c r="R15" s="30" t="s">
        <v>152</v>
      </c>
      <c r="S15" s="30" t="s">
        <v>53</v>
      </c>
      <c r="T15" s="30"/>
      <c r="U15" s="28" t="s">
        <v>153</v>
      </c>
      <c r="V15" s="30" t="s">
        <v>63</v>
      </c>
      <c r="W15" s="30" t="s">
        <v>64</v>
      </c>
      <c r="X15" s="32">
        <v>44256</v>
      </c>
      <c r="Y15" s="32">
        <v>45717</v>
      </c>
      <c r="Z15" s="30" t="s">
        <v>65</v>
      </c>
      <c r="AA15" s="28" t="s">
        <v>134</v>
      </c>
      <c r="AB15" s="28" t="s">
        <v>67</v>
      </c>
      <c r="AC15" s="29"/>
      <c r="AD15" s="28">
        <v>0</v>
      </c>
      <c r="AE15" s="29"/>
      <c r="AF15" s="31"/>
      <c r="AG15" s="30" t="s">
        <v>121</v>
      </c>
      <c r="AH15" s="28"/>
      <c r="AI15" s="28" t="s">
        <v>53</v>
      </c>
      <c r="AJ15" s="33">
        <v>37118</v>
      </c>
      <c r="AK15" s="28">
        <v>6</v>
      </c>
      <c r="AL15" s="28">
        <v>19</v>
      </c>
      <c r="AM15" s="21" t="s">
        <v>69</v>
      </c>
      <c r="AN15" s="27"/>
      <c r="AO15" s="27"/>
      <c r="AP15" s="27"/>
      <c r="AQ15" s="27"/>
    </row>
    <row r="16" spans="1:43">
      <c r="A16" s="28">
        <v>5</v>
      </c>
      <c r="B16" s="29" t="s">
        <v>154</v>
      </c>
      <c r="C16" s="30"/>
      <c r="D16" s="31" t="s">
        <v>155</v>
      </c>
      <c r="E16" s="30" t="s">
        <v>72</v>
      </c>
      <c r="F16" s="30" t="s">
        <v>50</v>
      </c>
      <c r="G16" s="30" t="s">
        <v>51</v>
      </c>
      <c r="H16" s="28" t="s">
        <v>52</v>
      </c>
      <c r="I16" s="30"/>
      <c r="J16" s="30" t="s">
        <v>53</v>
      </c>
      <c r="K16" s="30" t="s">
        <v>156</v>
      </c>
      <c r="L16" s="30" t="s">
        <v>55</v>
      </c>
      <c r="M16" s="30" t="s">
        <v>127</v>
      </c>
      <c r="N16" s="30" t="s">
        <v>157</v>
      </c>
      <c r="O16" s="30" t="s">
        <v>158</v>
      </c>
      <c r="P16" s="30" t="s">
        <v>159</v>
      </c>
      <c r="Q16" s="28"/>
      <c r="R16" s="30" t="s">
        <v>160</v>
      </c>
      <c r="S16" s="30" t="s">
        <v>53</v>
      </c>
      <c r="T16" s="30"/>
      <c r="U16" s="28" t="s">
        <v>161</v>
      </c>
      <c r="V16" s="30" t="s">
        <v>63</v>
      </c>
      <c r="W16" s="30" t="s">
        <v>64</v>
      </c>
      <c r="X16" s="32">
        <v>43862</v>
      </c>
      <c r="Y16" s="32">
        <v>45992</v>
      </c>
      <c r="Z16" s="30" t="s">
        <v>65</v>
      </c>
      <c r="AA16" s="28" t="s">
        <v>66</v>
      </c>
      <c r="AB16" s="28" t="s">
        <v>67</v>
      </c>
      <c r="AC16" s="29"/>
      <c r="AD16" s="28">
        <v>0</v>
      </c>
      <c r="AE16" s="29"/>
      <c r="AF16" s="31"/>
      <c r="AG16" s="30" t="s">
        <v>121</v>
      </c>
      <c r="AH16" s="28"/>
      <c r="AI16" s="28" t="s">
        <v>53</v>
      </c>
      <c r="AJ16" s="33">
        <v>32947</v>
      </c>
      <c r="AK16" s="28">
        <v>6</v>
      </c>
      <c r="AL16" s="28">
        <v>19</v>
      </c>
      <c r="AM16" s="21" t="s">
        <v>69</v>
      </c>
      <c r="AN16" s="27"/>
      <c r="AO16" s="27"/>
      <c r="AP16" s="27"/>
      <c r="AQ16" s="27"/>
    </row>
    <row r="17" spans="1:43">
      <c r="A17" s="28">
        <v>6</v>
      </c>
      <c r="B17" s="29" t="s">
        <v>162</v>
      </c>
      <c r="C17" s="30" t="s">
        <v>163</v>
      </c>
      <c r="D17" s="31" t="s">
        <v>164</v>
      </c>
      <c r="E17" s="30" t="s">
        <v>72</v>
      </c>
      <c r="F17" s="30" t="s">
        <v>50</v>
      </c>
      <c r="G17" s="30" t="s">
        <v>51</v>
      </c>
      <c r="H17" s="28" t="s">
        <v>52</v>
      </c>
      <c r="I17" s="30"/>
      <c r="J17" s="30" t="s">
        <v>53</v>
      </c>
      <c r="K17" s="30" t="s">
        <v>165</v>
      </c>
      <c r="L17" s="30" t="s">
        <v>55</v>
      </c>
      <c r="M17" s="30" t="s">
        <v>127</v>
      </c>
      <c r="N17" s="30" t="s">
        <v>166</v>
      </c>
      <c r="O17" s="30" t="s">
        <v>167</v>
      </c>
      <c r="P17" s="30" t="s">
        <v>168</v>
      </c>
      <c r="Q17" s="28" t="s">
        <v>169</v>
      </c>
      <c r="R17" s="30" t="s">
        <v>170</v>
      </c>
      <c r="S17" s="30" t="s">
        <v>53</v>
      </c>
      <c r="T17" s="30"/>
      <c r="U17" s="28" t="s">
        <v>171</v>
      </c>
      <c r="V17" s="30" t="s">
        <v>63</v>
      </c>
      <c r="W17" s="30" t="s">
        <v>64</v>
      </c>
      <c r="X17" s="32">
        <v>44682</v>
      </c>
      <c r="Y17" s="32">
        <v>46143</v>
      </c>
      <c r="Z17" s="30" t="s">
        <v>65</v>
      </c>
      <c r="AA17" s="28" t="s">
        <v>66</v>
      </c>
      <c r="AB17" s="28" t="s">
        <v>67</v>
      </c>
      <c r="AC17" s="29"/>
      <c r="AD17" s="28">
        <v>0</v>
      </c>
      <c r="AE17" s="29"/>
      <c r="AF17" s="31"/>
      <c r="AG17" s="30" t="s">
        <v>121</v>
      </c>
      <c r="AH17" s="28"/>
      <c r="AI17" s="28" t="s">
        <v>53</v>
      </c>
      <c r="AJ17" s="33">
        <v>37159</v>
      </c>
      <c r="AK17" s="28">
        <v>5</v>
      </c>
      <c r="AL17" s="28">
        <v>17</v>
      </c>
      <c r="AM17" s="21" t="s">
        <v>69</v>
      </c>
      <c r="AN17" s="27"/>
      <c r="AO17" s="27"/>
      <c r="AP17" s="27"/>
      <c r="AQ17" s="27"/>
    </row>
    <row r="18" spans="1:43">
      <c r="A18" s="28">
        <v>7</v>
      </c>
      <c r="B18" s="29" t="s">
        <v>172</v>
      </c>
      <c r="C18" s="30" t="s">
        <v>173</v>
      </c>
      <c r="D18" s="31" t="s">
        <v>174</v>
      </c>
      <c r="E18" s="30" t="s">
        <v>72</v>
      </c>
      <c r="F18" s="30" t="s">
        <v>50</v>
      </c>
      <c r="G18" s="30" t="s">
        <v>51</v>
      </c>
      <c r="H18" s="28" t="s">
        <v>85</v>
      </c>
      <c r="I18" s="30"/>
      <c r="J18" s="30" t="s">
        <v>53</v>
      </c>
      <c r="K18" s="30" t="s">
        <v>175</v>
      </c>
      <c r="L18" s="30" t="s">
        <v>55</v>
      </c>
      <c r="M18" s="30" t="s">
        <v>127</v>
      </c>
      <c r="N18" s="30" t="s">
        <v>176</v>
      </c>
      <c r="O18" s="30" t="s">
        <v>158</v>
      </c>
      <c r="P18" s="30" t="s">
        <v>177</v>
      </c>
      <c r="Q18" s="28"/>
      <c r="R18" s="30" t="s">
        <v>178</v>
      </c>
      <c r="S18" s="30" t="s">
        <v>53</v>
      </c>
      <c r="T18" s="30"/>
      <c r="U18" s="28" t="s">
        <v>179</v>
      </c>
      <c r="V18" s="30" t="s">
        <v>63</v>
      </c>
      <c r="W18" s="30" t="s">
        <v>64</v>
      </c>
      <c r="X18" s="32">
        <v>45139</v>
      </c>
      <c r="Y18" s="32">
        <v>46722</v>
      </c>
      <c r="Z18" s="30" t="s">
        <v>65</v>
      </c>
      <c r="AA18" s="28" t="s">
        <v>66</v>
      </c>
      <c r="AB18" s="28" t="s">
        <v>67</v>
      </c>
      <c r="AC18" s="29"/>
      <c r="AD18" s="28">
        <v>0</v>
      </c>
      <c r="AE18" s="29"/>
      <c r="AF18" s="31"/>
      <c r="AG18" s="30" t="s">
        <v>121</v>
      </c>
      <c r="AH18" s="28"/>
      <c r="AI18" s="28" t="s">
        <v>53</v>
      </c>
      <c r="AJ18" s="33">
        <v>38075</v>
      </c>
      <c r="AK18" s="28">
        <v>5</v>
      </c>
      <c r="AL18" s="28">
        <v>16</v>
      </c>
      <c r="AM18" s="21" t="s">
        <v>69</v>
      </c>
      <c r="AN18" s="27"/>
      <c r="AO18" s="27"/>
      <c r="AP18" s="27"/>
      <c r="AQ18" s="27"/>
    </row>
    <row r="19" spans="1:43">
      <c r="A19" s="28">
        <v>8</v>
      </c>
      <c r="B19" s="29" t="s">
        <v>180</v>
      </c>
      <c r="C19" s="30"/>
      <c r="D19" s="31" t="s">
        <v>181</v>
      </c>
      <c r="E19" s="30" t="s">
        <v>49</v>
      </c>
      <c r="F19" s="30" t="s">
        <v>50</v>
      </c>
      <c r="G19" s="30" t="s">
        <v>51</v>
      </c>
      <c r="H19" s="28" t="s">
        <v>52</v>
      </c>
      <c r="I19" s="30"/>
      <c r="J19" s="30" t="s">
        <v>53</v>
      </c>
      <c r="K19" s="30" t="s">
        <v>182</v>
      </c>
      <c r="L19" s="30" t="s">
        <v>55</v>
      </c>
      <c r="M19" s="30" t="s">
        <v>127</v>
      </c>
      <c r="N19" s="30" t="s">
        <v>183</v>
      </c>
      <c r="O19" s="30" t="s">
        <v>184</v>
      </c>
      <c r="P19" s="30" t="s">
        <v>185</v>
      </c>
      <c r="Q19" s="28" t="s">
        <v>186</v>
      </c>
      <c r="R19" s="30" t="s">
        <v>187</v>
      </c>
      <c r="S19" s="30" t="s">
        <v>53</v>
      </c>
      <c r="T19" s="30"/>
      <c r="U19" s="28" t="s">
        <v>179</v>
      </c>
      <c r="V19" s="30" t="s">
        <v>63</v>
      </c>
      <c r="W19" s="30" t="s">
        <v>64</v>
      </c>
      <c r="X19" s="32">
        <v>43831</v>
      </c>
      <c r="Y19" s="32">
        <v>45627</v>
      </c>
      <c r="Z19" s="30" t="s">
        <v>65</v>
      </c>
      <c r="AA19" s="28" t="s">
        <v>66</v>
      </c>
      <c r="AB19" s="28" t="s">
        <v>67</v>
      </c>
      <c r="AC19" s="29"/>
      <c r="AD19" s="28">
        <v>0</v>
      </c>
      <c r="AE19" s="29"/>
      <c r="AF19" s="31"/>
      <c r="AG19" s="30" t="s">
        <v>121</v>
      </c>
      <c r="AH19" s="28"/>
      <c r="AI19" s="28" t="s">
        <v>53</v>
      </c>
      <c r="AJ19" s="33">
        <v>29558</v>
      </c>
      <c r="AK19" s="28">
        <v>8</v>
      </c>
      <c r="AL19" s="28">
        <v>16</v>
      </c>
      <c r="AM19" s="21" t="s">
        <v>69</v>
      </c>
      <c r="AN19" s="27"/>
      <c r="AO19" s="27"/>
      <c r="AP19" s="27"/>
      <c r="AQ19" s="27"/>
    </row>
    <row r="20" spans="1:43">
      <c r="A20" s="28">
        <v>9</v>
      </c>
      <c r="B20" s="29" t="s">
        <v>188</v>
      </c>
      <c r="C20" s="30" t="s">
        <v>189</v>
      </c>
      <c r="D20" s="31" t="s">
        <v>190</v>
      </c>
      <c r="E20" s="30" t="s">
        <v>72</v>
      </c>
      <c r="F20" s="30" t="s">
        <v>50</v>
      </c>
      <c r="G20" s="30" t="s">
        <v>51</v>
      </c>
      <c r="H20" s="28" t="s">
        <v>191</v>
      </c>
      <c r="I20" s="30"/>
      <c r="J20" s="30" t="s">
        <v>53</v>
      </c>
      <c r="K20" s="30" t="s">
        <v>192</v>
      </c>
      <c r="L20" s="30" t="s">
        <v>55</v>
      </c>
      <c r="M20" s="30" t="s">
        <v>127</v>
      </c>
      <c r="N20" s="30" t="s">
        <v>193</v>
      </c>
      <c r="O20" s="30" t="s">
        <v>194</v>
      </c>
      <c r="P20" s="30" t="s">
        <v>195</v>
      </c>
      <c r="Q20" s="28"/>
      <c r="R20" s="30" t="s">
        <v>196</v>
      </c>
      <c r="S20" s="30" t="s">
        <v>53</v>
      </c>
      <c r="T20" s="30"/>
      <c r="U20" s="28" t="s">
        <v>171</v>
      </c>
      <c r="V20" s="30" t="s">
        <v>63</v>
      </c>
      <c r="W20" s="30" t="s">
        <v>64</v>
      </c>
      <c r="X20" s="32">
        <v>43497</v>
      </c>
      <c r="Y20" s="32">
        <v>45444</v>
      </c>
      <c r="Z20" s="30" t="s">
        <v>65</v>
      </c>
      <c r="AA20" s="28" t="s">
        <v>66</v>
      </c>
      <c r="AB20" s="28" t="s">
        <v>67</v>
      </c>
      <c r="AC20" s="29"/>
      <c r="AD20" s="28">
        <v>0</v>
      </c>
      <c r="AE20" s="29"/>
      <c r="AF20" s="31"/>
      <c r="AG20" s="30" t="s">
        <v>121</v>
      </c>
      <c r="AH20" s="28"/>
      <c r="AI20" s="28" t="s">
        <v>53</v>
      </c>
      <c r="AJ20" s="33">
        <v>36493</v>
      </c>
      <c r="AK20" s="28">
        <v>9</v>
      </c>
      <c r="AL20" s="28">
        <v>16</v>
      </c>
      <c r="AM20" s="21" t="s">
        <v>69</v>
      </c>
      <c r="AN20" s="27"/>
      <c r="AO20" s="27"/>
      <c r="AP20" s="27"/>
      <c r="AQ20" s="27"/>
    </row>
    <row r="21" spans="1:43">
      <c r="A21" s="28">
        <v>1</v>
      </c>
      <c r="B21" s="29" t="s">
        <v>197</v>
      </c>
      <c r="C21" s="30" t="s">
        <v>198</v>
      </c>
      <c r="D21" s="31" t="s">
        <v>199</v>
      </c>
      <c r="E21" s="30" t="s">
        <v>49</v>
      </c>
      <c r="F21" s="30" t="s">
        <v>50</v>
      </c>
      <c r="G21" s="30" t="s">
        <v>51</v>
      </c>
      <c r="H21" s="28" t="s">
        <v>191</v>
      </c>
      <c r="I21" s="30"/>
      <c r="J21" s="30" t="s">
        <v>53</v>
      </c>
      <c r="K21" s="30" t="s">
        <v>200</v>
      </c>
      <c r="L21" s="30" t="s">
        <v>55</v>
      </c>
      <c r="M21" s="30" t="s">
        <v>127</v>
      </c>
      <c r="N21" s="30" t="s">
        <v>201</v>
      </c>
      <c r="O21" s="30" t="s">
        <v>184</v>
      </c>
      <c r="P21" s="30" t="s">
        <v>202</v>
      </c>
      <c r="Q21" s="28"/>
      <c r="R21" s="30" t="s">
        <v>203</v>
      </c>
      <c r="S21" s="30" t="s">
        <v>53</v>
      </c>
      <c r="T21" s="30"/>
      <c r="U21" s="28" t="s">
        <v>179</v>
      </c>
      <c r="V21" s="30" t="s">
        <v>63</v>
      </c>
      <c r="W21" s="30" t="s">
        <v>204</v>
      </c>
      <c r="X21" s="32">
        <v>44378</v>
      </c>
      <c r="Y21" s="32">
        <v>46204</v>
      </c>
      <c r="Z21" s="30" t="s">
        <v>65</v>
      </c>
      <c r="AA21" s="28" t="s">
        <v>66</v>
      </c>
      <c r="AB21" s="28" t="s">
        <v>67</v>
      </c>
      <c r="AC21" s="29"/>
      <c r="AD21" s="28">
        <v>0</v>
      </c>
      <c r="AE21" s="29"/>
      <c r="AF21" s="31"/>
      <c r="AG21" s="30" t="s">
        <v>121</v>
      </c>
      <c r="AH21" s="28"/>
      <c r="AI21" s="28" t="s">
        <v>53</v>
      </c>
      <c r="AJ21" s="33">
        <v>37336</v>
      </c>
      <c r="AK21" s="28">
        <v>6</v>
      </c>
      <c r="AL21" s="28">
        <v>26</v>
      </c>
      <c r="AM21" s="21" t="s">
        <v>69</v>
      </c>
      <c r="AN21" s="27"/>
      <c r="AO21" s="27"/>
      <c r="AP21" s="27"/>
      <c r="AQ21" s="27"/>
    </row>
    <row r="22" spans="1:43">
      <c r="A22" s="28">
        <v>2</v>
      </c>
      <c r="B22" s="29" t="s">
        <v>205</v>
      </c>
      <c r="C22" s="30"/>
      <c r="D22" s="31" t="s">
        <v>206</v>
      </c>
      <c r="E22" s="30" t="s">
        <v>72</v>
      </c>
      <c r="F22" s="30" t="s">
        <v>84</v>
      </c>
      <c r="G22" s="30" t="s">
        <v>51</v>
      </c>
      <c r="H22" s="28" t="s">
        <v>52</v>
      </c>
      <c r="I22" s="30"/>
      <c r="J22" s="30" t="s">
        <v>53</v>
      </c>
      <c r="K22" s="30" t="s">
        <v>207</v>
      </c>
      <c r="L22" s="30" t="s">
        <v>55</v>
      </c>
      <c r="M22" s="30" t="s">
        <v>127</v>
      </c>
      <c r="N22" s="30" t="s">
        <v>208</v>
      </c>
      <c r="O22" s="30" t="s">
        <v>158</v>
      </c>
      <c r="P22" s="30" t="s">
        <v>209</v>
      </c>
      <c r="Q22" s="28"/>
      <c r="R22" s="30" t="s">
        <v>210</v>
      </c>
      <c r="S22" s="30" t="s">
        <v>53</v>
      </c>
      <c r="T22" s="30"/>
      <c r="U22" s="28" t="s">
        <v>179</v>
      </c>
      <c r="V22" s="30" t="s">
        <v>63</v>
      </c>
      <c r="W22" s="30" t="s">
        <v>204</v>
      </c>
      <c r="X22" s="32">
        <v>43586</v>
      </c>
      <c r="Y22" s="32">
        <v>45261</v>
      </c>
      <c r="Z22" s="30" t="s">
        <v>65</v>
      </c>
      <c r="AA22" s="28" t="s">
        <v>66</v>
      </c>
      <c r="AB22" s="28" t="s">
        <v>67</v>
      </c>
      <c r="AC22" s="29"/>
      <c r="AD22" s="28">
        <v>0</v>
      </c>
      <c r="AE22" s="29"/>
      <c r="AF22" s="31"/>
      <c r="AG22" s="30" t="s">
        <v>121</v>
      </c>
      <c r="AH22" s="28"/>
      <c r="AI22" s="28" t="s">
        <v>118</v>
      </c>
      <c r="AJ22" s="33">
        <v>32215</v>
      </c>
      <c r="AK22" s="28">
        <v>9</v>
      </c>
      <c r="AL22" s="28">
        <v>17</v>
      </c>
      <c r="AM22" s="21" t="s">
        <v>69</v>
      </c>
      <c r="AN22" s="27"/>
      <c r="AO22" s="27"/>
      <c r="AP22" s="27"/>
      <c r="AQ22" s="27"/>
    </row>
    <row r="23" spans="1:43" ht="15.75" customHeight="1">
      <c r="A23" s="28">
        <v>3</v>
      </c>
      <c r="B23" s="29" t="s">
        <v>211</v>
      </c>
      <c r="C23" s="30" t="s">
        <v>212</v>
      </c>
      <c r="D23" s="31" t="s">
        <v>213</v>
      </c>
      <c r="E23" s="30" t="s">
        <v>72</v>
      </c>
      <c r="F23" s="30" t="s">
        <v>50</v>
      </c>
      <c r="G23" s="30" t="s">
        <v>51</v>
      </c>
      <c r="H23" s="28" t="s">
        <v>52</v>
      </c>
      <c r="I23" s="30"/>
      <c r="J23" s="30" t="s">
        <v>53</v>
      </c>
      <c r="K23" s="30" t="s">
        <v>214</v>
      </c>
      <c r="L23" s="30" t="s">
        <v>55</v>
      </c>
      <c r="M23" s="30" t="s">
        <v>127</v>
      </c>
      <c r="N23" s="30" t="s">
        <v>215</v>
      </c>
      <c r="O23" s="30" t="s">
        <v>216</v>
      </c>
      <c r="P23" s="30" t="s">
        <v>217</v>
      </c>
      <c r="Q23" s="28"/>
      <c r="R23" s="30" t="s">
        <v>218</v>
      </c>
      <c r="S23" s="30" t="s">
        <v>53</v>
      </c>
      <c r="T23" s="30"/>
      <c r="U23" s="28" t="s">
        <v>219</v>
      </c>
      <c r="V23" s="30" t="s">
        <v>63</v>
      </c>
      <c r="W23" s="30" t="s">
        <v>204</v>
      </c>
      <c r="X23" s="32">
        <v>43891</v>
      </c>
      <c r="Y23" s="32">
        <v>45627</v>
      </c>
      <c r="Z23" s="30" t="s">
        <v>65</v>
      </c>
      <c r="AA23" s="28" t="s">
        <v>134</v>
      </c>
      <c r="AB23" s="28" t="s">
        <v>67</v>
      </c>
      <c r="AC23" s="29"/>
      <c r="AD23" s="28">
        <v>0</v>
      </c>
      <c r="AE23" s="29"/>
      <c r="AF23" s="31"/>
      <c r="AG23" s="30" t="s">
        <v>121</v>
      </c>
      <c r="AH23" s="28"/>
      <c r="AI23" s="28" t="s">
        <v>53</v>
      </c>
      <c r="AJ23" s="33">
        <v>35775</v>
      </c>
      <c r="AK23" s="28">
        <v>8</v>
      </c>
      <c r="AL23" s="28">
        <v>15</v>
      </c>
      <c r="AM23" s="21" t="s">
        <v>69</v>
      </c>
      <c r="AN23" s="27"/>
      <c r="AO23" s="27"/>
      <c r="AP23" s="27"/>
      <c r="AQ23" s="27"/>
    </row>
    <row r="24" spans="1:43" ht="15.75" customHeight="1">
      <c r="A24" s="28">
        <v>4</v>
      </c>
      <c r="B24" s="29" t="s">
        <v>220</v>
      </c>
      <c r="C24" s="30" t="s">
        <v>221</v>
      </c>
      <c r="D24" s="31" t="s">
        <v>222</v>
      </c>
      <c r="E24" s="30" t="s">
        <v>72</v>
      </c>
      <c r="F24" s="30" t="s">
        <v>50</v>
      </c>
      <c r="G24" s="30" t="s">
        <v>51</v>
      </c>
      <c r="H24" s="28" t="s">
        <v>85</v>
      </c>
      <c r="I24" s="30"/>
      <c r="J24" s="30" t="s">
        <v>53</v>
      </c>
      <c r="K24" s="30" t="s">
        <v>223</v>
      </c>
      <c r="L24" s="30" t="s">
        <v>55</v>
      </c>
      <c r="M24" s="30" t="s">
        <v>127</v>
      </c>
      <c r="N24" s="30" t="s">
        <v>224</v>
      </c>
      <c r="O24" s="30" t="s">
        <v>225</v>
      </c>
      <c r="P24" s="30" t="s">
        <v>226</v>
      </c>
      <c r="Q24" s="28"/>
      <c r="R24" s="30" t="s">
        <v>227</v>
      </c>
      <c r="S24" s="30" t="s">
        <v>53</v>
      </c>
      <c r="T24" s="30"/>
      <c r="U24" s="28" t="s">
        <v>171</v>
      </c>
      <c r="V24" s="30" t="s">
        <v>63</v>
      </c>
      <c r="W24" s="30" t="s">
        <v>204</v>
      </c>
      <c r="X24" s="32">
        <v>44378</v>
      </c>
      <c r="Y24" s="32">
        <v>46357</v>
      </c>
      <c r="Z24" s="30" t="s">
        <v>65</v>
      </c>
      <c r="AA24" s="28" t="s">
        <v>66</v>
      </c>
      <c r="AB24" s="28" t="s">
        <v>67</v>
      </c>
      <c r="AC24" s="29"/>
      <c r="AD24" s="28">
        <v>0</v>
      </c>
      <c r="AE24" s="29"/>
      <c r="AF24" s="31"/>
      <c r="AG24" s="30" t="s">
        <v>121</v>
      </c>
      <c r="AH24" s="28"/>
      <c r="AI24" s="28" t="s">
        <v>53</v>
      </c>
      <c r="AJ24" s="33">
        <v>37108</v>
      </c>
      <c r="AK24" s="28">
        <v>6</v>
      </c>
      <c r="AL24" s="28">
        <v>15</v>
      </c>
      <c r="AM24" s="21" t="s">
        <v>69</v>
      </c>
      <c r="AN24" s="27"/>
      <c r="AO24" s="27"/>
      <c r="AP24" s="27"/>
      <c r="AQ24" s="27"/>
    </row>
    <row r="25" spans="1:43" ht="15.75" customHeight="1">
      <c r="A25" s="28">
        <v>1</v>
      </c>
      <c r="B25" s="29" t="s">
        <v>228</v>
      </c>
      <c r="C25" s="30"/>
      <c r="D25" s="31" t="s">
        <v>229</v>
      </c>
      <c r="E25" s="30" t="s">
        <v>72</v>
      </c>
      <c r="F25" s="30" t="s">
        <v>50</v>
      </c>
      <c r="G25" s="30" t="s">
        <v>51</v>
      </c>
      <c r="H25" s="28" t="s">
        <v>85</v>
      </c>
      <c r="I25" s="30"/>
      <c r="J25" s="30" t="s">
        <v>53</v>
      </c>
      <c r="K25" s="30" t="s">
        <v>230</v>
      </c>
      <c r="L25" s="30" t="s">
        <v>55</v>
      </c>
      <c r="M25" s="30" t="s">
        <v>231</v>
      </c>
      <c r="N25" s="30" t="s">
        <v>232</v>
      </c>
      <c r="O25" s="30" t="s">
        <v>233</v>
      </c>
      <c r="P25" s="30" t="s">
        <v>234</v>
      </c>
      <c r="Q25" s="28"/>
      <c r="R25" s="30" t="s">
        <v>235</v>
      </c>
      <c r="S25" s="30" t="s">
        <v>53</v>
      </c>
      <c r="T25" s="30"/>
      <c r="U25" s="28" t="s">
        <v>236</v>
      </c>
      <c r="V25" s="30" t="s">
        <v>63</v>
      </c>
      <c r="W25" s="30" t="s">
        <v>80</v>
      </c>
      <c r="X25" s="32">
        <v>44317</v>
      </c>
      <c r="Y25" s="32">
        <v>45627</v>
      </c>
      <c r="Z25" s="30" t="s">
        <v>65</v>
      </c>
      <c r="AA25" s="28" t="s">
        <v>66</v>
      </c>
      <c r="AB25" s="28" t="s">
        <v>67</v>
      </c>
      <c r="AC25" s="29"/>
      <c r="AD25" s="28">
        <v>0</v>
      </c>
      <c r="AE25" s="29"/>
      <c r="AF25" s="31"/>
      <c r="AG25" s="30" t="s">
        <v>237</v>
      </c>
      <c r="AH25" s="28"/>
      <c r="AI25" s="28" t="s">
        <v>53</v>
      </c>
      <c r="AJ25" s="33">
        <v>37435</v>
      </c>
      <c r="AK25" s="28">
        <v>6</v>
      </c>
      <c r="AL25" s="28">
        <v>18</v>
      </c>
      <c r="AM25" s="21" t="s">
        <v>69</v>
      </c>
      <c r="AN25" s="27"/>
      <c r="AO25" s="27"/>
      <c r="AP25" s="27"/>
      <c r="AQ25" s="27"/>
    </row>
    <row r="26" spans="1:43" ht="15.75" customHeight="1">
      <c r="A26" s="28">
        <v>1</v>
      </c>
      <c r="B26" s="29" t="s">
        <v>238</v>
      </c>
      <c r="C26" s="30"/>
      <c r="D26" s="31" t="s">
        <v>239</v>
      </c>
      <c r="E26" s="30" t="s">
        <v>72</v>
      </c>
      <c r="F26" s="30" t="s">
        <v>50</v>
      </c>
      <c r="G26" s="30" t="s">
        <v>51</v>
      </c>
      <c r="H26" s="28" t="s">
        <v>191</v>
      </c>
      <c r="I26" s="30"/>
      <c r="J26" s="30" t="s">
        <v>53</v>
      </c>
      <c r="K26" s="30" t="s">
        <v>240</v>
      </c>
      <c r="L26" s="30" t="s">
        <v>55</v>
      </c>
      <c r="M26" s="30" t="s">
        <v>241</v>
      </c>
      <c r="N26" s="30" t="s">
        <v>242</v>
      </c>
      <c r="O26" s="30" t="s">
        <v>58</v>
      </c>
      <c r="P26" s="30" t="s">
        <v>243</v>
      </c>
      <c r="Q26" s="28"/>
      <c r="R26" s="30" t="s">
        <v>244</v>
      </c>
      <c r="S26" s="30" t="s">
        <v>53</v>
      </c>
      <c r="T26" s="30"/>
      <c r="U26" s="28" t="s">
        <v>245</v>
      </c>
      <c r="V26" s="30" t="s">
        <v>63</v>
      </c>
      <c r="W26" s="30" t="s">
        <v>64</v>
      </c>
      <c r="X26" s="32">
        <v>43678</v>
      </c>
      <c r="Y26" s="32">
        <v>45078</v>
      </c>
      <c r="Z26" s="30" t="s">
        <v>65</v>
      </c>
      <c r="AA26" s="28" t="s">
        <v>246</v>
      </c>
      <c r="AB26" s="28" t="s">
        <v>67</v>
      </c>
      <c r="AC26" s="29"/>
      <c r="AD26" s="28">
        <v>0</v>
      </c>
      <c r="AE26" s="29"/>
      <c r="AF26" s="31"/>
      <c r="AG26" s="30" t="s">
        <v>237</v>
      </c>
      <c r="AH26" s="28"/>
      <c r="AI26" s="28" t="s">
        <v>53</v>
      </c>
      <c r="AJ26" s="33">
        <v>36115</v>
      </c>
      <c r="AK26" s="28">
        <v>9</v>
      </c>
      <c r="AL26" s="28">
        <v>20</v>
      </c>
      <c r="AM26" s="21" t="s">
        <v>69</v>
      </c>
      <c r="AN26" s="27"/>
      <c r="AO26" s="27"/>
      <c r="AP26" s="27"/>
      <c r="AQ26" s="27"/>
    </row>
    <row r="27" spans="1:43" ht="15.75" customHeight="1">
      <c r="A27" s="28">
        <v>1</v>
      </c>
      <c r="B27" s="29" t="s">
        <v>247</v>
      </c>
      <c r="C27" s="30"/>
      <c r="D27" s="31" t="s">
        <v>248</v>
      </c>
      <c r="E27" s="30" t="s">
        <v>49</v>
      </c>
      <c r="F27" s="30" t="s">
        <v>50</v>
      </c>
      <c r="G27" s="30" t="s">
        <v>51</v>
      </c>
      <c r="H27" s="28" t="s">
        <v>85</v>
      </c>
      <c r="I27" s="30"/>
      <c r="J27" s="30" t="s">
        <v>53</v>
      </c>
      <c r="K27" s="30" t="s">
        <v>249</v>
      </c>
      <c r="L27" s="30" t="s">
        <v>55</v>
      </c>
      <c r="M27" s="30" t="s">
        <v>250</v>
      </c>
      <c r="N27" s="30" t="s">
        <v>251</v>
      </c>
      <c r="O27" s="30" t="s">
        <v>252</v>
      </c>
      <c r="P27" s="30" t="s">
        <v>253</v>
      </c>
      <c r="Q27" s="28"/>
      <c r="R27" s="30" t="s">
        <v>254</v>
      </c>
      <c r="S27" s="30" t="s">
        <v>53</v>
      </c>
      <c r="T27" s="30"/>
      <c r="U27" s="28" t="s">
        <v>255</v>
      </c>
      <c r="V27" s="30" t="s">
        <v>63</v>
      </c>
      <c r="W27" s="30" t="s">
        <v>80</v>
      </c>
      <c r="X27" s="32">
        <v>43891</v>
      </c>
      <c r="Y27" s="32">
        <v>45778</v>
      </c>
      <c r="Z27" s="30" t="s">
        <v>65</v>
      </c>
      <c r="AA27" s="28" t="s">
        <v>66</v>
      </c>
      <c r="AB27" s="28" t="s">
        <v>67</v>
      </c>
      <c r="AC27" s="29"/>
      <c r="AD27" s="28">
        <v>0</v>
      </c>
      <c r="AE27" s="29"/>
      <c r="AF27" s="31"/>
      <c r="AG27" s="30" t="s">
        <v>256</v>
      </c>
      <c r="AH27" s="28"/>
      <c r="AI27" s="28" t="s">
        <v>53</v>
      </c>
      <c r="AJ27" s="33">
        <v>36418</v>
      </c>
      <c r="AK27" s="28">
        <v>6</v>
      </c>
      <c r="AL27" s="28">
        <v>23</v>
      </c>
      <c r="AM27" s="21" t="s">
        <v>69</v>
      </c>
      <c r="AN27" s="27"/>
      <c r="AO27" s="27"/>
      <c r="AP27" s="27"/>
      <c r="AQ27" s="27"/>
    </row>
    <row r="28" spans="1:43" ht="15.75" customHeight="1">
      <c r="A28" s="28">
        <v>1</v>
      </c>
      <c r="B28" s="29" t="s">
        <v>257</v>
      </c>
      <c r="C28" s="30" t="s">
        <v>258</v>
      </c>
      <c r="D28" s="31" t="s">
        <v>259</v>
      </c>
      <c r="E28" s="30" t="s">
        <v>72</v>
      </c>
      <c r="F28" s="30" t="s">
        <v>50</v>
      </c>
      <c r="G28" s="30" t="s">
        <v>51</v>
      </c>
      <c r="H28" s="28" t="s">
        <v>85</v>
      </c>
      <c r="I28" s="30"/>
      <c r="J28" s="30" t="s">
        <v>53</v>
      </c>
      <c r="K28" s="30" t="s">
        <v>260</v>
      </c>
      <c r="L28" s="30" t="s">
        <v>55</v>
      </c>
      <c r="M28" s="30" t="s">
        <v>250</v>
      </c>
      <c r="N28" s="30" t="s">
        <v>261</v>
      </c>
      <c r="O28" s="30" t="s">
        <v>262</v>
      </c>
      <c r="P28" s="30" t="s">
        <v>263</v>
      </c>
      <c r="Q28" s="28"/>
      <c r="R28" s="30" t="s">
        <v>264</v>
      </c>
      <c r="S28" s="30" t="s">
        <v>53</v>
      </c>
      <c r="T28" s="30"/>
      <c r="U28" s="28" t="s">
        <v>265</v>
      </c>
      <c r="V28" s="30" t="s">
        <v>63</v>
      </c>
      <c r="W28" s="30" t="s">
        <v>266</v>
      </c>
      <c r="X28" s="32">
        <v>44409</v>
      </c>
      <c r="Y28" s="32">
        <v>45444</v>
      </c>
      <c r="Z28" s="30" t="s">
        <v>65</v>
      </c>
      <c r="AA28" s="28" t="s">
        <v>66</v>
      </c>
      <c r="AB28" s="28" t="s">
        <v>67</v>
      </c>
      <c r="AC28" s="29"/>
      <c r="AD28" s="28">
        <v>0</v>
      </c>
      <c r="AE28" s="29"/>
      <c r="AF28" s="31"/>
      <c r="AG28" s="30" t="s">
        <v>256</v>
      </c>
      <c r="AH28" s="28"/>
      <c r="AI28" s="28" t="s">
        <v>53</v>
      </c>
      <c r="AJ28" s="33">
        <v>36327</v>
      </c>
      <c r="AK28" s="28">
        <v>6</v>
      </c>
      <c r="AL28" s="28">
        <v>20</v>
      </c>
      <c r="AM28" s="21" t="s">
        <v>69</v>
      </c>
      <c r="AN28" s="27"/>
      <c r="AO28" s="27"/>
      <c r="AP28" s="27"/>
      <c r="AQ28" s="27"/>
    </row>
    <row r="29" spans="1:43" ht="15.75" customHeight="1">
      <c r="A29" s="28">
        <v>2</v>
      </c>
      <c r="B29" s="29" t="s">
        <v>267</v>
      </c>
      <c r="C29" s="30"/>
      <c r="D29" s="31" t="s">
        <v>268</v>
      </c>
      <c r="E29" s="30" t="s">
        <v>72</v>
      </c>
      <c r="F29" s="30" t="s">
        <v>50</v>
      </c>
      <c r="G29" s="30" t="s">
        <v>51</v>
      </c>
      <c r="H29" s="28" t="s">
        <v>52</v>
      </c>
      <c r="I29" s="30"/>
      <c r="J29" s="30" t="s">
        <v>53</v>
      </c>
      <c r="K29" s="30" t="s">
        <v>269</v>
      </c>
      <c r="L29" s="30" t="s">
        <v>55</v>
      </c>
      <c r="M29" s="30" t="s">
        <v>270</v>
      </c>
      <c r="N29" s="30" t="s">
        <v>271</v>
      </c>
      <c r="O29" s="30" t="s">
        <v>272</v>
      </c>
      <c r="P29" s="30" t="s">
        <v>273</v>
      </c>
      <c r="Q29" s="28" t="s">
        <v>274</v>
      </c>
      <c r="R29" s="30" t="s">
        <v>275</v>
      </c>
      <c r="S29" s="30" t="s">
        <v>53</v>
      </c>
      <c r="T29" s="30"/>
      <c r="U29" s="28" t="s">
        <v>276</v>
      </c>
      <c r="V29" s="30" t="s">
        <v>63</v>
      </c>
      <c r="W29" s="30" t="s">
        <v>266</v>
      </c>
      <c r="X29" s="32">
        <v>44409</v>
      </c>
      <c r="Y29" s="32">
        <v>45474</v>
      </c>
      <c r="Z29" s="30" t="s">
        <v>65</v>
      </c>
      <c r="AA29" s="28" t="s">
        <v>66</v>
      </c>
      <c r="AB29" s="28" t="s">
        <v>67</v>
      </c>
      <c r="AC29" s="29"/>
      <c r="AD29" s="28">
        <v>0</v>
      </c>
      <c r="AE29" s="29"/>
      <c r="AF29" s="31"/>
      <c r="AG29" s="30" t="s">
        <v>256</v>
      </c>
      <c r="AH29" s="28"/>
      <c r="AI29" s="28" t="s">
        <v>53</v>
      </c>
      <c r="AJ29" s="33">
        <v>37267</v>
      </c>
      <c r="AK29" s="28">
        <v>7</v>
      </c>
      <c r="AL29" s="28">
        <v>16</v>
      </c>
      <c r="AM29" s="21" t="s">
        <v>69</v>
      </c>
      <c r="AN29" s="27"/>
      <c r="AO29" s="27"/>
      <c r="AP29" s="27"/>
      <c r="AQ29" s="27"/>
    </row>
    <row r="30" spans="1:43" ht="15.75" customHeight="1">
      <c r="A30" s="28">
        <v>1</v>
      </c>
      <c r="B30" s="29" t="s">
        <v>277</v>
      </c>
      <c r="C30" s="30"/>
      <c r="D30" s="31" t="s">
        <v>278</v>
      </c>
      <c r="E30" s="30" t="s">
        <v>72</v>
      </c>
      <c r="F30" s="30" t="s">
        <v>50</v>
      </c>
      <c r="G30" s="30" t="s">
        <v>51</v>
      </c>
      <c r="H30" s="28" t="s">
        <v>52</v>
      </c>
      <c r="I30" s="30"/>
      <c r="J30" s="30" t="s">
        <v>53</v>
      </c>
      <c r="K30" s="30" t="s">
        <v>279</v>
      </c>
      <c r="L30" s="30" t="s">
        <v>55</v>
      </c>
      <c r="M30" s="30" t="s">
        <v>250</v>
      </c>
      <c r="N30" s="30" t="s">
        <v>280</v>
      </c>
      <c r="O30" s="30" t="s">
        <v>281</v>
      </c>
      <c r="P30" s="30" t="s">
        <v>282</v>
      </c>
      <c r="Q30" s="28"/>
      <c r="R30" s="30" t="s">
        <v>283</v>
      </c>
      <c r="S30" s="30" t="s">
        <v>53</v>
      </c>
      <c r="T30" s="30"/>
      <c r="U30" s="28" t="s">
        <v>284</v>
      </c>
      <c r="V30" s="30" t="s">
        <v>63</v>
      </c>
      <c r="W30" s="30" t="s">
        <v>64</v>
      </c>
      <c r="X30" s="32">
        <v>44593</v>
      </c>
      <c r="Y30" s="32">
        <v>46419</v>
      </c>
      <c r="Z30" s="30" t="s">
        <v>65</v>
      </c>
      <c r="AA30" s="28" t="s">
        <v>66</v>
      </c>
      <c r="AB30" s="28" t="s">
        <v>67</v>
      </c>
      <c r="AC30" s="29"/>
      <c r="AD30" s="28">
        <v>0</v>
      </c>
      <c r="AE30" s="29"/>
      <c r="AF30" s="31"/>
      <c r="AG30" s="30" t="s">
        <v>256</v>
      </c>
      <c r="AH30" s="28"/>
      <c r="AI30" s="28" t="s">
        <v>53</v>
      </c>
      <c r="AJ30" s="33">
        <v>37901</v>
      </c>
      <c r="AK30" s="28">
        <v>5</v>
      </c>
      <c r="AL30" s="28">
        <v>28</v>
      </c>
      <c r="AM30" s="21" t="s">
        <v>69</v>
      </c>
      <c r="AN30" s="27"/>
      <c r="AO30" s="27"/>
      <c r="AP30" s="27"/>
      <c r="AQ30" s="27"/>
    </row>
    <row r="31" spans="1:43" ht="15.75" customHeight="1">
      <c r="A31" s="28">
        <v>2</v>
      </c>
      <c r="B31" s="29" t="s">
        <v>285</v>
      </c>
      <c r="C31" s="30"/>
      <c r="D31" s="31" t="s">
        <v>286</v>
      </c>
      <c r="E31" s="30" t="s">
        <v>49</v>
      </c>
      <c r="F31" s="30" t="s">
        <v>50</v>
      </c>
      <c r="G31" s="30" t="s">
        <v>51</v>
      </c>
      <c r="H31" s="28" t="s">
        <v>85</v>
      </c>
      <c r="I31" s="30"/>
      <c r="J31" s="30" t="s">
        <v>53</v>
      </c>
      <c r="K31" s="30" t="s">
        <v>287</v>
      </c>
      <c r="L31" s="30" t="s">
        <v>55</v>
      </c>
      <c r="M31" s="30" t="s">
        <v>250</v>
      </c>
      <c r="N31" s="30" t="s">
        <v>288</v>
      </c>
      <c r="O31" s="30" t="s">
        <v>262</v>
      </c>
      <c r="P31" s="30" t="s">
        <v>289</v>
      </c>
      <c r="Q31" s="28"/>
      <c r="R31" s="30" t="s">
        <v>290</v>
      </c>
      <c r="S31" s="30" t="s">
        <v>53</v>
      </c>
      <c r="T31" s="30"/>
      <c r="U31" s="28" t="s">
        <v>276</v>
      </c>
      <c r="V31" s="30" t="s">
        <v>63</v>
      </c>
      <c r="W31" s="30" t="s">
        <v>64</v>
      </c>
      <c r="X31" s="32">
        <v>43862</v>
      </c>
      <c r="Y31" s="32">
        <v>45627</v>
      </c>
      <c r="Z31" s="30" t="s">
        <v>65</v>
      </c>
      <c r="AA31" s="28" t="s">
        <v>134</v>
      </c>
      <c r="AB31" s="28" t="s">
        <v>67</v>
      </c>
      <c r="AC31" s="29"/>
      <c r="AD31" s="28">
        <v>0</v>
      </c>
      <c r="AE31" s="29"/>
      <c r="AF31" s="31"/>
      <c r="AG31" s="30" t="s">
        <v>256</v>
      </c>
      <c r="AH31" s="28"/>
      <c r="AI31" s="28" t="s">
        <v>53</v>
      </c>
      <c r="AJ31" s="33">
        <v>36925</v>
      </c>
      <c r="AK31" s="28">
        <v>8</v>
      </c>
      <c r="AL31" s="28">
        <v>28</v>
      </c>
      <c r="AM31" s="21" t="s">
        <v>69</v>
      </c>
      <c r="AN31" s="27"/>
      <c r="AO31" s="27"/>
      <c r="AP31" s="27"/>
      <c r="AQ31" s="27"/>
    </row>
    <row r="32" spans="1:43" ht="15.75" customHeight="1">
      <c r="A32" s="28">
        <v>3</v>
      </c>
      <c r="B32" s="29" t="s">
        <v>291</v>
      </c>
      <c r="C32" s="30" t="s">
        <v>292</v>
      </c>
      <c r="D32" s="31" t="s">
        <v>293</v>
      </c>
      <c r="E32" s="30" t="s">
        <v>72</v>
      </c>
      <c r="F32" s="30" t="s">
        <v>50</v>
      </c>
      <c r="G32" s="30" t="s">
        <v>51</v>
      </c>
      <c r="H32" s="28" t="s">
        <v>52</v>
      </c>
      <c r="I32" s="30"/>
      <c r="J32" s="30" t="s">
        <v>53</v>
      </c>
      <c r="K32" s="30" t="s">
        <v>294</v>
      </c>
      <c r="L32" s="30" t="s">
        <v>55</v>
      </c>
      <c r="M32" s="30" t="s">
        <v>250</v>
      </c>
      <c r="N32" s="30" t="s">
        <v>295</v>
      </c>
      <c r="O32" s="30" t="s">
        <v>296</v>
      </c>
      <c r="P32" s="30" t="s">
        <v>297</v>
      </c>
      <c r="Q32" s="28"/>
      <c r="R32" s="30" t="s">
        <v>298</v>
      </c>
      <c r="S32" s="30" t="s">
        <v>53</v>
      </c>
      <c r="T32" s="30"/>
      <c r="U32" s="28" t="s">
        <v>299</v>
      </c>
      <c r="V32" s="30" t="s">
        <v>63</v>
      </c>
      <c r="W32" s="30" t="s">
        <v>64</v>
      </c>
      <c r="X32" s="32">
        <v>44409</v>
      </c>
      <c r="Y32" s="32">
        <v>46357</v>
      </c>
      <c r="Z32" s="30" t="s">
        <v>65</v>
      </c>
      <c r="AA32" s="28" t="s">
        <v>66</v>
      </c>
      <c r="AB32" s="28" t="s">
        <v>67</v>
      </c>
      <c r="AC32" s="29"/>
      <c r="AD32" s="28">
        <v>0</v>
      </c>
      <c r="AE32" s="29"/>
      <c r="AF32" s="31"/>
      <c r="AG32" s="30" t="s">
        <v>256</v>
      </c>
      <c r="AH32" s="28"/>
      <c r="AI32" s="28" t="s">
        <v>118</v>
      </c>
      <c r="AJ32" s="33">
        <v>36540</v>
      </c>
      <c r="AK32" s="28">
        <v>5</v>
      </c>
      <c r="AL32" s="28">
        <v>25</v>
      </c>
      <c r="AM32" s="21" t="s">
        <v>69</v>
      </c>
      <c r="AN32" s="27"/>
      <c r="AO32" s="27"/>
      <c r="AP32" s="27"/>
      <c r="AQ32" s="27"/>
    </row>
    <row r="33" spans="1:43" ht="15.75" customHeight="1">
      <c r="A33" s="28">
        <v>4</v>
      </c>
      <c r="B33" s="29" t="s">
        <v>300</v>
      </c>
      <c r="C33" s="30"/>
      <c r="D33" s="31" t="s">
        <v>301</v>
      </c>
      <c r="E33" s="30" t="s">
        <v>49</v>
      </c>
      <c r="F33" s="30" t="s">
        <v>50</v>
      </c>
      <c r="G33" s="30" t="s">
        <v>51</v>
      </c>
      <c r="H33" s="28" t="s">
        <v>52</v>
      </c>
      <c r="I33" s="30"/>
      <c r="J33" s="30" t="s">
        <v>53</v>
      </c>
      <c r="K33" s="30" t="s">
        <v>302</v>
      </c>
      <c r="L33" s="30" t="s">
        <v>55</v>
      </c>
      <c r="M33" s="30" t="s">
        <v>250</v>
      </c>
      <c r="N33" s="30" t="s">
        <v>303</v>
      </c>
      <c r="O33" s="30" t="s">
        <v>304</v>
      </c>
      <c r="P33" s="30" t="s">
        <v>305</v>
      </c>
      <c r="Q33" s="28" t="s">
        <v>306</v>
      </c>
      <c r="R33" s="30" t="s">
        <v>307</v>
      </c>
      <c r="S33" s="30" t="s">
        <v>53</v>
      </c>
      <c r="T33" s="30"/>
      <c r="U33" s="28" t="s">
        <v>308</v>
      </c>
      <c r="V33" s="30" t="s">
        <v>63</v>
      </c>
      <c r="W33" s="30" t="s">
        <v>64</v>
      </c>
      <c r="X33" s="32">
        <v>44197</v>
      </c>
      <c r="Y33" s="32">
        <v>45992</v>
      </c>
      <c r="Z33" s="30" t="s">
        <v>65</v>
      </c>
      <c r="AA33" s="28" t="s">
        <v>134</v>
      </c>
      <c r="AB33" s="28" t="s">
        <v>67</v>
      </c>
      <c r="AC33" s="29"/>
      <c r="AD33" s="28">
        <v>0</v>
      </c>
      <c r="AE33" s="29"/>
      <c r="AF33" s="31"/>
      <c r="AG33" s="30" t="s">
        <v>256</v>
      </c>
      <c r="AH33" s="28"/>
      <c r="AI33" s="28" t="s">
        <v>53</v>
      </c>
      <c r="AJ33" s="33">
        <v>37532</v>
      </c>
      <c r="AK33" s="28">
        <v>6</v>
      </c>
      <c r="AL33" s="28">
        <v>25</v>
      </c>
      <c r="AM33" s="21" t="s">
        <v>69</v>
      </c>
      <c r="AN33" s="27"/>
      <c r="AO33" s="27"/>
      <c r="AP33" s="27"/>
      <c r="AQ33" s="27"/>
    </row>
    <row r="34" spans="1:43" ht="15.75" customHeight="1">
      <c r="A34" s="28">
        <v>5</v>
      </c>
      <c r="B34" s="29" t="s">
        <v>309</v>
      </c>
      <c r="C34" s="30"/>
      <c r="D34" s="31" t="s">
        <v>310</v>
      </c>
      <c r="E34" s="30" t="s">
        <v>72</v>
      </c>
      <c r="F34" s="30" t="s">
        <v>84</v>
      </c>
      <c r="G34" s="30" t="s">
        <v>51</v>
      </c>
      <c r="H34" s="28" t="s">
        <v>85</v>
      </c>
      <c r="I34" s="30"/>
      <c r="J34" s="30" t="s">
        <v>53</v>
      </c>
      <c r="K34" s="30" t="s">
        <v>311</v>
      </c>
      <c r="L34" s="30" t="s">
        <v>55</v>
      </c>
      <c r="M34" s="30" t="s">
        <v>250</v>
      </c>
      <c r="N34" s="30" t="s">
        <v>312</v>
      </c>
      <c r="O34" s="30" t="s">
        <v>313</v>
      </c>
      <c r="P34" s="30" t="s">
        <v>314</v>
      </c>
      <c r="Q34" s="28"/>
      <c r="R34" s="30" t="s">
        <v>315</v>
      </c>
      <c r="S34" s="30" t="s">
        <v>53</v>
      </c>
      <c r="T34" s="30"/>
      <c r="U34" s="28" t="s">
        <v>316</v>
      </c>
      <c r="V34" s="30" t="s">
        <v>63</v>
      </c>
      <c r="W34" s="30" t="s">
        <v>64</v>
      </c>
      <c r="X34" s="32">
        <v>44228</v>
      </c>
      <c r="Y34" s="32">
        <v>45992</v>
      </c>
      <c r="Z34" s="30" t="s">
        <v>65</v>
      </c>
      <c r="AA34" s="28" t="s">
        <v>66</v>
      </c>
      <c r="AB34" s="28" t="s">
        <v>67</v>
      </c>
      <c r="AC34" s="29"/>
      <c r="AD34" s="28">
        <v>0</v>
      </c>
      <c r="AE34" s="29"/>
      <c r="AF34" s="31"/>
      <c r="AG34" s="30" t="s">
        <v>256</v>
      </c>
      <c r="AH34" s="28"/>
      <c r="AI34" s="28" t="s">
        <v>53</v>
      </c>
      <c r="AJ34" s="33">
        <v>30881</v>
      </c>
      <c r="AK34" s="28">
        <v>6</v>
      </c>
      <c r="AL34" s="28">
        <v>24</v>
      </c>
      <c r="AM34" s="21" t="s">
        <v>69</v>
      </c>
      <c r="AN34" s="27"/>
      <c r="AO34" s="27"/>
      <c r="AP34" s="27"/>
      <c r="AQ34" s="27"/>
    </row>
    <row r="35" spans="1:43" ht="15.75" customHeight="1">
      <c r="A35" s="28">
        <v>6</v>
      </c>
      <c r="B35" s="29" t="s">
        <v>317</v>
      </c>
      <c r="C35" s="30"/>
      <c r="D35" s="31" t="s">
        <v>318</v>
      </c>
      <c r="E35" s="30" t="s">
        <v>72</v>
      </c>
      <c r="F35" s="30" t="s">
        <v>84</v>
      </c>
      <c r="G35" s="30" t="s">
        <v>51</v>
      </c>
      <c r="H35" s="28" t="s">
        <v>85</v>
      </c>
      <c r="I35" s="30"/>
      <c r="J35" s="30" t="s">
        <v>53</v>
      </c>
      <c r="K35" s="30" t="s">
        <v>319</v>
      </c>
      <c r="L35" s="30" t="s">
        <v>55</v>
      </c>
      <c r="M35" s="30" t="s">
        <v>250</v>
      </c>
      <c r="N35" s="30" t="s">
        <v>320</v>
      </c>
      <c r="O35" s="30" t="s">
        <v>321</v>
      </c>
      <c r="P35" s="30" t="s">
        <v>322</v>
      </c>
      <c r="Q35" s="28"/>
      <c r="R35" s="30" t="s">
        <v>323</v>
      </c>
      <c r="S35" s="30" t="s">
        <v>53</v>
      </c>
      <c r="T35" s="30"/>
      <c r="U35" s="28" t="s">
        <v>324</v>
      </c>
      <c r="V35" s="30" t="s">
        <v>63</v>
      </c>
      <c r="W35" s="30" t="s">
        <v>64</v>
      </c>
      <c r="X35" s="32">
        <v>43831</v>
      </c>
      <c r="Y35" s="32">
        <v>45992</v>
      </c>
      <c r="Z35" s="30" t="s">
        <v>65</v>
      </c>
      <c r="AA35" s="28" t="s">
        <v>134</v>
      </c>
      <c r="AB35" s="28" t="s">
        <v>67</v>
      </c>
      <c r="AC35" s="29"/>
      <c r="AD35" s="28">
        <v>0</v>
      </c>
      <c r="AE35" s="29"/>
      <c r="AF35" s="31"/>
      <c r="AG35" s="30" t="s">
        <v>256</v>
      </c>
      <c r="AH35" s="28"/>
      <c r="AI35" s="28" t="s">
        <v>53</v>
      </c>
      <c r="AJ35" s="33">
        <v>37514</v>
      </c>
      <c r="AK35" s="28">
        <v>8</v>
      </c>
      <c r="AL35" s="28">
        <v>24</v>
      </c>
      <c r="AM35" s="21" t="s">
        <v>325</v>
      </c>
      <c r="AN35" s="27"/>
      <c r="AO35" s="27"/>
      <c r="AP35" s="27"/>
      <c r="AQ35" s="27"/>
    </row>
    <row r="36" spans="1:43" ht="15.75" customHeight="1">
      <c r="A36" s="28">
        <v>7</v>
      </c>
      <c r="B36" s="29" t="s">
        <v>326</v>
      </c>
      <c r="C36" s="30"/>
      <c r="D36" s="31" t="s">
        <v>327</v>
      </c>
      <c r="E36" s="30" t="s">
        <v>72</v>
      </c>
      <c r="F36" s="30" t="s">
        <v>50</v>
      </c>
      <c r="G36" s="30" t="s">
        <v>51</v>
      </c>
      <c r="H36" s="28" t="s">
        <v>52</v>
      </c>
      <c r="I36" s="30"/>
      <c r="J36" s="30" t="s">
        <v>53</v>
      </c>
      <c r="K36" s="30" t="s">
        <v>328</v>
      </c>
      <c r="L36" s="30" t="s">
        <v>55</v>
      </c>
      <c r="M36" s="30" t="s">
        <v>250</v>
      </c>
      <c r="N36" s="30" t="s">
        <v>329</v>
      </c>
      <c r="O36" s="30" t="s">
        <v>252</v>
      </c>
      <c r="P36" s="30" t="s">
        <v>330</v>
      </c>
      <c r="Q36" s="28"/>
      <c r="R36" s="30" t="s">
        <v>331</v>
      </c>
      <c r="S36" s="30" t="s">
        <v>53</v>
      </c>
      <c r="T36" s="30"/>
      <c r="U36" s="28" t="s">
        <v>62</v>
      </c>
      <c r="V36" s="30" t="s">
        <v>63</v>
      </c>
      <c r="W36" s="30" t="s">
        <v>64</v>
      </c>
      <c r="X36" s="32">
        <v>44774</v>
      </c>
      <c r="Y36" s="32">
        <v>46539</v>
      </c>
      <c r="Z36" s="30" t="s">
        <v>65</v>
      </c>
      <c r="AA36" s="28" t="s">
        <v>134</v>
      </c>
      <c r="AB36" s="28" t="s">
        <v>67</v>
      </c>
      <c r="AC36" s="29"/>
      <c r="AD36" s="28">
        <v>0</v>
      </c>
      <c r="AE36" s="29"/>
      <c r="AF36" s="31"/>
      <c r="AG36" s="30" t="s">
        <v>256</v>
      </c>
      <c r="AH36" s="28"/>
      <c r="AI36" s="28" t="s">
        <v>53</v>
      </c>
      <c r="AJ36" s="33">
        <v>38091</v>
      </c>
      <c r="AK36" s="28">
        <v>5</v>
      </c>
      <c r="AL36" s="28">
        <v>23</v>
      </c>
      <c r="AM36" s="21" t="s">
        <v>69</v>
      </c>
      <c r="AN36" s="27"/>
      <c r="AO36" s="27"/>
      <c r="AP36" s="27"/>
      <c r="AQ36" s="27"/>
    </row>
    <row r="37" spans="1:43" ht="15.75" customHeight="1">
      <c r="A37" s="28">
        <v>8</v>
      </c>
      <c r="B37" s="29" t="s">
        <v>332</v>
      </c>
      <c r="C37" s="30"/>
      <c r="D37" s="31" t="s">
        <v>333</v>
      </c>
      <c r="E37" s="30" t="s">
        <v>72</v>
      </c>
      <c r="F37" s="30" t="s">
        <v>50</v>
      </c>
      <c r="G37" s="30" t="s">
        <v>51</v>
      </c>
      <c r="H37" s="28" t="s">
        <v>85</v>
      </c>
      <c r="I37" s="30"/>
      <c r="J37" s="30" t="s">
        <v>53</v>
      </c>
      <c r="K37" s="30" t="s">
        <v>334</v>
      </c>
      <c r="L37" s="30" t="s">
        <v>55</v>
      </c>
      <c r="M37" s="30" t="s">
        <v>250</v>
      </c>
      <c r="N37" s="30" t="s">
        <v>335</v>
      </c>
      <c r="O37" s="30" t="s">
        <v>336</v>
      </c>
      <c r="P37" s="30" t="s">
        <v>337</v>
      </c>
      <c r="Q37" s="28"/>
      <c r="R37" s="30" t="s">
        <v>338</v>
      </c>
      <c r="S37" s="30" t="s">
        <v>53</v>
      </c>
      <c r="T37" s="30"/>
      <c r="U37" s="28" t="s">
        <v>276</v>
      </c>
      <c r="V37" s="30" t="s">
        <v>63</v>
      </c>
      <c r="W37" s="30" t="s">
        <v>64</v>
      </c>
      <c r="X37" s="32">
        <v>44593</v>
      </c>
      <c r="Y37" s="32">
        <v>46419</v>
      </c>
      <c r="Z37" s="30" t="s">
        <v>65</v>
      </c>
      <c r="AA37" s="28" t="s">
        <v>134</v>
      </c>
      <c r="AB37" s="28" t="s">
        <v>67</v>
      </c>
      <c r="AC37" s="29"/>
      <c r="AD37" s="28">
        <v>0</v>
      </c>
      <c r="AE37" s="29"/>
      <c r="AF37" s="31"/>
      <c r="AG37" s="30" t="s">
        <v>256</v>
      </c>
      <c r="AH37" s="28"/>
      <c r="AI37" s="28" t="s">
        <v>53</v>
      </c>
      <c r="AJ37" s="33">
        <v>38018</v>
      </c>
      <c r="AK37" s="28">
        <v>5</v>
      </c>
      <c r="AL37" s="28">
        <v>23</v>
      </c>
      <c r="AM37" s="21" t="s">
        <v>69</v>
      </c>
      <c r="AN37" s="27"/>
      <c r="AO37" s="27"/>
      <c r="AP37" s="27"/>
      <c r="AQ37" s="27"/>
    </row>
    <row r="38" spans="1:43" ht="15.75" customHeight="1">
      <c r="A38" s="28">
        <v>9</v>
      </c>
      <c r="B38" s="29" t="s">
        <v>339</v>
      </c>
      <c r="C38" s="30" t="s">
        <v>340</v>
      </c>
      <c r="D38" s="31" t="s">
        <v>341</v>
      </c>
      <c r="E38" s="30" t="s">
        <v>72</v>
      </c>
      <c r="F38" s="30" t="s">
        <v>50</v>
      </c>
      <c r="G38" s="30" t="s">
        <v>51</v>
      </c>
      <c r="H38" s="28" t="s">
        <v>52</v>
      </c>
      <c r="I38" s="30"/>
      <c r="J38" s="30" t="s">
        <v>53</v>
      </c>
      <c r="K38" s="30" t="s">
        <v>342</v>
      </c>
      <c r="L38" s="30" t="s">
        <v>55</v>
      </c>
      <c r="M38" s="30" t="s">
        <v>343</v>
      </c>
      <c r="N38" s="30" t="s">
        <v>344</v>
      </c>
      <c r="O38" s="30" t="s">
        <v>345</v>
      </c>
      <c r="P38" s="30" t="s">
        <v>346</v>
      </c>
      <c r="Q38" s="28"/>
      <c r="R38" s="30" t="s">
        <v>347</v>
      </c>
      <c r="S38" s="30" t="s">
        <v>53</v>
      </c>
      <c r="T38" s="30"/>
      <c r="U38" s="28" t="s">
        <v>348</v>
      </c>
      <c r="V38" s="30" t="s">
        <v>63</v>
      </c>
      <c r="W38" s="30" t="s">
        <v>64</v>
      </c>
      <c r="X38" s="32">
        <v>44562</v>
      </c>
      <c r="Y38" s="32">
        <v>46357</v>
      </c>
      <c r="Z38" s="30" t="s">
        <v>65</v>
      </c>
      <c r="AA38" s="28" t="s">
        <v>66</v>
      </c>
      <c r="AB38" s="28" t="s">
        <v>67</v>
      </c>
      <c r="AC38" s="29"/>
      <c r="AD38" s="28">
        <v>0</v>
      </c>
      <c r="AE38" s="29"/>
      <c r="AF38" s="31"/>
      <c r="AG38" s="30" t="s">
        <v>256</v>
      </c>
      <c r="AH38" s="28"/>
      <c r="AI38" s="28" t="s">
        <v>53</v>
      </c>
      <c r="AJ38" s="33">
        <v>38187</v>
      </c>
      <c r="AK38" s="28">
        <v>5</v>
      </c>
      <c r="AL38" s="28">
        <v>23</v>
      </c>
      <c r="AM38" s="21" t="s">
        <v>69</v>
      </c>
      <c r="AN38" s="27"/>
      <c r="AO38" s="27"/>
      <c r="AP38" s="27"/>
      <c r="AQ38" s="27"/>
    </row>
    <row r="39" spans="1:43" ht="15.75" customHeight="1">
      <c r="A39" s="28">
        <v>10</v>
      </c>
      <c r="B39" s="29" t="s">
        <v>349</v>
      </c>
      <c r="C39" s="30" t="s">
        <v>350</v>
      </c>
      <c r="D39" s="31" t="s">
        <v>351</v>
      </c>
      <c r="E39" s="30" t="s">
        <v>72</v>
      </c>
      <c r="F39" s="30" t="s">
        <v>50</v>
      </c>
      <c r="G39" s="30" t="s">
        <v>51</v>
      </c>
      <c r="H39" s="28" t="s">
        <v>52</v>
      </c>
      <c r="I39" s="30"/>
      <c r="J39" s="30" t="s">
        <v>53</v>
      </c>
      <c r="K39" s="30" t="s">
        <v>352</v>
      </c>
      <c r="L39" s="30" t="s">
        <v>55</v>
      </c>
      <c r="M39" s="30" t="s">
        <v>250</v>
      </c>
      <c r="N39" s="30" t="s">
        <v>353</v>
      </c>
      <c r="O39" s="30" t="s">
        <v>354</v>
      </c>
      <c r="P39" s="30" t="s">
        <v>355</v>
      </c>
      <c r="Q39" s="28"/>
      <c r="R39" s="30" t="s">
        <v>356</v>
      </c>
      <c r="S39" s="30" t="s">
        <v>53</v>
      </c>
      <c r="T39" s="30"/>
      <c r="U39" s="28" t="s">
        <v>348</v>
      </c>
      <c r="V39" s="30" t="s">
        <v>63</v>
      </c>
      <c r="W39" s="30" t="s">
        <v>64</v>
      </c>
      <c r="X39" s="32">
        <v>44197</v>
      </c>
      <c r="Y39" s="32">
        <v>45658</v>
      </c>
      <c r="Z39" s="30" t="s">
        <v>65</v>
      </c>
      <c r="AA39" s="28" t="s">
        <v>66</v>
      </c>
      <c r="AB39" s="28" t="s">
        <v>67</v>
      </c>
      <c r="AC39" s="29"/>
      <c r="AD39" s="28">
        <v>0</v>
      </c>
      <c r="AE39" s="29"/>
      <c r="AF39" s="31"/>
      <c r="AG39" s="30" t="s">
        <v>256</v>
      </c>
      <c r="AH39" s="28"/>
      <c r="AI39" s="28" t="s">
        <v>53</v>
      </c>
      <c r="AJ39" s="33">
        <v>37540</v>
      </c>
      <c r="AK39" s="28">
        <v>6</v>
      </c>
      <c r="AL39" s="28">
        <v>23</v>
      </c>
      <c r="AM39" s="21" t="s">
        <v>325</v>
      </c>
      <c r="AN39" s="27"/>
      <c r="AO39" s="27"/>
      <c r="AP39" s="27"/>
      <c r="AQ39" s="27"/>
    </row>
    <row r="40" spans="1:43" ht="15.75" customHeight="1">
      <c r="A40" s="28">
        <v>11</v>
      </c>
      <c r="B40" s="29" t="s">
        <v>357</v>
      </c>
      <c r="C40" s="30" t="s">
        <v>358</v>
      </c>
      <c r="D40" s="31" t="s">
        <v>359</v>
      </c>
      <c r="E40" s="30" t="s">
        <v>72</v>
      </c>
      <c r="F40" s="30" t="s">
        <v>50</v>
      </c>
      <c r="G40" s="30" t="s">
        <v>51</v>
      </c>
      <c r="H40" s="28" t="s">
        <v>85</v>
      </c>
      <c r="I40" s="30"/>
      <c r="J40" s="30" t="s">
        <v>53</v>
      </c>
      <c r="K40" s="30" t="s">
        <v>360</v>
      </c>
      <c r="L40" s="30" t="s">
        <v>55</v>
      </c>
      <c r="M40" s="30" t="s">
        <v>250</v>
      </c>
      <c r="N40" s="30" t="s">
        <v>361</v>
      </c>
      <c r="O40" s="30" t="s">
        <v>362</v>
      </c>
      <c r="P40" s="30" t="s">
        <v>363</v>
      </c>
      <c r="Q40" s="28"/>
      <c r="R40" s="30" t="s">
        <v>364</v>
      </c>
      <c r="S40" s="30" t="s">
        <v>53</v>
      </c>
      <c r="T40" s="30"/>
      <c r="U40" s="28" t="s">
        <v>62</v>
      </c>
      <c r="V40" s="30" t="s">
        <v>63</v>
      </c>
      <c r="W40" s="30" t="s">
        <v>64</v>
      </c>
      <c r="X40" s="32">
        <v>44348</v>
      </c>
      <c r="Y40" s="32">
        <v>46174</v>
      </c>
      <c r="Z40" s="30" t="s">
        <v>65</v>
      </c>
      <c r="AA40" s="28" t="s">
        <v>66</v>
      </c>
      <c r="AB40" s="28" t="s">
        <v>67</v>
      </c>
      <c r="AC40" s="29"/>
      <c r="AD40" s="28">
        <v>0</v>
      </c>
      <c r="AE40" s="29"/>
      <c r="AF40" s="31"/>
      <c r="AG40" s="30" t="s">
        <v>256</v>
      </c>
      <c r="AH40" s="28"/>
      <c r="AI40" s="28" t="s">
        <v>53</v>
      </c>
      <c r="AJ40" s="33">
        <v>37437</v>
      </c>
      <c r="AK40" s="28">
        <v>5</v>
      </c>
      <c r="AL40" s="28">
        <v>23</v>
      </c>
      <c r="AM40" s="21" t="s">
        <v>325</v>
      </c>
      <c r="AN40" s="27"/>
      <c r="AO40" s="27"/>
      <c r="AP40" s="27"/>
      <c r="AQ40" s="27"/>
    </row>
    <row r="41" spans="1:43" ht="15.75" customHeight="1">
      <c r="A41" s="28">
        <v>12</v>
      </c>
      <c r="B41" s="29" t="s">
        <v>365</v>
      </c>
      <c r="C41" s="30"/>
      <c r="D41" s="31" t="s">
        <v>366</v>
      </c>
      <c r="E41" s="30" t="s">
        <v>72</v>
      </c>
      <c r="F41" s="30" t="s">
        <v>50</v>
      </c>
      <c r="G41" s="30" t="s">
        <v>51</v>
      </c>
      <c r="H41" s="28" t="s">
        <v>52</v>
      </c>
      <c r="I41" s="30"/>
      <c r="J41" s="30" t="s">
        <v>53</v>
      </c>
      <c r="K41" s="30" t="s">
        <v>367</v>
      </c>
      <c r="L41" s="30" t="s">
        <v>55</v>
      </c>
      <c r="M41" s="30" t="s">
        <v>368</v>
      </c>
      <c r="N41" s="30" t="s">
        <v>369</v>
      </c>
      <c r="O41" s="30" t="s">
        <v>58</v>
      </c>
      <c r="P41" s="30" t="s">
        <v>370</v>
      </c>
      <c r="Q41" s="28"/>
      <c r="R41" s="30" t="s">
        <v>371</v>
      </c>
      <c r="S41" s="30" t="s">
        <v>53</v>
      </c>
      <c r="T41" s="30"/>
      <c r="U41" s="28" t="s">
        <v>308</v>
      </c>
      <c r="V41" s="30" t="s">
        <v>63</v>
      </c>
      <c r="W41" s="30" t="s">
        <v>64</v>
      </c>
      <c r="X41" s="32">
        <v>44409</v>
      </c>
      <c r="Y41" s="32">
        <v>46174</v>
      </c>
      <c r="Z41" s="30" t="s">
        <v>65</v>
      </c>
      <c r="AA41" s="28" t="s">
        <v>66</v>
      </c>
      <c r="AB41" s="28" t="s">
        <v>67</v>
      </c>
      <c r="AC41" s="29"/>
      <c r="AD41" s="28">
        <v>0</v>
      </c>
      <c r="AE41" s="29"/>
      <c r="AF41" s="31"/>
      <c r="AG41" s="30" t="s">
        <v>256</v>
      </c>
      <c r="AH41" s="28"/>
      <c r="AI41" s="28" t="s">
        <v>53</v>
      </c>
      <c r="AJ41" s="33">
        <v>37645</v>
      </c>
      <c r="AK41" s="28">
        <v>5</v>
      </c>
      <c r="AL41" s="28">
        <v>22</v>
      </c>
      <c r="AM41" s="21" t="s">
        <v>69</v>
      </c>
      <c r="AN41" s="27"/>
      <c r="AO41" s="27"/>
      <c r="AP41" s="27"/>
      <c r="AQ41" s="27"/>
    </row>
    <row r="42" spans="1:43" ht="15.75" customHeight="1">
      <c r="A42" s="28">
        <v>13</v>
      </c>
      <c r="B42" s="29" t="s">
        <v>372</v>
      </c>
      <c r="C42" s="30"/>
      <c r="D42" s="31" t="s">
        <v>373</v>
      </c>
      <c r="E42" s="30" t="s">
        <v>49</v>
      </c>
      <c r="F42" s="30" t="s">
        <v>50</v>
      </c>
      <c r="G42" s="30" t="s">
        <v>51</v>
      </c>
      <c r="H42" s="28" t="s">
        <v>191</v>
      </c>
      <c r="I42" s="30"/>
      <c r="J42" s="30" t="s">
        <v>53</v>
      </c>
      <c r="K42" s="30" t="s">
        <v>374</v>
      </c>
      <c r="L42" s="30" t="s">
        <v>55</v>
      </c>
      <c r="M42" s="30" t="s">
        <v>250</v>
      </c>
      <c r="N42" s="30" t="s">
        <v>375</v>
      </c>
      <c r="O42" s="30" t="s">
        <v>376</v>
      </c>
      <c r="P42" s="30" t="s">
        <v>377</v>
      </c>
      <c r="Q42" s="28" t="s">
        <v>378</v>
      </c>
      <c r="R42" s="30" t="s">
        <v>379</v>
      </c>
      <c r="S42" s="30" t="s">
        <v>53</v>
      </c>
      <c r="T42" s="30"/>
      <c r="U42" s="28" t="s">
        <v>380</v>
      </c>
      <c r="V42" s="30" t="s">
        <v>63</v>
      </c>
      <c r="W42" s="30" t="s">
        <v>64</v>
      </c>
      <c r="X42" s="32">
        <v>44044</v>
      </c>
      <c r="Y42" s="32">
        <v>46235</v>
      </c>
      <c r="Z42" s="30" t="s">
        <v>65</v>
      </c>
      <c r="AA42" s="28" t="s">
        <v>134</v>
      </c>
      <c r="AB42" s="28" t="s">
        <v>67</v>
      </c>
      <c r="AC42" s="29"/>
      <c r="AD42" s="28">
        <v>0</v>
      </c>
      <c r="AE42" s="29"/>
      <c r="AF42" s="31"/>
      <c r="AG42" s="30" t="s">
        <v>256</v>
      </c>
      <c r="AH42" s="28"/>
      <c r="AI42" s="28" t="s">
        <v>53</v>
      </c>
      <c r="AJ42" s="33">
        <v>37538</v>
      </c>
      <c r="AK42" s="28">
        <v>5</v>
      </c>
      <c r="AL42" s="28">
        <v>22</v>
      </c>
      <c r="AM42" s="21" t="s">
        <v>69</v>
      </c>
      <c r="AN42" s="27"/>
      <c r="AO42" s="27"/>
      <c r="AP42" s="27"/>
      <c r="AQ42" s="27"/>
    </row>
    <row r="43" spans="1:43" ht="15.75" customHeight="1">
      <c r="A43" s="28">
        <v>14</v>
      </c>
      <c r="B43" s="29" t="s">
        <v>381</v>
      </c>
      <c r="C43" s="30"/>
      <c r="D43" s="31" t="s">
        <v>382</v>
      </c>
      <c r="E43" s="30" t="s">
        <v>49</v>
      </c>
      <c r="F43" s="30" t="s">
        <v>50</v>
      </c>
      <c r="G43" s="30" t="s">
        <v>51</v>
      </c>
      <c r="H43" s="28" t="s">
        <v>85</v>
      </c>
      <c r="I43" s="30"/>
      <c r="J43" s="30" t="s">
        <v>53</v>
      </c>
      <c r="K43" s="30" t="s">
        <v>383</v>
      </c>
      <c r="L43" s="30" t="s">
        <v>55</v>
      </c>
      <c r="M43" s="30" t="s">
        <v>250</v>
      </c>
      <c r="N43" s="30" t="s">
        <v>384</v>
      </c>
      <c r="O43" s="30" t="s">
        <v>385</v>
      </c>
      <c r="P43" s="30" t="s">
        <v>386</v>
      </c>
      <c r="Q43" s="28"/>
      <c r="R43" s="30" t="s">
        <v>387</v>
      </c>
      <c r="S43" s="30" t="s">
        <v>53</v>
      </c>
      <c r="T43" s="30"/>
      <c r="U43" s="28" t="s">
        <v>388</v>
      </c>
      <c r="V43" s="30" t="s">
        <v>63</v>
      </c>
      <c r="W43" s="30" t="s">
        <v>64</v>
      </c>
      <c r="X43" s="32">
        <v>44774</v>
      </c>
      <c r="Y43" s="32">
        <v>46600</v>
      </c>
      <c r="Z43" s="30" t="s">
        <v>65</v>
      </c>
      <c r="AA43" s="28" t="s">
        <v>66</v>
      </c>
      <c r="AB43" s="28" t="s">
        <v>67</v>
      </c>
      <c r="AC43" s="29"/>
      <c r="AD43" s="28">
        <v>0</v>
      </c>
      <c r="AE43" s="29"/>
      <c r="AF43" s="31"/>
      <c r="AG43" s="30" t="s">
        <v>256</v>
      </c>
      <c r="AH43" s="28"/>
      <c r="AI43" s="28" t="s">
        <v>53</v>
      </c>
      <c r="AJ43" s="33">
        <v>37647</v>
      </c>
      <c r="AK43" s="28">
        <v>5</v>
      </c>
      <c r="AL43" s="28">
        <v>21</v>
      </c>
      <c r="AM43" s="21" t="s">
        <v>325</v>
      </c>
      <c r="AN43" s="27"/>
      <c r="AO43" s="27"/>
      <c r="AP43" s="27"/>
      <c r="AQ43" s="27"/>
    </row>
    <row r="44" spans="1:43" ht="15.75" customHeight="1">
      <c r="A44" s="28">
        <v>15</v>
      </c>
      <c r="B44" s="29" t="s">
        <v>389</v>
      </c>
      <c r="C44" s="30"/>
      <c r="D44" s="31" t="s">
        <v>390</v>
      </c>
      <c r="E44" s="30" t="s">
        <v>72</v>
      </c>
      <c r="F44" s="30" t="s">
        <v>50</v>
      </c>
      <c r="G44" s="30" t="s">
        <v>51</v>
      </c>
      <c r="H44" s="28" t="s">
        <v>52</v>
      </c>
      <c r="I44" s="30"/>
      <c r="J44" s="30" t="s">
        <v>53</v>
      </c>
      <c r="K44" s="30" t="s">
        <v>391</v>
      </c>
      <c r="L44" s="30" t="s">
        <v>55</v>
      </c>
      <c r="M44" s="30" t="s">
        <v>250</v>
      </c>
      <c r="N44" s="30" t="s">
        <v>392</v>
      </c>
      <c r="O44" s="30" t="s">
        <v>252</v>
      </c>
      <c r="P44" s="30" t="s">
        <v>393</v>
      </c>
      <c r="Q44" s="28" t="s">
        <v>394</v>
      </c>
      <c r="R44" s="30" t="s">
        <v>395</v>
      </c>
      <c r="S44" s="30" t="s">
        <v>53</v>
      </c>
      <c r="T44" s="30"/>
      <c r="U44" s="28" t="s">
        <v>62</v>
      </c>
      <c r="V44" s="30" t="s">
        <v>63</v>
      </c>
      <c r="W44" s="30" t="s">
        <v>64</v>
      </c>
      <c r="X44" s="32">
        <v>44409</v>
      </c>
      <c r="Y44" s="32">
        <v>46174</v>
      </c>
      <c r="Z44" s="30" t="s">
        <v>65</v>
      </c>
      <c r="AA44" s="28" t="s">
        <v>134</v>
      </c>
      <c r="AB44" s="28" t="s">
        <v>67</v>
      </c>
      <c r="AC44" s="29"/>
      <c r="AD44" s="28">
        <v>0</v>
      </c>
      <c r="AE44" s="29"/>
      <c r="AF44" s="31"/>
      <c r="AG44" s="30" t="s">
        <v>256</v>
      </c>
      <c r="AH44" s="28"/>
      <c r="AI44" s="28" t="s">
        <v>53</v>
      </c>
      <c r="AJ44" s="33">
        <v>37828</v>
      </c>
      <c r="AK44" s="28">
        <v>5</v>
      </c>
      <c r="AL44" s="28">
        <v>21</v>
      </c>
      <c r="AM44" s="21" t="s">
        <v>69</v>
      </c>
      <c r="AN44" s="27"/>
      <c r="AO44" s="27"/>
      <c r="AP44" s="27"/>
      <c r="AQ44" s="27"/>
    </row>
    <row r="45" spans="1:43" ht="15.75" customHeight="1">
      <c r="A45" s="28">
        <v>16</v>
      </c>
      <c r="B45" s="29" t="s">
        <v>396</v>
      </c>
      <c r="C45" s="30" t="s">
        <v>397</v>
      </c>
      <c r="D45" s="31" t="s">
        <v>398</v>
      </c>
      <c r="E45" s="30" t="s">
        <v>72</v>
      </c>
      <c r="F45" s="30" t="s">
        <v>50</v>
      </c>
      <c r="G45" s="30" t="s">
        <v>51</v>
      </c>
      <c r="H45" s="28" t="s">
        <v>85</v>
      </c>
      <c r="I45" s="30"/>
      <c r="J45" s="30" t="s">
        <v>53</v>
      </c>
      <c r="K45" s="30" t="s">
        <v>399</v>
      </c>
      <c r="L45" s="30" t="s">
        <v>55</v>
      </c>
      <c r="M45" s="30" t="s">
        <v>250</v>
      </c>
      <c r="N45" s="30" t="s">
        <v>400</v>
      </c>
      <c r="O45" s="30" t="s">
        <v>401</v>
      </c>
      <c r="P45" s="30" t="s">
        <v>402</v>
      </c>
      <c r="Q45" s="28" t="s">
        <v>403</v>
      </c>
      <c r="R45" s="30" t="s">
        <v>404</v>
      </c>
      <c r="S45" s="30" t="s">
        <v>53</v>
      </c>
      <c r="T45" s="30"/>
      <c r="U45" s="28" t="s">
        <v>62</v>
      </c>
      <c r="V45" s="30" t="s">
        <v>63</v>
      </c>
      <c r="W45" s="30" t="s">
        <v>64</v>
      </c>
      <c r="X45" s="32">
        <v>44197</v>
      </c>
      <c r="Y45" s="32">
        <v>45992</v>
      </c>
      <c r="Z45" s="30" t="s">
        <v>65</v>
      </c>
      <c r="AA45" s="28" t="s">
        <v>134</v>
      </c>
      <c r="AB45" s="28" t="s">
        <v>67</v>
      </c>
      <c r="AC45" s="29"/>
      <c r="AD45" s="28">
        <v>0</v>
      </c>
      <c r="AE45" s="29"/>
      <c r="AF45" s="31"/>
      <c r="AG45" s="30" t="s">
        <v>256</v>
      </c>
      <c r="AH45" s="28"/>
      <c r="AI45" s="28" t="s">
        <v>53</v>
      </c>
      <c r="AJ45" s="33">
        <v>36844</v>
      </c>
      <c r="AK45" s="28">
        <v>6</v>
      </c>
      <c r="AL45" s="28">
        <v>21</v>
      </c>
      <c r="AM45" s="21" t="s">
        <v>69</v>
      </c>
      <c r="AN45" s="27"/>
      <c r="AO45" s="27"/>
      <c r="AP45" s="27"/>
      <c r="AQ45" s="27"/>
    </row>
    <row r="46" spans="1:43" ht="15.75" customHeight="1">
      <c r="A46" s="28">
        <v>17</v>
      </c>
      <c r="B46" s="29" t="s">
        <v>405</v>
      </c>
      <c r="C46" s="30"/>
      <c r="D46" s="31" t="s">
        <v>406</v>
      </c>
      <c r="E46" s="30" t="s">
        <v>72</v>
      </c>
      <c r="F46" s="30" t="s">
        <v>50</v>
      </c>
      <c r="G46" s="30" t="s">
        <v>51</v>
      </c>
      <c r="H46" s="28" t="s">
        <v>85</v>
      </c>
      <c r="I46" s="30"/>
      <c r="J46" s="30" t="s">
        <v>53</v>
      </c>
      <c r="K46" s="30" t="s">
        <v>407</v>
      </c>
      <c r="L46" s="30" t="s">
        <v>55</v>
      </c>
      <c r="M46" s="30" t="s">
        <v>408</v>
      </c>
      <c r="N46" s="30" t="s">
        <v>409</v>
      </c>
      <c r="O46" s="30" t="s">
        <v>410</v>
      </c>
      <c r="P46" s="30" t="s">
        <v>411</v>
      </c>
      <c r="Q46" s="28" t="s">
        <v>412</v>
      </c>
      <c r="R46" s="30" t="s">
        <v>413</v>
      </c>
      <c r="S46" s="30" t="s">
        <v>53</v>
      </c>
      <c r="T46" s="30"/>
      <c r="U46" s="28" t="s">
        <v>62</v>
      </c>
      <c r="V46" s="30" t="s">
        <v>63</v>
      </c>
      <c r="W46" s="30" t="s">
        <v>64</v>
      </c>
      <c r="X46" s="32">
        <v>44409</v>
      </c>
      <c r="Y46" s="32">
        <v>46204</v>
      </c>
      <c r="Z46" s="30" t="s">
        <v>65</v>
      </c>
      <c r="AA46" s="28" t="s">
        <v>134</v>
      </c>
      <c r="AB46" s="28" t="s">
        <v>67</v>
      </c>
      <c r="AC46" s="29"/>
      <c r="AD46" s="28">
        <v>0</v>
      </c>
      <c r="AE46" s="29"/>
      <c r="AF46" s="31"/>
      <c r="AG46" s="30" t="s">
        <v>256</v>
      </c>
      <c r="AH46" s="28"/>
      <c r="AI46" s="28" t="s">
        <v>53</v>
      </c>
      <c r="AJ46" s="33">
        <v>37505</v>
      </c>
      <c r="AK46" s="28">
        <v>5</v>
      </c>
      <c r="AL46" s="28">
        <v>20</v>
      </c>
      <c r="AM46" s="21" t="s">
        <v>69</v>
      </c>
      <c r="AN46" s="27"/>
      <c r="AO46" s="27"/>
      <c r="AP46" s="27"/>
      <c r="AQ46" s="27"/>
    </row>
    <row r="47" spans="1:43" ht="15.75" customHeight="1">
      <c r="A47" s="28">
        <v>18</v>
      </c>
      <c r="B47" s="29" t="s">
        <v>414</v>
      </c>
      <c r="C47" s="30"/>
      <c r="D47" s="31" t="s">
        <v>415</v>
      </c>
      <c r="E47" s="30" t="s">
        <v>72</v>
      </c>
      <c r="F47" s="30" t="s">
        <v>50</v>
      </c>
      <c r="G47" s="30" t="s">
        <v>51</v>
      </c>
      <c r="H47" s="28" t="s">
        <v>85</v>
      </c>
      <c r="I47" s="30"/>
      <c r="J47" s="30" t="s">
        <v>53</v>
      </c>
      <c r="K47" s="30" t="s">
        <v>416</v>
      </c>
      <c r="L47" s="30" t="s">
        <v>55</v>
      </c>
      <c r="M47" s="30" t="s">
        <v>250</v>
      </c>
      <c r="N47" s="30" t="s">
        <v>417</v>
      </c>
      <c r="O47" s="30" t="s">
        <v>418</v>
      </c>
      <c r="P47" s="30" t="s">
        <v>419</v>
      </c>
      <c r="Q47" s="28" t="s">
        <v>420</v>
      </c>
      <c r="R47" s="30" t="s">
        <v>421</v>
      </c>
      <c r="S47" s="30" t="s">
        <v>53</v>
      </c>
      <c r="T47" s="30"/>
      <c r="U47" s="28" t="s">
        <v>422</v>
      </c>
      <c r="V47" s="30" t="s">
        <v>63</v>
      </c>
      <c r="W47" s="30" t="s">
        <v>64</v>
      </c>
      <c r="X47" s="32">
        <v>44197</v>
      </c>
      <c r="Y47" s="32">
        <v>45992</v>
      </c>
      <c r="Z47" s="30" t="s">
        <v>65</v>
      </c>
      <c r="AA47" s="28" t="s">
        <v>66</v>
      </c>
      <c r="AB47" s="28" t="s">
        <v>67</v>
      </c>
      <c r="AC47" s="29"/>
      <c r="AD47" s="28">
        <v>0</v>
      </c>
      <c r="AE47" s="29"/>
      <c r="AF47" s="31"/>
      <c r="AG47" s="30" t="s">
        <v>256</v>
      </c>
      <c r="AH47" s="28"/>
      <c r="AI47" s="28" t="s">
        <v>53</v>
      </c>
      <c r="AJ47" s="33">
        <v>37679</v>
      </c>
      <c r="AK47" s="28">
        <v>6</v>
      </c>
      <c r="AL47" s="28">
        <v>20</v>
      </c>
      <c r="AM47" s="21" t="s">
        <v>69</v>
      </c>
      <c r="AN47" s="27"/>
      <c r="AO47" s="27"/>
      <c r="AP47" s="27"/>
      <c r="AQ47" s="27"/>
    </row>
    <row r="48" spans="1:43" ht="15.75" customHeight="1">
      <c r="A48" s="28">
        <v>19</v>
      </c>
      <c r="B48" s="29" t="s">
        <v>423</v>
      </c>
      <c r="C48" s="30"/>
      <c r="D48" s="31" t="s">
        <v>424</v>
      </c>
      <c r="E48" s="30" t="s">
        <v>72</v>
      </c>
      <c r="F48" s="30" t="s">
        <v>50</v>
      </c>
      <c r="G48" s="30" t="s">
        <v>51</v>
      </c>
      <c r="H48" s="28" t="s">
        <v>191</v>
      </c>
      <c r="I48" s="30"/>
      <c r="J48" s="30" t="s">
        <v>53</v>
      </c>
      <c r="K48" s="30" t="s">
        <v>425</v>
      </c>
      <c r="L48" s="30" t="s">
        <v>55</v>
      </c>
      <c r="M48" s="30" t="s">
        <v>250</v>
      </c>
      <c r="N48" s="30" t="s">
        <v>426</v>
      </c>
      <c r="O48" s="30" t="s">
        <v>427</v>
      </c>
      <c r="P48" s="30" t="s">
        <v>428</v>
      </c>
      <c r="Q48" s="28"/>
      <c r="R48" s="30" t="s">
        <v>429</v>
      </c>
      <c r="S48" s="30" t="s">
        <v>53</v>
      </c>
      <c r="T48" s="30"/>
      <c r="U48" s="28" t="s">
        <v>430</v>
      </c>
      <c r="V48" s="30" t="s">
        <v>63</v>
      </c>
      <c r="W48" s="30" t="s">
        <v>64</v>
      </c>
      <c r="X48" s="32">
        <v>43831</v>
      </c>
      <c r="Y48" s="32">
        <v>45658</v>
      </c>
      <c r="Z48" s="30" t="s">
        <v>65</v>
      </c>
      <c r="AA48" s="28" t="s">
        <v>66</v>
      </c>
      <c r="AB48" s="28" t="s">
        <v>67</v>
      </c>
      <c r="AC48" s="29"/>
      <c r="AD48" s="28">
        <v>0</v>
      </c>
      <c r="AE48" s="29"/>
      <c r="AF48" s="31"/>
      <c r="AG48" s="30" t="s">
        <v>256</v>
      </c>
      <c r="AH48" s="28" t="s">
        <v>431</v>
      </c>
      <c r="AI48" s="28" t="s">
        <v>53</v>
      </c>
      <c r="AJ48" s="33">
        <v>36278</v>
      </c>
      <c r="AK48" s="28">
        <v>8</v>
      </c>
      <c r="AL48" s="28">
        <v>19</v>
      </c>
      <c r="AM48" s="21" t="s">
        <v>69</v>
      </c>
      <c r="AN48" s="27"/>
      <c r="AO48" s="27"/>
      <c r="AP48" s="27"/>
      <c r="AQ48" s="27"/>
    </row>
    <row r="49" spans="1:43" ht="15.75" customHeight="1">
      <c r="A49" s="28">
        <v>20</v>
      </c>
      <c r="B49" s="29" t="s">
        <v>432</v>
      </c>
      <c r="C49" s="30" t="s">
        <v>433</v>
      </c>
      <c r="D49" s="31" t="s">
        <v>434</v>
      </c>
      <c r="E49" s="30" t="s">
        <v>72</v>
      </c>
      <c r="F49" s="30" t="s">
        <v>50</v>
      </c>
      <c r="G49" s="30" t="s">
        <v>51</v>
      </c>
      <c r="H49" s="28" t="s">
        <v>52</v>
      </c>
      <c r="I49" s="30"/>
      <c r="J49" s="30" t="s">
        <v>53</v>
      </c>
      <c r="K49" s="30" t="s">
        <v>435</v>
      </c>
      <c r="L49" s="30" t="s">
        <v>55</v>
      </c>
      <c r="M49" s="30" t="s">
        <v>250</v>
      </c>
      <c r="N49" s="30" t="s">
        <v>436</v>
      </c>
      <c r="O49" s="30" t="s">
        <v>437</v>
      </c>
      <c r="P49" s="30" t="s">
        <v>438</v>
      </c>
      <c r="Q49" s="28" t="s">
        <v>439</v>
      </c>
      <c r="R49" s="30" t="s">
        <v>440</v>
      </c>
      <c r="S49" s="30" t="s">
        <v>53</v>
      </c>
      <c r="T49" s="30"/>
      <c r="U49" s="28" t="s">
        <v>441</v>
      </c>
      <c r="V49" s="30" t="s">
        <v>63</v>
      </c>
      <c r="W49" s="30" t="s">
        <v>64</v>
      </c>
      <c r="X49" s="32">
        <v>43831</v>
      </c>
      <c r="Y49" s="32">
        <v>45627</v>
      </c>
      <c r="Z49" s="30" t="s">
        <v>65</v>
      </c>
      <c r="AA49" s="28" t="s">
        <v>66</v>
      </c>
      <c r="AB49" s="28" t="s">
        <v>67</v>
      </c>
      <c r="AC49" s="29"/>
      <c r="AD49" s="28">
        <v>0</v>
      </c>
      <c r="AE49" s="29"/>
      <c r="AF49" s="31"/>
      <c r="AG49" s="30" t="s">
        <v>256</v>
      </c>
      <c r="AH49" s="28"/>
      <c r="AI49" s="28" t="s">
        <v>53</v>
      </c>
      <c r="AJ49" s="33">
        <v>37325</v>
      </c>
      <c r="AK49" s="28">
        <v>8</v>
      </c>
      <c r="AL49" s="28">
        <v>19</v>
      </c>
      <c r="AM49" s="21" t="s">
        <v>69</v>
      </c>
      <c r="AN49" s="27"/>
      <c r="AO49" s="27"/>
      <c r="AP49" s="27"/>
      <c r="AQ49" s="27"/>
    </row>
    <row r="50" spans="1:43" ht="15.75" customHeight="1">
      <c r="A50" s="28">
        <v>21</v>
      </c>
      <c r="B50" s="29" t="s">
        <v>442</v>
      </c>
      <c r="C50" s="30" t="s">
        <v>443</v>
      </c>
      <c r="D50" s="31" t="s">
        <v>444</v>
      </c>
      <c r="E50" s="30" t="s">
        <v>72</v>
      </c>
      <c r="F50" s="30" t="s">
        <v>50</v>
      </c>
      <c r="G50" s="30" t="s">
        <v>51</v>
      </c>
      <c r="H50" s="28" t="s">
        <v>85</v>
      </c>
      <c r="I50" s="30"/>
      <c r="J50" s="30" t="s">
        <v>53</v>
      </c>
      <c r="K50" s="30" t="s">
        <v>360</v>
      </c>
      <c r="L50" s="30" t="s">
        <v>55</v>
      </c>
      <c r="M50" s="30" t="s">
        <v>250</v>
      </c>
      <c r="N50" s="30" t="s">
        <v>445</v>
      </c>
      <c r="O50" s="30" t="s">
        <v>362</v>
      </c>
      <c r="P50" s="30" t="s">
        <v>446</v>
      </c>
      <c r="Q50" s="28"/>
      <c r="R50" s="30" t="s">
        <v>447</v>
      </c>
      <c r="S50" s="30" t="s">
        <v>53</v>
      </c>
      <c r="T50" s="30"/>
      <c r="U50" s="28" t="s">
        <v>448</v>
      </c>
      <c r="V50" s="30" t="s">
        <v>63</v>
      </c>
      <c r="W50" s="30" t="s">
        <v>64</v>
      </c>
      <c r="X50" s="32">
        <v>44348</v>
      </c>
      <c r="Y50" s="32">
        <v>46174</v>
      </c>
      <c r="Z50" s="30" t="s">
        <v>65</v>
      </c>
      <c r="AA50" s="28" t="s">
        <v>66</v>
      </c>
      <c r="AB50" s="28" t="s">
        <v>67</v>
      </c>
      <c r="AC50" s="29"/>
      <c r="AD50" s="28">
        <v>0</v>
      </c>
      <c r="AE50" s="29"/>
      <c r="AF50" s="31"/>
      <c r="AG50" s="30" t="s">
        <v>256</v>
      </c>
      <c r="AH50" s="28"/>
      <c r="AI50" s="28" t="s">
        <v>53</v>
      </c>
      <c r="AJ50" s="33">
        <v>37437</v>
      </c>
      <c r="AK50" s="28">
        <v>5</v>
      </c>
      <c r="AL50" s="28">
        <v>19</v>
      </c>
      <c r="AM50" s="21" t="s">
        <v>69</v>
      </c>
      <c r="AN50" s="27"/>
      <c r="AO50" s="27"/>
      <c r="AP50" s="27"/>
      <c r="AQ50" s="27"/>
    </row>
    <row r="51" spans="1:43" ht="15.75" customHeight="1">
      <c r="A51" s="28">
        <v>22</v>
      </c>
      <c r="B51" s="29" t="s">
        <v>449</v>
      </c>
      <c r="C51" s="30"/>
      <c r="D51" s="31" t="s">
        <v>450</v>
      </c>
      <c r="E51" s="30" t="s">
        <v>72</v>
      </c>
      <c r="F51" s="30" t="s">
        <v>50</v>
      </c>
      <c r="G51" s="30" t="s">
        <v>51</v>
      </c>
      <c r="H51" s="28" t="s">
        <v>85</v>
      </c>
      <c r="I51" s="30"/>
      <c r="J51" s="30" t="s">
        <v>53</v>
      </c>
      <c r="K51" s="30" t="s">
        <v>451</v>
      </c>
      <c r="L51" s="30" t="s">
        <v>55</v>
      </c>
      <c r="M51" s="30" t="s">
        <v>250</v>
      </c>
      <c r="N51" s="30" t="s">
        <v>452</v>
      </c>
      <c r="O51" s="30" t="s">
        <v>453</v>
      </c>
      <c r="P51" s="30" t="s">
        <v>454</v>
      </c>
      <c r="Q51" s="28"/>
      <c r="R51" s="30" t="s">
        <v>455</v>
      </c>
      <c r="S51" s="30" t="s">
        <v>53</v>
      </c>
      <c r="T51" s="30"/>
      <c r="U51" s="28" t="s">
        <v>456</v>
      </c>
      <c r="V51" s="30" t="s">
        <v>63</v>
      </c>
      <c r="W51" s="30" t="s">
        <v>64</v>
      </c>
      <c r="X51" s="32">
        <v>43831</v>
      </c>
      <c r="Y51" s="32">
        <v>45627</v>
      </c>
      <c r="Z51" s="30" t="s">
        <v>65</v>
      </c>
      <c r="AA51" s="28" t="s">
        <v>66</v>
      </c>
      <c r="AB51" s="28" t="s">
        <v>67</v>
      </c>
      <c r="AC51" s="29"/>
      <c r="AD51" s="28">
        <v>0</v>
      </c>
      <c r="AE51" s="29"/>
      <c r="AF51" s="31"/>
      <c r="AG51" s="30" t="s">
        <v>256</v>
      </c>
      <c r="AH51" s="28"/>
      <c r="AI51" s="28" t="s">
        <v>53</v>
      </c>
      <c r="AJ51" s="33">
        <v>37098</v>
      </c>
      <c r="AK51" s="28">
        <v>8</v>
      </c>
      <c r="AL51" s="28">
        <v>19</v>
      </c>
      <c r="AM51" s="21" t="s">
        <v>69</v>
      </c>
      <c r="AN51" s="27"/>
      <c r="AO51" s="27"/>
      <c r="AP51" s="27"/>
      <c r="AQ51" s="27"/>
    </row>
    <row r="52" spans="1:43" ht="15.75" customHeight="1">
      <c r="A52" s="28">
        <v>23</v>
      </c>
      <c r="B52" s="29" t="s">
        <v>457</v>
      </c>
      <c r="C52" s="30" t="s">
        <v>458</v>
      </c>
      <c r="D52" s="31" t="s">
        <v>459</v>
      </c>
      <c r="E52" s="30" t="s">
        <v>72</v>
      </c>
      <c r="F52" s="30" t="s">
        <v>50</v>
      </c>
      <c r="G52" s="30" t="s">
        <v>51</v>
      </c>
      <c r="H52" s="28" t="s">
        <v>52</v>
      </c>
      <c r="I52" s="30"/>
      <c r="J52" s="30" t="s">
        <v>53</v>
      </c>
      <c r="K52" s="30" t="s">
        <v>328</v>
      </c>
      <c r="L52" s="30" t="s">
        <v>55</v>
      </c>
      <c r="M52" s="30" t="s">
        <v>250</v>
      </c>
      <c r="N52" s="30" t="s">
        <v>460</v>
      </c>
      <c r="O52" s="30" t="s">
        <v>252</v>
      </c>
      <c r="P52" s="30" t="s">
        <v>461</v>
      </c>
      <c r="Q52" s="28"/>
      <c r="R52" s="30" t="s">
        <v>462</v>
      </c>
      <c r="S52" s="30" t="s">
        <v>53</v>
      </c>
      <c r="T52" s="30"/>
      <c r="U52" s="28" t="s">
        <v>62</v>
      </c>
      <c r="V52" s="30" t="s">
        <v>63</v>
      </c>
      <c r="W52" s="30" t="s">
        <v>64</v>
      </c>
      <c r="X52" s="32">
        <v>43831</v>
      </c>
      <c r="Y52" s="32">
        <v>45627</v>
      </c>
      <c r="Z52" s="30" t="s">
        <v>65</v>
      </c>
      <c r="AA52" s="28" t="s">
        <v>134</v>
      </c>
      <c r="AB52" s="28" t="s">
        <v>67</v>
      </c>
      <c r="AC52" s="29"/>
      <c r="AD52" s="28">
        <v>0</v>
      </c>
      <c r="AE52" s="29"/>
      <c r="AF52" s="31"/>
      <c r="AG52" s="30" t="s">
        <v>256</v>
      </c>
      <c r="AH52" s="28"/>
      <c r="AI52" s="28" t="s">
        <v>118</v>
      </c>
      <c r="AJ52" s="33">
        <v>37036</v>
      </c>
      <c r="AK52" s="28">
        <v>8</v>
      </c>
      <c r="AL52" s="28">
        <v>18</v>
      </c>
      <c r="AM52" s="21" t="s">
        <v>69</v>
      </c>
      <c r="AN52" s="27"/>
      <c r="AO52" s="27"/>
      <c r="AP52" s="27"/>
      <c r="AQ52" s="27"/>
    </row>
    <row r="53" spans="1:43" ht="15.75" customHeight="1">
      <c r="A53" s="28">
        <v>24</v>
      </c>
      <c r="B53" s="29" t="s">
        <v>463</v>
      </c>
      <c r="C53" s="30" t="s">
        <v>464</v>
      </c>
      <c r="D53" s="31" t="s">
        <v>465</v>
      </c>
      <c r="E53" s="30" t="s">
        <v>72</v>
      </c>
      <c r="F53" s="30" t="s">
        <v>50</v>
      </c>
      <c r="G53" s="30" t="s">
        <v>51</v>
      </c>
      <c r="H53" s="28" t="s">
        <v>85</v>
      </c>
      <c r="I53" s="30"/>
      <c r="J53" s="30" t="s">
        <v>53</v>
      </c>
      <c r="K53" s="30" t="s">
        <v>328</v>
      </c>
      <c r="L53" s="30" t="s">
        <v>55</v>
      </c>
      <c r="M53" s="30" t="s">
        <v>250</v>
      </c>
      <c r="N53" s="30" t="s">
        <v>466</v>
      </c>
      <c r="O53" s="30" t="s">
        <v>252</v>
      </c>
      <c r="P53" s="30" t="s">
        <v>467</v>
      </c>
      <c r="Q53" s="28"/>
      <c r="R53" s="30" t="s">
        <v>468</v>
      </c>
      <c r="S53" s="30" t="s">
        <v>53</v>
      </c>
      <c r="T53" s="30"/>
      <c r="U53" s="28" t="s">
        <v>62</v>
      </c>
      <c r="V53" s="30" t="s">
        <v>63</v>
      </c>
      <c r="W53" s="30" t="s">
        <v>64</v>
      </c>
      <c r="X53" s="32">
        <v>44197</v>
      </c>
      <c r="Y53" s="32">
        <v>45992</v>
      </c>
      <c r="Z53" s="30" t="s">
        <v>65</v>
      </c>
      <c r="AA53" s="28" t="s">
        <v>134</v>
      </c>
      <c r="AB53" s="28" t="s">
        <v>67</v>
      </c>
      <c r="AC53" s="29"/>
      <c r="AD53" s="28">
        <v>0</v>
      </c>
      <c r="AE53" s="29"/>
      <c r="AF53" s="31"/>
      <c r="AG53" s="30" t="s">
        <v>256</v>
      </c>
      <c r="AH53" s="28"/>
      <c r="AI53" s="28" t="s">
        <v>53</v>
      </c>
      <c r="AJ53" s="33">
        <v>37604</v>
      </c>
      <c r="AK53" s="28">
        <v>6</v>
      </c>
      <c r="AL53" s="28">
        <v>18</v>
      </c>
      <c r="AM53" s="21" t="s">
        <v>69</v>
      </c>
      <c r="AN53" s="27"/>
      <c r="AO53" s="27"/>
      <c r="AP53" s="27"/>
      <c r="AQ53" s="27"/>
    </row>
    <row r="54" spans="1:43" ht="15.75" customHeight="1">
      <c r="A54" s="28">
        <v>25</v>
      </c>
      <c r="B54" s="29" t="s">
        <v>469</v>
      </c>
      <c r="C54" s="30" t="s">
        <v>470</v>
      </c>
      <c r="D54" s="31" t="s">
        <v>471</v>
      </c>
      <c r="E54" s="30" t="s">
        <v>49</v>
      </c>
      <c r="F54" s="30" t="s">
        <v>84</v>
      </c>
      <c r="G54" s="30" t="s">
        <v>51</v>
      </c>
      <c r="H54" s="28" t="s">
        <v>85</v>
      </c>
      <c r="I54" s="30"/>
      <c r="J54" s="30" t="s">
        <v>53</v>
      </c>
      <c r="K54" s="30" t="s">
        <v>472</v>
      </c>
      <c r="L54" s="30" t="s">
        <v>55</v>
      </c>
      <c r="M54" s="30" t="s">
        <v>250</v>
      </c>
      <c r="N54" s="30" t="s">
        <v>473</v>
      </c>
      <c r="O54" s="30" t="s">
        <v>321</v>
      </c>
      <c r="P54" s="30" t="s">
        <v>474</v>
      </c>
      <c r="Q54" s="28"/>
      <c r="R54" s="30" t="s">
        <v>475</v>
      </c>
      <c r="S54" s="30" t="s">
        <v>53</v>
      </c>
      <c r="T54" s="30"/>
      <c r="U54" s="28" t="s">
        <v>476</v>
      </c>
      <c r="V54" s="30" t="s">
        <v>63</v>
      </c>
      <c r="W54" s="30" t="s">
        <v>64</v>
      </c>
      <c r="X54" s="32">
        <v>44197</v>
      </c>
      <c r="Y54" s="32">
        <v>45992</v>
      </c>
      <c r="Z54" s="30" t="s">
        <v>65</v>
      </c>
      <c r="AA54" s="28" t="s">
        <v>66</v>
      </c>
      <c r="AB54" s="28" t="s">
        <v>67</v>
      </c>
      <c r="AC54" s="29"/>
      <c r="AD54" s="28">
        <v>0</v>
      </c>
      <c r="AE54" s="29"/>
      <c r="AF54" s="31"/>
      <c r="AG54" s="30" t="s">
        <v>256</v>
      </c>
      <c r="AH54" s="28"/>
      <c r="AI54" s="28" t="s">
        <v>53</v>
      </c>
      <c r="AJ54" s="33">
        <v>35944</v>
      </c>
      <c r="AK54" s="28">
        <v>6</v>
      </c>
      <c r="AL54" s="28">
        <v>18</v>
      </c>
      <c r="AM54" s="21" t="s">
        <v>69</v>
      </c>
      <c r="AN54" s="27"/>
      <c r="AO54" s="27"/>
      <c r="AP54" s="27"/>
      <c r="AQ54" s="27"/>
    </row>
    <row r="55" spans="1:43" ht="15.75" customHeight="1">
      <c r="A55" s="28">
        <v>26</v>
      </c>
      <c r="B55" s="29" t="s">
        <v>477</v>
      </c>
      <c r="C55" s="30" t="s">
        <v>478</v>
      </c>
      <c r="D55" s="31" t="s">
        <v>479</v>
      </c>
      <c r="E55" s="30" t="s">
        <v>72</v>
      </c>
      <c r="F55" s="30" t="s">
        <v>50</v>
      </c>
      <c r="G55" s="30" t="s">
        <v>51</v>
      </c>
      <c r="H55" s="28" t="s">
        <v>52</v>
      </c>
      <c r="I55" s="30"/>
      <c r="J55" s="30" t="s">
        <v>53</v>
      </c>
      <c r="K55" s="30" t="s">
        <v>480</v>
      </c>
      <c r="L55" s="30" t="s">
        <v>55</v>
      </c>
      <c r="M55" s="30" t="s">
        <v>250</v>
      </c>
      <c r="N55" s="30" t="s">
        <v>481</v>
      </c>
      <c r="O55" s="30" t="s">
        <v>482</v>
      </c>
      <c r="P55" s="30" t="s">
        <v>483</v>
      </c>
      <c r="Q55" s="28"/>
      <c r="R55" s="30" t="s">
        <v>484</v>
      </c>
      <c r="S55" s="30" t="s">
        <v>53</v>
      </c>
      <c r="T55" s="30"/>
      <c r="U55" s="28" t="s">
        <v>284</v>
      </c>
      <c r="V55" s="30" t="s">
        <v>63</v>
      </c>
      <c r="W55" s="30" t="s">
        <v>64</v>
      </c>
      <c r="X55" s="32">
        <v>43862</v>
      </c>
      <c r="Y55" s="32">
        <v>45627</v>
      </c>
      <c r="Z55" s="30" t="s">
        <v>65</v>
      </c>
      <c r="AA55" s="28" t="s">
        <v>66</v>
      </c>
      <c r="AB55" s="28" t="s">
        <v>67</v>
      </c>
      <c r="AC55" s="29"/>
      <c r="AD55" s="28">
        <v>0</v>
      </c>
      <c r="AE55" s="29"/>
      <c r="AF55" s="31"/>
      <c r="AG55" s="30" t="s">
        <v>256</v>
      </c>
      <c r="AH55" s="28"/>
      <c r="AI55" s="28" t="s">
        <v>53</v>
      </c>
      <c r="AJ55" s="33">
        <v>37192</v>
      </c>
      <c r="AK55" s="28">
        <v>8</v>
      </c>
      <c r="AL55" s="28">
        <v>18</v>
      </c>
      <c r="AM55" s="21" t="s">
        <v>69</v>
      </c>
      <c r="AN55" s="27"/>
      <c r="AO55" s="27"/>
      <c r="AP55" s="27"/>
      <c r="AQ55" s="27"/>
    </row>
    <row r="56" spans="1:43" ht="15.75" customHeight="1">
      <c r="A56" s="28">
        <v>27</v>
      </c>
      <c r="B56" s="29" t="s">
        <v>485</v>
      </c>
      <c r="C56" s="30" t="s">
        <v>486</v>
      </c>
      <c r="D56" s="31" t="s">
        <v>487</v>
      </c>
      <c r="E56" s="30" t="s">
        <v>72</v>
      </c>
      <c r="F56" s="30" t="s">
        <v>50</v>
      </c>
      <c r="G56" s="30" t="s">
        <v>51</v>
      </c>
      <c r="H56" s="28" t="s">
        <v>52</v>
      </c>
      <c r="I56" s="30"/>
      <c r="J56" s="30" t="s">
        <v>53</v>
      </c>
      <c r="K56" s="30" t="s">
        <v>488</v>
      </c>
      <c r="L56" s="30" t="s">
        <v>55</v>
      </c>
      <c r="M56" s="30" t="s">
        <v>250</v>
      </c>
      <c r="N56" s="30" t="s">
        <v>489</v>
      </c>
      <c r="O56" s="30" t="s">
        <v>490</v>
      </c>
      <c r="P56" s="30" t="s">
        <v>491</v>
      </c>
      <c r="Q56" s="28"/>
      <c r="R56" s="30" t="s">
        <v>492</v>
      </c>
      <c r="S56" s="30" t="s">
        <v>53</v>
      </c>
      <c r="T56" s="30"/>
      <c r="U56" s="28" t="s">
        <v>276</v>
      </c>
      <c r="V56" s="30" t="s">
        <v>63</v>
      </c>
      <c r="W56" s="30" t="s">
        <v>64</v>
      </c>
      <c r="X56" s="32">
        <v>44409</v>
      </c>
      <c r="Y56" s="32">
        <v>46204</v>
      </c>
      <c r="Z56" s="30" t="s">
        <v>65</v>
      </c>
      <c r="AA56" s="28" t="s">
        <v>134</v>
      </c>
      <c r="AB56" s="28" t="s">
        <v>67</v>
      </c>
      <c r="AC56" s="29"/>
      <c r="AD56" s="28">
        <v>0</v>
      </c>
      <c r="AE56" s="29"/>
      <c r="AF56" s="31"/>
      <c r="AG56" s="30" t="s">
        <v>256</v>
      </c>
      <c r="AH56" s="28" t="s">
        <v>431</v>
      </c>
      <c r="AI56" s="28" t="s">
        <v>53</v>
      </c>
      <c r="AJ56" s="33">
        <v>37682</v>
      </c>
      <c r="AK56" s="28">
        <v>5</v>
      </c>
      <c r="AL56" s="28">
        <v>17</v>
      </c>
      <c r="AM56" s="21" t="s">
        <v>69</v>
      </c>
      <c r="AN56" s="27"/>
      <c r="AO56" s="27"/>
      <c r="AP56" s="27"/>
      <c r="AQ56" s="27"/>
    </row>
    <row r="57" spans="1:43" ht="15.75" customHeight="1">
      <c r="A57" s="28">
        <v>28</v>
      </c>
      <c r="B57" s="29" t="s">
        <v>493</v>
      </c>
      <c r="C57" s="30"/>
      <c r="D57" s="31" t="s">
        <v>494</v>
      </c>
      <c r="E57" s="30" t="s">
        <v>72</v>
      </c>
      <c r="F57" s="30" t="s">
        <v>50</v>
      </c>
      <c r="G57" s="30" t="s">
        <v>51</v>
      </c>
      <c r="H57" s="28" t="s">
        <v>52</v>
      </c>
      <c r="I57" s="30"/>
      <c r="J57" s="30" t="s">
        <v>53</v>
      </c>
      <c r="K57" s="30" t="s">
        <v>495</v>
      </c>
      <c r="L57" s="30" t="s">
        <v>55</v>
      </c>
      <c r="M57" s="30" t="s">
        <v>250</v>
      </c>
      <c r="N57" s="30" t="s">
        <v>496</v>
      </c>
      <c r="O57" s="30" t="s">
        <v>497</v>
      </c>
      <c r="P57" s="30" t="s">
        <v>498</v>
      </c>
      <c r="Q57" s="28" t="s">
        <v>499</v>
      </c>
      <c r="R57" s="30" t="s">
        <v>500</v>
      </c>
      <c r="S57" s="30" t="s">
        <v>53</v>
      </c>
      <c r="T57" s="30"/>
      <c r="U57" s="28" t="s">
        <v>316</v>
      </c>
      <c r="V57" s="30" t="s">
        <v>63</v>
      </c>
      <c r="W57" s="30" t="s">
        <v>64</v>
      </c>
      <c r="X57" s="32">
        <v>43678</v>
      </c>
      <c r="Y57" s="32">
        <v>45566</v>
      </c>
      <c r="Z57" s="30" t="s">
        <v>65</v>
      </c>
      <c r="AA57" s="28" t="s">
        <v>66</v>
      </c>
      <c r="AB57" s="28" t="s">
        <v>67</v>
      </c>
      <c r="AC57" s="29"/>
      <c r="AD57" s="28">
        <v>0</v>
      </c>
      <c r="AE57" s="29"/>
      <c r="AF57" s="31"/>
      <c r="AG57" s="30" t="s">
        <v>256</v>
      </c>
      <c r="AH57" s="28"/>
      <c r="AI57" s="28" t="s">
        <v>53</v>
      </c>
      <c r="AJ57" s="33">
        <v>34800</v>
      </c>
      <c r="AK57" s="28">
        <v>9</v>
      </c>
      <c r="AL57" s="28">
        <v>17</v>
      </c>
      <c r="AM57" s="21" t="s">
        <v>69</v>
      </c>
      <c r="AN57" s="27"/>
      <c r="AO57" s="27"/>
      <c r="AP57" s="27"/>
      <c r="AQ57" s="27"/>
    </row>
    <row r="58" spans="1:43" ht="15.75" customHeight="1">
      <c r="A58" s="28">
        <v>29</v>
      </c>
      <c r="B58" s="29" t="s">
        <v>501</v>
      </c>
      <c r="C58" s="30" t="s">
        <v>502</v>
      </c>
      <c r="D58" s="31" t="s">
        <v>503</v>
      </c>
      <c r="E58" s="30" t="s">
        <v>72</v>
      </c>
      <c r="F58" s="30" t="s">
        <v>50</v>
      </c>
      <c r="G58" s="30" t="s">
        <v>51</v>
      </c>
      <c r="H58" s="28" t="s">
        <v>52</v>
      </c>
      <c r="I58" s="30"/>
      <c r="J58" s="30" t="s">
        <v>53</v>
      </c>
      <c r="K58" s="30" t="s">
        <v>504</v>
      </c>
      <c r="L58" s="30" t="s">
        <v>55</v>
      </c>
      <c r="M58" s="30" t="s">
        <v>250</v>
      </c>
      <c r="N58" s="30" t="s">
        <v>505</v>
      </c>
      <c r="O58" s="30" t="s">
        <v>506</v>
      </c>
      <c r="P58" s="30" t="s">
        <v>507</v>
      </c>
      <c r="Q58" s="28"/>
      <c r="R58" s="30" t="s">
        <v>508</v>
      </c>
      <c r="S58" s="30" t="s">
        <v>53</v>
      </c>
      <c r="T58" s="30"/>
      <c r="U58" s="28" t="s">
        <v>348</v>
      </c>
      <c r="V58" s="30" t="s">
        <v>63</v>
      </c>
      <c r="W58" s="30" t="s">
        <v>64</v>
      </c>
      <c r="X58" s="32">
        <v>44409</v>
      </c>
      <c r="Y58" s="32">
        <v>46174</v>
      </c>
      <c r="Z58" s="30" t="s">
        <v>65</v>
      </c>
      <c r="AA58" s="28" t="s">
        <v>66</v>
      </c>
      <c r="AB58" s="28" t="s">
        <v>67</v>
      </c>
      <c r="AC58" s="29"/>
      <c r="AD58" s="28">
        <v>0</v>
      </c>
      <c r="AE58" s="29"/>
      <c r="AF58" s="31"/>
      <c r="AG58" s="30" t="s">
        <v>256</v>
      </c>
      <c r="AH58" s="28"/>
      <c r="AI58" s="28" t="s">
        <v>53</v>
      </c>
      <c r="AJ58" s="33">
        <v>37302</v>
      </c>
      <c r="AK58" s="28">
        <v>5</v>
      </c>
      <c r="AL58" s="28">
        <v>17</v>
      </c>
      <c r="AM58" s="21" t="s">
        <v>69</v>
      </c>
      <c r="AN58" s="27"/>
      <c r="AO58" s="27"/>
      <c r="AP58" s="27"/>
      <c r="AQ58" s="27"/>
    </row>
    <row r="59" spans="1:43" ht="15.75" customHeight="1">
      <c r="A59" s="28">
        <v>30</v>
      </c>
      <c r="B59" s="29" t="s">
        <v>509</v>
      </c>
      <c r="C59" s="30" t="s">
        <v>510</v>
      </c>
      <c r="D59" s="31" t="s">
        <v>511</v>
      </c>
      <c r="E59" s="30" t="s">
        <v>72</v>
      </c>
      <c r="F59" s="30" t="s">
        <v>84</v>
      </c>
      <c r="G59" s="30" t="s">
        <v>51</v>
      </c>
      <c r="H59" s="28" t="s">
        <v>52</v>
      </c>
      <c r="I59" s="30"/>
      <c r="J59" s="30" t="s">
        <v>53</v>
      </c>
      <c r="K59" s="30" t="s">
        <v>512</v>
      </c>
      <c r="L59" s="30" t="s">
        <v>55</v>
      </c>
      <c r="M59" s="30" t="s">
        <v>250</v>
      </c>
      <c r="N59" s="30" t="s">
        <v>513</v>
      </c>
      <c r="O59" s="30" t="s">
        <v>514</v>
      </c>
      <c r="P59" s="30" t="s">
        <v>515</v>
      </c>
      <c r="Q59" s="28"/>
      <c r="R59" s="30" t="s">
        <v>516</v>
      </c>
      <c r="S59" s="30" t="s">
        <v>53</v>
      </c>
      <c r="T59" s="30"/>
      <c r="U59" s="28" t="s">
        <v>276</v>
      </c>
      <c r="V59" s="30" t="s">
        <v>63</v>
      </c>
      <c r="W59" s="30" t="s">
        <v>64</v>
      </c>
      <c r="X59" s="32">
        <v>43831</v>
      </c>
      <c r="Y59" s="32">
        <v>45627</v>
      </c>
      <c r="Z59" s="30" t="s">
        <v>65</v>
      </c>
      <c r="AA59" s="28" t="s">
        <v>66</v>
      </c>
      <c r="AB59" s="28" t="s">
        <v>67</v>
      </c>
      <c r="AC59" s="29"/>
      <c r="AD59" s="28">
        <v>0</v>
      </c>
      <c r="AE59" s="29"/>
      <c r="AF59" s="31"/>
      <c r="AG59" s="30" t="s">
        <v>256</v>
      </c>
      <c r="AH59" s="28"/>
      <c r="AI59" s="28" t="s">
        <v>53</v>
      </c>
      <c r="AJ59" s="33">
        <v>35292</v>
      </c>
      <c r="AK59" s="28">
        <v>8</v>
      </c>
      <c r="AL59" s="28">
        <v>16</v>
      </c>
      <c r="AM59" s="21" t="s">
        <v>69</v>
      </c>
      <c r="AN59" s="27"/>
      <c r="AO59" s="27"/>
      <c r="AP59" s="27"/>
      <c r="AQ59" s="27"/>
    </row>
    <row r="60" spans="1:43" ht="15.75" customHeight="1">
      <c r="A60" s="28">
        <v>31</v>
      </c>
      <c r="B60" s="29" t="s">
        <v>517</v>
      </c>
      <c r="C60" s="30"/>
      <c r="D60" s="31" t="s">
        <v>518</v>
      </c>
      <c r="E60" s="30" t="s">
        <v>72</v>
      </c>
      <c r="F60" s="30" t="s">
        <v>50</v>
      </c>
      <c r="G60" s="30" t="s">
        <v>51</v>
      </c>
      <c r="H60" s="28" t="s">
        <v>85</v>
      </c>
      <c r="I60" s="30"/>
      <c r="J60" s="30" t="s">
        <v>53</v>
      </c>
      <c r="K60" s="30" t="s">
        <v>519</v>
      </c>
      <c r="L60" s="30" t="s">
        <v>55</v>
      </c>
      <c r="M60" s="30" t="s">
        <v>250</v>
      </c>
      <c r="N60" s="30" t="s">
        <v>520</v>
      </c>
      <c r="O60" s="30" t="s">
        <v>521</v>
      </c>
      <c r="P60" s="30" t="s">
        <v>522</v>
      </c>
      <c r="Q60" s="28"/>
      <c r="R60" s="30" t="s">
        <v>523</v>
      </c>
      <c r="S60" s="30" t="s">
        <v>53</v>
      </c>
      <c r="T60" s="30"/>
      <c r="U60" s="28" t="s">
        <v>524</v>
      </c>
      <c r="V60" s="30" t="s">
        <v>63</v>
      </c>
      <c r="W60" s="30" t="s">
        <v>64</v>
      </c>
      <c r="X60" s="32">
        <v>44197</v>
      </c>
      <c r="Y60" s="32">
        <v>45992</v>
      </c>
      <c r="Z60" s="30" t="s">
        <v>65</v>
      </c>
      <c r="AA60" s="28" t="s">
        <v>66</v>
      </c>
      <c r="AB60" s="28" t="s">
        <v>67</v>
      </c>
      <c r="AC60" s="29"/>
      <c r="AD60" s="28">
        <v>0</v>
      </c>
      <c r="AE60" s="29"/>
      <c r="AF60" s="31"/>
      <c r="AG60" s="30" t="s">
        <v>256</v>
      </c>
      <c r="AH60" s="28"/>
      <c r="AI60" s="28" t="s">
        <v>53</v>
      </c>
      <c r="AJ60" s="33">
        <v>37698</v>
      </c>
      <c r="AK60" s="28">
        <v>6</v>
      </c>
      <c r="AL60" s="28">
        <v>16</v>
      </c>
      <c r="AM60" s="21" t="s">
        <v>69</v>
      </c>
      <c r="AN60" s="27"/>
      <c r="AO60" s="27"/>
      <c r="AP60" s="27"/>
      <c r="AQ60" s="27"/>
    </row>
    <row r="61" spans="1:43" ht="15.75" customHeight="1">
      <c r="A61" s="28">
        <v>32</v>
      </c>
      <c r="B61" s="29" t="s">
        <v>525</v>
      </c>
      <c r="C61" s="30"/>
      <c r="D61" s="31" t="s">
        <v>526</v>
      </c>
      <c r="E61" s="30" t="s">
        <v>72</v>
      </c>
      <c r="F61" s="30" t="s">
        <v>50</v>
      </c>
      <c r="G61" s="30" t="s">
        <v>51</v>
      </c>
      <c r="H61" s="28" t="s">
        <v>85</v>
      </c>
      <c r="I61" s="30"/>
      <c r="J61" s="30" t="s">
        <v>53</v>
      </c>
      <c r="K61" s="30" t="s">
        <v>527</v>
      </c>
      <c r="L61" s="30" t="s">
        <v>55</v>
      </c>
      <c r="M61" s="30" t="s">
        <v>250</v>
      </c>
      <c r="N61" s="30" t="s">
        <v>528</v>
      </c>
      <c r="O61" s="30" t="s">
        <v>529</v>
      </c>
      <c r="P61" s="30" t="s">
        <v>530</v>
      </c>
      <c r="Q61" s="28" t="s">
        <v>531</v>
      </c>
      <c r="R61" s="30" t="s">
        <v>532</v>
      </c>
      <c r="S61" s="30" t="s">
        <v>53</v>
      </c>
      <c r="T61" s="30"/>
      <c r="U61" s="28" t="s">
        <v>284</v>
      </c>
      <c r="V61" s="30" t="s">
        <v>63</v>
      </c>
      <c r="W61" s="30" t="s">
        <v>64</v>
      </c>
      <c r="X61" s="32">
        <v>44593</v>
      </c>
      <c r="Y61" s="32">
        <v>46357</v>
      </c>
      <c r="Z61" s="30" t="s">
        <v>65</v>
      </c>
      <c r="AA61" s="28" t="s">
        <v>134</v>
      </c>
      <c r="AB61" s="28" t="s">
        <v>67</v>
      </c>
      <c r="AC61" s="29"/>
      <c r="AD61" s="28">
        <v>0</v>
      </c>
      <c r="AE61" s="29"/>
      <c r="AF61" s="31"/>
      <c r="AG61" s="30" t="s">
        <v>256</v>
      </c>
      <c r="AH61" s="28"/>
      <c r="AI61" s="28" t="s">
        <v>53</v>
      </c>
      <c r="AJ61" s="33">
        <v>38003</v>
      </c>
      <c r="AK61" s="28">
        <v>5</v>
      </c>
      <c r="AL61" s="28">
        <v>16</v>
      </c>
      <c r="AM61" s="21" t="s">
        <v>69</v>
      </c>
      <c r="AN61" s="27"/>
      <c r="AO61" s="27"/>
      <c r="AP61" s="27"/>
      <c r="AQ61" s="27"/>
    </row>
    <row r="62" spans="1:43" ht="15.75" customHeight="1">
      <c r="A62" s="28">
        <v>33</v>
      </c>
      <c r="B62" s="29" t="s">
        <v>533</v>
      </c>
      <c r="C62" s="30"/>
      <c r="D62" s="31" t="s">
        <v>534</v>
      </c>
      <c r="E62" s="30" t="s">
        <v>49</v>
      </c>
      <c r="F62" s="30" t="s">
        <v>50</v>
      </c>
      <c r="G62" s="30" t="s">
        <v>51</v>
      </c>
      <c r="H62" s="28" t="s">
        <v>85</v>
      </c>
      <c r="I62" s="30"/>
      <c r="J62" s="30" t="s">
        <v>53</v>
      </c>
      <c r="K62" s="30" t="s">
        <v>535</v>
      </c>
      <c r="L62" s="30" t="s">
        <v>55</v>
      </c>
      <c r="M62" s="30" t="s">
        <v>250</v>
      </c>
      <c r="N62" s="30" t="s">
        <v>536</v>
      </c>
      <c r="O62" s="30" t="s">
        <v>252</v>
      </c>
      <c r="P62" s="30" t="s">
        <v>537</v>
      </c>
      <c r="Q62" s="28"/>
      <c r="R62" s="30" t="s">
        <v>538</v>
      </c>
      <c r="S62" s="30" t="s">
        <v>53</v>
      </c>
      <c r="T62" s="30"/>
      <c r="U62" s="28" t="s">
        <v>539</v>
      </c>
      <c r="V62" s="30" t="s">
        <v>63</v>
      </c>
      <c r="W62" s="30" t="s">
        <v>64</v>
      </c>
      <c r="X62" s="32">
        <v>43466</v>
      </c>
      <c r="Y62" s="32">
        <v>45627</v>
      </c>
      <c r="Z62" s="30" t="s">
        <v>65</v>
      </c>
      <c r="AA62" s="28" t="s">
        <v>66</v>
      </c>
      <c r="AB62" s="28" t="s">
        <v>67</v>
      </c>
      <c r="AC62" s="29"/>
      <c r="AD62" s="28">
        <v>0</v>
      </c>
      <c r="AE62" s="29"/>
      <c r="AF62" s="31"/>
      <c r="AG62" s="30" t="s">
        <v>256</v>
      </c>
      <c r="AH62" s="28"/>
      <c r="AI62" s="28" t="s">
        <v>53</v>
      </c>
      <c r="AJ62" s="33">
        <v>37334</v>
      </c>
      <c r="AK62" s="28">
        <v>8</v>
      </c>
      <c r="AL62" s="28">
        <v>15</v>
      </c>
      <c r="AM62" s="21" t="s">
        <v>69</v>
      </c>
      <c r="AN62" s="27"/>
      <c r="AO62" s="27"/>
      <c r="AP62" s="27"/>
      <c r="AQ62" s="27"/>
    </row>
    <row r="63" spans="1:43" ht="15.75" customHeight="1">
      <c r="A63" s="28">
        <v>1</v>
      </c>
      <c r="B63" s="29" t="s">
        <v>540</v>
      </c>
      <c r="C63" s="30"/>
      <c r="D63" s="31" t="s">
        <v>541</v>
      </c>
      <c r="E63" s="30" t="s">
        <v>72</v>
      </c>
      <c r="F63" s="30" t="s">
        <v>50</v>
      </c>
      <c r="G63" s="30" t="s">
        <v>51</v>
      </c>
      <c r="H63" s="28" t="s">
        <v>85</v>
      </c>
      <c r="I63" s="30"/>
      <c r="J63" s="30" t="s">
        <v>53</v>
      </c>
      <c r="K63" s="30" t="s">
        <v>542</v>
      </c>
      <c r="L63" s="30" t="s">
        <v>55</v>
      </c>
      <c r="M63" s="30" t="s">
        <v>250</v>
      </c>
      <c r="N63" s="30" t="s">
        <v>543</v>
      </c>
      <c r="O63" s="30" t="s">
        <v>544</v>
      </c>
      <c r="P63" s="30" t="s">
        <v>545</v>
      </c>
      <c r="Q63" s="28"/>
      <c r="R63" s="30" t="s">
        <v>546</v>
      </c>
      <c r="S63" s="30" t="s">
        <v>53</v>
      </c>
      <c r="T63" s="30"/>
      <c r="U63" s="28" t="s">
        <v>547</v>
      </c>
      <c r="V63" s="30" t="s">
        <v>63</v>
      </c>
      <c r="W63" s="30" t="s">
        <v>548</v>
      </c>
      <c r="X63" s="32">
        <v>44409</v>
      </c>
      <c r="Y63" s="32">
        <v>45474</v>
      </c>
      <c r="Z63" s="30" t="s">
        <v>65</v>
      </c>
      <c r="AA63" s="28" t="s">
        <v>246</v>
      </c>
      <c r="AB63" s="28" t="s">
        <v>67</v>
      </c>
      <c r="AC63" s="29"/>
      <c r="AD63" s="28">
        <v>0</v>
      </c>
      <c r="AE63" s="29"/>
      <c r="AF63" s="31"/>
      <c r="AG63" s="30" t="s">
        <v>256</v>
      </c>
      <c r="AH63" s="28"/>
      <c r="AI63" s="28" t="s">
        <v>53</v>
      </c>
      <c r="AJ63" s="33">
        <v>28092</v>
      </c>
      <c r="AK63" s="28">
        <v>5</v>
      </c>
      <c r="AL63" s="28">
        <v>21</v>
      </c>
      <c r="AM63" s="21" t="s">
        <v>69</v>
      </c>
      <c r="AN63" s="27"/>
      <c r="AO63" s="27"/>
      <c r="AP63" s="27"/>
      <c r="AQ63" s="27"/>
    </row>
    <row r="64" spans="1:43" ht="15.75" customHeight="1">
      <c r="A64" s="28">
        <v>2</v>
      </c>
      <c r="B64" s="29" t="s">
        <v>549</v>
      </c>
      <c r="C64" s="30" t="s">
        <v>550</v>
      </c>
      <c r="D64" s="31" t="s">
        <v>551</v>
      </c>
      <c r="E64" s="30" t="s">
        <v>72</v>
      </c>
      <c r="F64" s="30" t="s">
        <v>84</v>
      </c>
      <c r="G64" s="30" t="s">
        <v>51</v>
      </c>
      <c r="H64" s="28" t="s">
        <v>85</v>
      </c>
      <c r="I64" s="30"/>
      <c r="J64" s="30" t="s">
        <v>53</v>
      </c>
      <c r="K64" s="30" t="s">
        <v>552</v>
      </c>
      <c r="L64" s="30" t="s">
        <v>55</v>
      </c>
      <c r="M64" s="30" t="s">
        <v>250</v>
      </c>
      <c r="N64" s="30" t="s">
        <v>553</v>
      </c>
      <c r="O64" s="30" t="s">
        <v>554</v>
      </c>
      <c r="P64" s="30" t="s">
        <v>555</v>
      </c>
      <c r="Q64" s="28"/>
      <c r="R64" s="30" t="s">
        <v>556</v>
      </c>
      <c r="S64" s="30" t="s">
        <v>53</v>
      </c>
      <c r="T64" s="30"/>
      <c r="U64" s="28" t="s">
        <v>557</v>
      </c>
      <c r="V64" s="30" t="s">
        <v>63</v>
      </c>
      <c r="W64" s="30" t="s">
        <v>548</v>
      </c>
      <c r="X64" s="32">
        <v>44197</v>
      </c>
      <c r="Y64" s="32">
        <v>45658</v>
      </c>
      <c r="Z64" s="30" t="s">
        <v>65</v>
      </c>
      <c r="AA64" s="28" t="s">
        <v>66</v>
      </c>
      <c r="AB64" s="28" t="s">
        <v>67</v>
      </c>
      <c r="AC64" s="29"/>
      <c r="AD64" s="28">
        <v>0</v>
      </c>
      <c r="AE64" s="29"/>
      <c r="AF64" s="31"/>
      <c r="AG64" s="30" t="s">
        <v>256</v>
      </c>
      <c r="AH64" s="28"/>
      <c r="AI64" s="28" t="s">
        <v>53</v>
      </c>
      <c r="AJ64" s="33">
        <v>30081</v>
      </c>
      <c r="AK64" s="28">
        <v>6</v>
      </c>
      <c r="AL64" s="28">
        <v>17</v>
      </c>
      <c r="AM64" s="21" t="s">
        <v>69</v>
      </c>
      <c r="AN64" s="27"/>
      <c r="AO64" s="27"/>
      <c r="AP64" s="27"/>
      <c r="AQ64" s="27"/>
    </row>
    <row r="65" spans="1:43" ht="15.75" customHeight="1">
      <c r="A65" s="28">
        <v>3</v>
      </c>
      <c r="B65" s="29" t="s">
        <v>558</v>
      </c>
      <c r="C65" s="30" t="s">
        <v>559</v>
      </c>
      <c r="D65" s="31" t="s">
        <v>560</v>
      </c>
      <c r="E65" s="30" t="s">
        <v>72</v>
      </c>
      <c r="F65" s="30" t="s">
        <v>84</v>
      </c>
      <c r="G65" s="30" t="s">
        <v>51</v>
      </c>
      <c r="H65" s="28" t="s">
        <v>85</v>
      </c>
      <c r="I65" s="30"/>
      <c r="J65" s="30" t="s">
        <v>53</v>
      </c>
      <c r="K65" s="30" t="s">
        <v>561</v>
      </c>
      <c r="L65" s="30" t="s">
        <v>55</v>
      </c>
      <c r="M65" s="30" t="s">
        <v>250</v>
      </c>
      <c r="N65" s="30" t="s">
        <v>562</v>
      </c>
      <c r="O65" s="30" t="s">
        <v>385</v>
      </c>
      <c r="P65" s="30" t="s">
        <v>563</v>
      </c>
      <c r="Q65" s="28"/>
      <c r="R65" s="30" t="s">
        <v>564</v>
      </c>
      <c r="S65" s="30" t="s">
        <v>53</v>
      </c>
      <c r="T65" s="30"/>
      <c r="U65" s="28" t="s">
        <v>565</v>
      </c>
      <c r="V65" s="30" t="s">
        <v>63</v>
      </c>
      <c r="W65" s="30" t="s">
        <v>548</v>
      </c>
      <c r="X65" s="32">
        <v>44470</v>
      </c>
      <c r="Y65" s="32">
        <v>45566</v>
      </c>
      <c r="Z65" s="30" t="s">
        <v>65</v>
      </c>
      <c r="AA65" s="28" t="s">
        <v>246</v>
      </c>
      <c r="AB65" s="28" t="s">
        <v>67</v>
      </c>
      <c r="AC65" s="29"/>
      <c r="AD65" s="28">
        <v>0</v>
      </c>
      <c r="AE65" s="29"/>
      <c r="AF65" s="31"/>
      <c r="AG65" s="30" t="s">
        <v>256</v>
      </c>
      <c r="AH65" s="28"/>
      <c r="AI65" s="28" t="s">
        <v>53</v>
      </c>
      <c r="AJ65" s="33">
        <v>32483</v>
      </c>
      <c r="AK65" s="28">
        <v>5</v>
      </c>
      <c r="AL65" s="28">
        <v>16</v>
      </c>
      <c r="AM65" s="21" t="s">
        <v>69</v>
      </c>
      <c r="AN65" s="27"/>
      <c r="AO65" s="27"/>
      <c r="AP65" s="27"/>
      <c r="AQ65" s="27"/>
    </row>
    <row r="66" spans="1:43" ht="15.75" customHeight="1">
      <c r="A66" s="28">
        <v>4</v>
      </c>
      <c r="B66" s="29" t="s">
        <v>566</v>
      </c>
      <c r="C66" s="30" t="s">
        <v>567</v>
      </c>
      <c r="D66" s="31" t="s">
        <v>568</v>
      </c>
      <c r="E66" s="30" t="s">
        <v>72</v>
      </c>
      <c r="F66" s="30" t="s">
        <v>50</v>
      </c>
      <c r="G66" s="30" t="s">
        <v>51</v>
      </c>
      <c r="H66" s="28" t="s">
        <v>52</v>
      </c>
      <c r="I66" s="30"/>
      <c r="J66" s="30" t="s">
        <v>53</v>
      </c>
      <c r="K66" s="30" t="s">
        <v>569</v>
      </c>
      <c r="L66" s="30" t="s">
        <v>55</v>
      </c>
      <c r="M66" s="30" t="s">
        <v>250</v>
      </c>
      <c r="N66" s="30" t="s">
        <v>570</v>
      </c>
      <c r="O66" s="30" t="s">
        <v>506</v>
      </c>
      <c r="P66" s="30" t="s">
        <v>571</v>
      </c>
      <c r="Q66" s="28"/>
      <c r="R66" s="30" t="s">
        <v>572</v>
      </c>
      <c r="S66" s="30" t="s">
        <v>53</v>
      </c>
      <c r="T66" s="30"/>
      <c r="U66" s="28" t="s">
        <v>62</v>
      </c>
      <c r="V66" s="30" t="s">
        <v>63</v>
      </c>
      <c r="W66" s="30" t="s">
        <v>204</v>
      </c>
      <c r="X66" s="32">
        <v>44228</v>
      </c>
      <c r="Y66" s="32">
        <v>45992</v>
      </c>
      <c r="Z66" s="30" t="s">
        <v>65</v>
      </c>
      <c r="AA66" s="28" t="s">
        <v>66</v>
      </c>
      <c r="AB66" s="28" t="s">
        <v>67</v>
      </c>
      <c r="AC66" s="29"/>
      <c r="AD66" s="28">
        <v>0</v>
      </c>
      <c r="AE66" s="29"/>
      <c r="AF66" s="31"/>
      <c r="AG66" s="30" t="s">
        <v>256</v>
      </c>
      <c r="AH66" s="28"/>
      <c r="AI66" s="28" t="s">
        <v>118</v>
      </c>
      <c r="AJ66" s="33">
        <v>35970</v>
      </c>
      <c r="AK66" s="28">
        <v>6</v>
      </c>
      <c r="AL66" s="28">
        <v>27</v>
      </c>
      <c r="AM66" s="21" t="s">
        <v>69</v>
      </c>
      <c r="AN66" s="27"/>
      <c r="AO66" s="27"/>
      <c r="AP66" s="27"/>
      <c r="AQ66" s="27"/>
    </row>
    <row r="67" spans="1:43" ht="15.75" customHeight="1">
      <c r="A67" s="28">
        <v>5</v>
      </c>
      <c r="B67" s="29" t="s">
        <v>573</v>
      </c>
      <c r="C67" s="30" t="s">
        <v>574</v>
      </c>
      <c r="D67" s="31" t="s">
        <v>575</v>
      </c>
      <c r="E67" s="30" t="s">
        <v>72</v>
      </c>
      <c r="F67" s="30" t="s">
        <v>50</v>
      </c>
      <c r="G67" s="30" t="s">
        <v>51</v>
      </c>
      <c r="H67" s="28" t="s">
        <v>52</v>
      </c>
      <c r="I67" s="30"/>
      <c r="J67" s="30" t="s">
        <v>53</v>
      </c>
      <c r="K67" s="30" t="s">
        <v>576</v>
      </c>
      <c r="L67" s="30" t="s">
        <v>55</v>
      </c>
      <c r="M67" s="30" t="s">
        <v>250</v>
      </c>
      <c r="N67" s="30" t="s">
        <v>577</v>
      </c>
      <c r="O67" s="30" t="s">
        <v>578</v>
      </c>
      <c r="P67" s="30" t="s">
        <v>579</v>
      </c>
      <c r="Q67" s="28"/>
      <c r="R67" s="30" t="s">
        <v>580</v>
      </c>
      <c r="S67" s="30" t="s">
        <v>53</v>
      </c>
      <c r="T67" s="30"/>
      <c r="U67" s="28" t="s">
        <v>308</v>
      </c>
      <c r="V67" s="30" t="s">
        <v>63</v>
      </c>
      <c r="W67" s="30" t="s">
        <v>204</v>
      </c>
      <c r="X67" s="32">
        <v>43862</v>
      </c>
      <c r="Y67" s="32">
        <v>45627</v>
      </c>
      <c r="Z67" s="30" t="s">
        <v>65</v>
      </c>
      <c r="AA67" s="28" t="s">
        <v>66</v>
      </c>
      <c r="AB67" s="28" t="s">
        <v>67</v>
      </c>
      <c r="AC67" s="29"/>
      <c r="AD67" s="28">
        <v>0</v>
      </c>
      <c r="AE67" s="29"/>
      <c r="AF67" s="31"/>
      <c r="AG67" s="30" t="s">
        <v>256</v>
      </c>
      <c r="AH67" s="28"/>
      <c r="AI67" s="28" t="s">
        <v>53</v>
      </c>
      <c r="AJ67" s="33">
        <v>37117</v>
      </c>
      <c r="AK67" s="28">
        <v>8</v>
      </c>
      <c r="AL67" s="28">
        <v>27</v>
      </c>
      <c r="AM67" s="21" t="s">
        <v>69</v>
      </c>
      <c r="AN67" s="27"/>
      <c r="AO67" s="27"/>
      <c r="AP67" s="27"/>
      <c r="AQ67" s="27"/>
    </row>
    <row r="68" spans="1:43" ht="15.75" customHeight="1">
      <c r="A68" s="28">
        <v>6</v>
      </c>
      <c r="B68" s="29" t="s">
        <v>581</v>
      </c>
      <c r="C68" s="30"/>
      <c r="D68" s="31" t="s">
        <v>582</v>
      </c>
      <c r="E68" s="30" t="s">
        <v>72</v>
      </c>
      <c r="F68" s="30" t="s">
        <v>50</v>
      </c>
      <c r="G68" s="30" t="s">
        <v>51</v>
      </c>
      <c r="H68" s="28" t="s">
        <v>85</v>
      </c>
      <c r="I68" s="30"/>
      <c r="J68" s="30" t="s">
        <v>53</v>
      </c>
      <c r="K68" s="30" t="s">
        <v>583</v>
      </c>
      <c r="L68" s="30" t="s">
        <v>55</v>
      </c>
      <c r="M68" s="30" t="s">
        <v>250</v>
      </c>
      <c r="N68" s="30" t="s">
        <v>584</v>
      </c>
      <c r="O68" s="30" t="s">
        <v>585</v>
      </c>
      <c r="P68" s="30" t="s">
        <v>586</v>
      </c>
      <c r="Q68" s="28" t="s">
        <v>587</v>
      </c>
      <c r="R68" s="30" t="s">
        <v>588</v>
      </c>
      <c r="S68" s="30" t="s">
        <v>53</v>
      </c>
      <c r="T68" s="30"/>
      <c r="U68" s="28" t="s">
        <v>589</v>
      </c>
      <c r="V68" s="30" t="s">
        <v>63</v>
      </c>
      <c r="W68" s="30" t="s">
        <v>204</v>
      </c>
      <c r="X68" s="32">
        <v>43678</v>
      </c>
      <c r="Y68" s="32">
        <v>45627</v>
      </c>
      <c r="Z68" s="30" t="s">
        <v>65</v>
      </c>
      <c r="AA68" s="28" t="s">
        <v>66</v>
      </c>
      <c r="AB68" s="28" t="s">
        <v>67</v>
      </c>
      <c r="AC68" s="29"/>
      <c r="AD68" s="28">
        <v>0</v>
      </c>
      <c r="AE68" s="29"/>
      <c r="AF68" s="31"/>
      <c r="AG68" s="30" t="s">
        <v>256</v>
      </c>
      <c r="AH68" s="28"/>
      <c r="AI68" s="28" t="s">
        <v>53</v>
      </c>
      <c r="AJ68" s="33">
        <v>35808</v>
      </c>
      <c r="AK68" s="28">
        <v>5</v>
      </c>
      <c r="AL68" s="28">
        <v>21</v>
      </c>
      <c r="AM68" s="21" t="s">
        <v>69</v>
      </c>
      <c r="AN68" s="27"/>
      <c r="AO68" s="27"/>
      <c r="AP68" s="27"/>
      <c r="AQ68" s="27"/>
    </row>
    <row r="69" spans="1:43" ht="15.75" customHeight="1">
      <c r="A69" s="28">
        <v>7</v>
      </c>
      <c r="B69" s="29" t="s">
        <v>590</v>
      </c>
      <c r="C69" s="30" t="s">
        <v>591</v>
      </c>
      <c r="D69" s="31" t="s">
        <v>592</v>
      </c>
      <c r="E69" s="30" t="s">
        <v>72</v>
      </c>
      <c r="F69" s="30" t="s">
        <v>50</v>
      </c>
      <c r="G69" s="30" t="s">
        <v>51</v>
      </c>
      <c r="H69" s="28" t="s">
        <v>85</v>
      </c>
      <c r="I69" s="30"/>
      <c r="J69" s="30" t="s">
        <v>53</v>
      </c>
      <c r="K69" s="30" t="s">
        <v>593</v>
      </c>
      <c r="L69" s="30" t="s">
        <v>55</v>
      </c>
      <c r="M69" s="30" t="s">
        <v>250</v>
      </c>
      <c r="N69" s="30" t="s">
        <v>594</v>
      </c>
      <c r="O69" s="30" t="s">
        <v>595</v>
      </c>
      <c r="P69" s="30" t="s">
        <v>596</v>
      </c>
      <c r="Q69" s="28"/>
      <c r="R69" s="30" t="s">
        <v>597</v>
      </c>
      <c r="S69" s="30" t="s">
        <v>53</v>
      </c>
      <c r="T69" s="30"/>
      <c r="U69" s="28" t="s">
        <v>284</v>
      </c>
      <c r="V69" s="30" t="s">
        <v>63</v>
      </c>
      <c r="W69" s="30" t="s">
        <v>204</v>
      </c>
      <c r="X69" s="32">
        <v>43862</v>
      </c>
      <c r="Y69" s="32">
        <v>45627</v>
      </c>
      <c r="Z69" s="30" t="s">
        <v>65</v>
      </c>
      <c r="AA69" s="28" t="s">
        <v>66</v>
      </c>
      <c r="AB69" s="28" t="s">
        <v>67</v>
      </c>
      <c r="AC69" s="29"/>
      <c r="AD69" s="28">
        <v>0</v>
      </c>
      <c r="AE69" s="29"/>
      <c r="AF69" s="31"/>
      <c r="AG69" s="30" t="s">
        <v>256</v>
      </c>
      <c r="AH69" s="28"/>
      <c r="AI69" s="28" t="s">
        <v>118</v>
      </c>
      <c r="AJ69" s="33">
        <v>37041</v>
      </c>
      <c r="AK69" s="28">
        <v>8</v>
      </c>
      <c r="AL69" s="28">
        <v>21</v>
      </c>
      <c r="AM69" s="21" t="s">
        <v>69</v>
      </c>
      <c r="AN69" s="27"/>
      <c r="AO69" s="27"/>
      <c r="AP69" s="27"/>
      <c r="AQ69" s="27"/>
    </row>
    <row r="70" spans="1:43" ht="15.75" customHeight="1">
      <c r="A70" s="28">
        <v>8</v>
      </c>
      <c r="B70" s="29" t="s">
        <v>598</v>
      </c>
      <c r="C70" s="30" t="s">
        <v>599</v>
      </c>
      <c r="D70" s="31" t="s">
        <v>600</v>
      </c>
      <c r="E70" s="30" t="s">
        <v>72</v>
      </c>
      <c r="F70" s="30" t="s">
        <v>50</v>
      </c>
      <c r="G70" s="30" t="s">
        <v>51</v>
      </c>
      <c r="H70" s="28" t="s">
        <v>601</v>
      </c>
      <c r="I70" s="30"/>
      <c r="J70" s="30" t="s">
        <v>53</v>
      </c>
      <c r="K70" s="30" t="s">
        <v>602</v>
      </c>
      <c r="L70" s="30" t="s">
        <v>55</v>
      </c>
      <c r="M70" s="30" t="s">
        <v>250</v>
      </c>
      <c r="N70" s="30" t="s">
        <v>603</v>
      </c>
      <c r="O70" s="30" t="s">
        <v>252</v>
      </c>
      <c r="P70" s="30" t="s">
        <v>604</v>
      </c>
      <c r="Q70" s="28"/>
      <c r="R70" s="30" t="s">
        <v>605</v>
      </c>
      <c r="S70" s="30" t="s">
        <v>53</v>
      </c>
      <c r="T70" s="30"/>
      <c r="U70" s="28" t="s">
        <v>62</v>
      </c>
      <c r="V70" s="30" t="s">
        <v>63</v>
      </c>
      <c r="W70" s="30" t="s">
        <v>204</v>
      </c>
      <c r="X70" s="32">
        <v>44197</v>
      </c>
      <c r="Y70" s="32">
        <v>45992</v>
      </c>
      <c r="Z70" s="30" t="s">
        <v>65</v>
      </c>
      <c r="AA70" s="28" t="s">
        <v>66</v>
      </c>
      <c r="AB70" s="28" t="s">
        <v>67</v>
      </c>
      <c r="AC70" s="29"/>
      <c r="AD70" s="28">
        <v>0</v>
      </c>
      <c r="AE70" s="29"/>
      <c r="AF70" s="31"/>
      <c r="AG70" s="30" t="s">
        <v>256</v>
      </c>
      <c r="AH70" s="28"/>
      <c r="AI70" s="28" t="s">
        <v>53</v>
      </c>
      <c r="AJ70" s="33">
        <v>37437</v>
      </c>
      <c r="AK70" s="28">
        <v>6</v>
      </c>
      <c r="AL70" s="28">
        <v>18</v>
      </c>
      <c r="AM70" s="21" t="s">
        <v>69</v>
      </c>
      <c r="AN70" s="27"/>
      <c r="AO70" s="27"/>
      <c r="AP70" s="27"/>
      <c r="AQ70" s="27"/>
    </row>
    <row r="71" spans="1:43" ht="15.75" customHeight="1">
      <c r="A71" s="28">
        <v>9</v>
      </c>
      <c r="B71" s="29" t="s">
        <v>606</v>
      </c>
      <c r="C71" s="30" t="s">
        <v>607</v>
      </c>
      <c r="D71" s="31" t="s">
        <v>608</v>
      </c>
      <c r="E71" s="30" t="s">
        <v>72</v>
      </c>
      <c r="F71" s="30" t="s">
        <v>50</v>
      </c>
      <c r="G71" s="30" t="s">
        <v>51</v>
      </c>
      <c r="H71" s="28" t="s">
        <v>191</v>
      </c>
      <c r="I71" s="30"/>
      <c r="J71" s="30" t="s">
        <v>53</v>
      </c>
      <c r="K71" s="30" t="s">
        <v>311</v>
      </c>
      <c r="L71" s="30" t="s">
        <v>55</v>
      </c>
      <c r="M71" s="30" t="s">
        <v>250</v>
      </c>
      <c r="N71" s="30" t="s">
        <v>609</v>
      </c>
      <c r="O71" s="30" t="s">
        <v>313</v>
      </c>
      <c r="P71" s="30" t="s">
        <v>610</v>
      </c>
      <c r="Q71" s="28"/>
      <c r="R71" s="30" t="s">
        <v>611</v>
      </c>
      <c r="S71" s="30" t="s">
        <v>53</v>
      </c>
      <c r="T71" s="30"/>
      <c r="U71" s="28" t="s">
        <v>612</v>
      </c>
      <c r="V71" s="30" t="s">
        <v>63</v>
      </c>
      <c r="W71" s="30" t="s">
        <v>204</v>
      </c>
      <c r="X71" s="32">
        <v>43497</v>
      </c>
      <c r="Y71" s="32">
        <v>45658</v>
      </c>
      <c r="Z71" s="30" t="s">
        <v>65</v>
      </c>
      <c r="AA71" s="28" t="s">
        <v>66</v>
      </c>
      <c r="AB71" s="28" t="s">
        <v>67</v>
      </c>
      <c r="AC71" s="29"/>
      <c r="AD71" s="28">
        <v>0</v>
      </c>
      <c r="AE71" s="29"/>
      <c r="AF71" s="31"/>
      <c r="AG71" s="30" t="s">
        <v>256</v>
      </c>
      <c r="AH71" s="28" t="s">
        <v>431</v>
      </c>
      <c r="AI71" s="28" t="s">
        <v>118</v>
      </c>
      <c r="AJ71" s="33">
        <v>35374</v>
      </c>
      <c r="AK71" s="28">
        <v>7</v>
      </c>
      <c r="AL71" s="28">
        <v>17</v>
      </c>
      <c r="AM71" s="21" t="s">
        <v>69</v>
      </c>
      <c r="AN71" s="27"/>
      <c r="AO71" s="27"/>
      <c r="AP71" s="27"/>
      <c r="AQ71" s="27"/>
    </row>
    <row r="72" spans="1:43" ht="15.75" customHeight="1">
      <c r="A72" s="28">
        <v>10</v>
      </c>
      <c r="B72" s="29" t="s">
        <v>613</v>
      </c>
      <c r="C72" s="30" t="s">
        <v>614</v>
      </c>
      <c r="D72" s="31" t="s">
        <v>615</v>
      </c>
      <c r="E72" s="30" t="s">
        <v>72</v>
      </c>
      <c r="F72" s="30" t="s">
        <v>616</v>
      </c>
      <c r="G72" s="30" t="s">
        <v>51</v>
      </c>
      <c r="H72" s="28" t="s">
        <v>52</v>
      </c>
      <c r="I72" s="30"/>
      <c r="J72" s="30" t="s">
        <v>53</v>
      </c>
      <c r="K72" s="30" t="s">
        <v>617</v>
      </c>
      <c r="L72" s="30" t="s">
        <v>55</v>
      </c>
      <c r="M72" s="30" t="s">
        <v>250</v>
      </c>
      <c r="N72" s="30" t="s">
        <v>618</v>
      </c>
      <c r="O72" s="30" t="s">
        <v>619</v>
      </c>
      <c r="P72" s="30" t="s">
        <v>620</v>
      </c>
      <c r="Q72" s="28"/>
      <c r="R72" s="30" t="s">
        <v>621</v>
      </c>
      <c r="S72" s="30" t="s">
        <v>53</v>
      </c>
      <c r="T72" s="30"/>
      <c r="U72" s="28" t="s">
        <v>622</v>
      </c>
      <c r="V72" s="30" t="s">
        <v>63</v>
      </c>
      <c r="W72" s="30" t="s">
        <v>204</v>
      </c>
      <c r="X72" s="32">
        <v>44409</v>
      </c>
      <c r="Y72" s="32">
        <v>46174</v>
      </c>
      <c r="Z72" s="30" t="s">
        <v>65</v>
      </c>
      <c r="AA72" s="28" t="s">
        <v>66</v>
      </c>
      <c r="AB72" s="28" t="s">
        <v>67</v>
      </c>
      <c r="AC72" s="29"/>
      <c r="AD72" s="28">
        <v>0</v>
      </c>
      <c r="AE72" s="29"/>
      <c r="AF72" s="31"/>
      <c r="AG72" s="30" t="s">
        <v>256</v>
      </c>
      <c r="AH72" s="28"/>
      <c r="AI72" s="28" t="s">
        <v>53</v>
      </c>
      <c r="AJ72" s="33">
        <v>33661</v>
      </c>
      <c r="AK72" s="28">
        <v>5</v>
      </c>
      <c r="AL72" s="28">
        <v>17</v>
      </c>
      <c r="AM72" s="21" t="s">
        <v>69</v>
      </c>
      <c r="AN72" s="27"/>
      <c r="AO72" s="27"/>
      <c r="AP72" s="27"/>
      <c r="AQ72" s="27"/>
    </row>
    <row r="73" spans="1:43" ht="15.75" customHeight="1">
      <c r="A73" s="28">
        <v>1</v>
      </c>
      <c r="B73" s="29" t="s">
        <v>623</v>
      </c>
      <c r="C73" s="30"/>
      <c r="D73" s="31" t="s">
        <v>624</v>
      </c>
      <c r="E73" s="30" t="s">
        <v>72</v>
      </c>
      <c r="F73" s="30" t="s">
        <v>50</v>
      </c>
      <c r="G73" s="30" t="s">
        <v>51</v>
      </c>
      <c r="H73" s="28" t="s">
        <v>85</v>
      </c>
      <c r="I73" s="30"/>
      <c r="J73" s="30" t="s">
        <v>53</v>
      </c>
      <c r="K73" s="30" t="s">
        <v>625</v>
      </c>
      <c r="L73" s="30" t="s">
        <v>55</v>
      </c>
      <c r="M73" s="30" t="s">
        <v>626</v>
      </c>
      <c r="N73" s="30" t="s">
        <v>627</v>
      </c>
      <c r="O73" s="30" t="s">
        <v>628</v>
      </c>
      <c r="P73" s="30" t="s">
        <v>629</v>
      </c>
      <c r="Q73" s="28" t="s">
        <v>630</v>
      </c>
      <c r="R73" s="30" t="s">
        <v>631</v>
      </c>
      <c r="S73" s="30" t="s">
        <v>53</v>
      </c>
      <c r="T73" s="30"/>
      <c r="U73" s="28" t="s">
        <v>632</v>
      </c>
      <c r="V73" s="30" t="s">
        <v>63</v>
      </c>
      <c r="W73" s="30" t="s">
        <v>64</v>
      </c>
      <c r="X73" s="32">
        <v>44197</v>
      </c>
      <c r="Y73" s="32">
        <v>45992</v>
      </c>
      <c r="Z73" s="30" t="s">
        <v>65</v>
      </c>
      <c r="AA73" s="28" t="s">
        <v>66</v>
      </c>
      <c r="AB73" s="28" t="s">
        <v>67</v>
      </c>
      <c r="AC73" s="29"/>
      <c r="AD73" s="28">
        <v>0</v>
      </c>
      <c r="AE73" s="29"/>
      <c r="AF73" s="31"/>
      <c r="AG73" s="30" t="s">
        <v>633</v>
      </c>
      <c r="AH73" s="28"/>
      <c r="AI73" s="28" t="s">
        <v>53</v>
      </c>
      <c r="AJ73" s="33">
        <v>37493</v>
      </c>
      <c r="AK73" s="28">
        <v>6</v>
      </c>
      <c r="AL73" s="28">
        <v>25</v>
      </c>
      <c r="AM73" s="21" t="s">
        <v>69</v>
      </c>
      <c r="AN73" s="27"/>
      <c r="AO73" s="27"/>
      <c r="AP73" s="27"/>
      <c r="AQ73" s="27"/>
    </row>
    <row r="74" spans="1:43" ht="15.75" customHeight="1">
      <c r="A74" s="28">
        <v>2</v>
      </c>
      <c r="B74" s="29" t="s">
        <v>634</v>
      </c>
      <c r="C74" s="30"/>
      <c r="D74" s="31" t="s">
        <v>635</v>
      </c>
      <c r="E74" s="30" t="s">
        <v>72</v>
      </c>
      <c r="F74" s="30" t="s">
        <v>50</v>
      </c>
      <c r="G74" s="30" t="s">
        <v>51</v>
      </c>
      <c r="H74" s="28" t="s">
        <v>52</v>
      </c>
      <c r="I74" s="30"/>
      <c r="J74" s="30" t="s">
        <v>53</v>
      </c>
      <c r="K74" s="30" t="s">
        <v>625</v>
      </c>
      <c r="L74" s="30" t="s">
        <v>55</v>
      </c>
      <c r="M74" s="30" t="s">
        <v>626</v>
      </c>
      <c r="N74" s="30" t="s">
        <v>636</v>
      </c>
      <c r="O74" s="30" t="s">
        <v>58</v>
      </c>
      <c r="P74" s="30" t="s">
        <v>637</v>
      </c>
      <c r="Q74" s="28"/>
      <c r="R74" s="30" t="s">
        <v>638</v>
      </c>
      <c r="S74" s="30" t="s">
        <v>53</v>
      </c>
      <c r="T74" s="30"/>
      <c r="U74" s="28" t="s">
        <v>639</v>
      </c>
      <c r="V74" s="30" t="s">
        <v>63</v>
      </c>
      <c r="W74" s="30" t="s">
        <v>64</v>
      </c>
      <c r="X74" s="32">
        <v>44774</v>
      </c>
      <c r="Y74" s="32">
        <v>46539</v>
      </c>
      <c r="Z74" s="30" t="s">
        <v>65</v>
      </c>
      <c r="AA74" s="28" t="s">
        <v>66</v>
      </c>
      <c r="AB74" s="28" t="s">
        <v>67</v>
      </c>
      <c r="AC74" s="29"/>
      <c r="AD74" s="28">
        <v>0</v>
      </c>
      <c r="AE74" s="29"/>
      <c r="AF74" s="31"/>
      <c r="AG74" s="30" t="s">
        <v>633</v>
      </c>
      <c r="AH74" s="28"/>
      <c r="AI74" s="28" t="s">
        <v>53</v>
      </c>
      <c r="AJ74" s="33">
        <v>37108</v>
      </c>
      <c r="AK74" s="28">
        <v>5</v>
      </c>
      <c r="AL74" s="28">
        <v>22</v>
      </c>
      <c r="AM74" s="21" t="s">
        <v>69</v>
      </c>
      <c r="AN74" s="27"/>
      <c r="AO74" s="27"/>
      <c r="AP74" s="27"/>
      <c r="AQ74" s="27"/>
    </row>
    <row r="75" spans="1:43" ht="15.75" customHeight="1">
      <c r="A75" s="28">
        <v>3</v>
      </c>
      <c r="B75" s="29" t="s">
        <v>640</v>
      </c>
      <c r="C75" s="30"/>
      <c r="D75" s="31" t="s">
        <v>641</v>
      </c>
      <c r="E75" s="30" t="s">
        <v>72</v>
      </c>
      <c r="F75" s="30" t="s">
        <v>50</v>
      </c>
      <c r="G75" s="30" t="s">
        <v>51</v>
      </c>
      <c r="H75" s="28" t="s">
        <v>85</v>
      </c>
      <c r="I75" s="30"/>
      <c r="J75" s="30" t="s">
        <v>53</v>
      </c>
      <c r="K75" s="30" t="s">
        <v>625</v>
      </c>
      <c r="L75" s="30" t="s">
        <v>55</v>
      </c>
      <c r="M75" s="30" t="s">
        <v>626</v>
      </c>
      <c r="N75" s="30" t="s">
        <v>642</v>
      </c>
      <c r="O75" s="30" t="s">
        <v>643</v>
      </c>
      <c r="P75" s="30" t="s">
        <v>644</v>
      </c>
      <c r="Q75" s="28" t="s">
        <v>412</v>
      </c>
      <c r="R75" s="30" t="s">
        <v>645</v>
      </c>
      <c r="S75" s="30" t="s">
        <v>53</v>
      </c>
      <c r="T75" s="30"/>
      <c r="U75" s="28" t="s">
        <v>639</v>
      </c>
      <c r="V75" s="30" t="s">
        <v>63</v>
      </c>
      <c r="W75" s="30" t="s">
        <v>64</v>
      </c>
      <c r="X75" s="32">
        <v>44409</v>
      </c>
      <c r="Y75" s="32">
        <v>45809</v>
      </c>
      <c r="Z75" s="30" t="s">
        <v>65</v>
      </c>
      <c r="AA75" s="28" t="s">
        <v>66</v>
      </c>
      <c r="AB75" s="28" t="s">
        <v>67</v>
      </c>
      <c r="AC75" s="29"/>
      <c r="AD75" s="28">
        <v>0</v>
      </c>
      <c r="AE75" s="29"/>
      <c r="AF75" s="31"/>
      <c r="AG75" s="30" t="s">
        <v>633</v>
      </c>
      <c r="AH75" s="28"/>
      <c r="AI75" s="28" t="s">
        <v>118</v>
      </c>
      <c r="AJ75" s="33">
        <v>37452</v>
      </c>
      <c r="AK75" s="28">
        <v>6</v>
      </c>
      <c r="AL75" s="28">
        <v>20</v>
      </c>
      <c r="AM75" s="21" t="s">
        <v>69</v>
      </c>
      <c r="AN75" s="27"/>
      <c r="AO75" s="27"/>
      <c r="AP75" s="27"/>
      <c r="AQ75" s="27"/>
    </row>
    <row r="76" spans="1:43" ht="15.75" customHeight="1">
      <c r="A76" s="28">
        <v>4</v>
      </c>
      <c r="B76" s="29" t="s">
        <v>646</v>
      </c>
      <c r="C76" s="30" t="s">
        <v>647</v>
      </c>
      <c r="D76" s="31" t="s">
        <v>648</v>
      </c>
      <c r="E76" s="30" t="s">
        <v>49</v>
      </c>
      <c r="F76" s="30" t="s">
        <v>84</v>
      </c>
      <c r="G76" s="30" t="s">
        <v>51</v>
      </c>
      <c r="H76" s="28" t="s">
        <v>52</v>
      </c>
      <c r="I76" s="30"/>
      <c r="J76" s="30" t="s">
        <v>53</v>
      </c>
      <c r="K76" s="30" t="s">
        <v>625</v>
      </c>
      <c r="L76" s="30" t="s">
        <v>55</v>
      </c>
      <c r="M76" s="30" t="s">
        <v>626</v>
      </c>
      <c r="N76" s="30" t="s">
        <v>649</v>
      </c>
      <c r="O76" s="30" t="s">
        <v>650</v>
      </c>
      <c r="P76" s="30" t="s">
        <v>651</v>
      </c>
      <c r="Q76" s="28"/>
      <c r="R76" s="30" t="s">
        <v>652</v>
      </c>
      <c r="S76" s="30" t="s">
        <v>53</v>
      </c>
      <c r="T76" s="30"/>
      <c r="U76" s="28" t="s">
        <v>632</v>
      </c>
      <c r="V76" s="30" t="s">
        <v>63</v>
      </c>
      <c r="W76" s="30" t="s">
        <v>64</v>
      </c>
      <c r="X76" s="32">
        <v>44197</v>
      </c>
      <c r="Y76" s="32">
        <v>45992</v>
      </c>
      <c r="Z76" s="30" t="s">
        <v>65</v>
      </c>
      <c r="AA76" s="28" t="s">
        <v>66</v>
      </c>
      <c r="AB76" s="28" t="s">
        <v>67</v>
      </c>
      <c r="AC76" s="29"/>
      <c r="AD76" s="28">
        <v>0</v>
      </c>
      <c r="AE76" s="29"/>
      <c r="AF76" s="31"/>
      <c r="AG76" s="30" t="s">
        <v>633</v>
      </c>
      <c r="AH76" s="28"/>
      <c r="AI76" s="28" t="s">
        <v>118</v>
      </c>
      <c r="AJ76" s="33">
        <v>33635</v>
      </c>
      <c r="AK76" s="28">
        <v>6</v>
      </c>
      <c r="AL76" s="28">
        <v>17</v>
      </c>
      <c r="AM76" s="21" t="s">
        <v>69</v>
      </c>
      <c r="AN76" s="27"/>
      <c r="AO76" s="27"/>
      <c r="AP76" s="27"/>
      <c r="AQ76" s="27"/>
    </row>
    <row r="77" spans="1:43" ht="15.75" customHeight="1">
      <c r="A77" s="28">
        <v>1</v>
      </c>
      <c r="B77" s="29" t="s">
        <v>653</v>
      </c>
      <c r="C77" s="30"/>
      <c r="D77" s="31" t="s">
        <v>654</v>
      </c>
      <c r="E77" s="30" t="s">
        <v>72</v>
      </c>
      <c r="F77" s="30" t="s">
        <v>84</v>
      </c>
      <c r="G77" s="30" t="s">
        <v>51</v>
      </c>
      <c r="H77" s="28" t="s">
        <v>52</v>
      </c>
      <c r="I77" s="30"/>
      <c r="J77" s="30" t="s">
        <v>53</v>
      </c>
      <c r="K77" s="30" t="s">
        <v>655</v>
      </c>
      <c r="L77" s="30" t="s">
        <v>55</v>
      </c>
      <c r="M77" s="30" t="s">
        <v>656</v>
      </c>
      <c r="N77" s="30" t="s">
        <v>657</v>
      </c>
      <c r="O77" s="30" t="s">
        <v>658</v>
      </c>
      <c r="P77" s="30" t="s">
        <v>659</v>
      </c>
      <c r="Q77" s="28"/>
      <c r="R77" s="30" t="s">
        <v>660</v>
      </c>
      <c r="S77" s="30" t="s">
        <v>53</v>
      </c>
      <c r="T77" s="30"/>
      <c r="U77" s="28" t="s">
        <v>661</v>
      </c>
      <c r="V77" s="30" t="s">
        <v>63</v>
      </c>
      <c r="W77" s="30" t="s">
        <v>266</v>
      </c>
      <c r="X77" s="32">
        <v>44593</v>
      </c>
      <c r="Y77" s="32">
        <v>45992</v>
      </c>
      <c r="Z77" s="30" t="s">
        <v>65</v>
      </c>
      <c r="AA77" s="28" t="s">
        <v>66</v>
      </c>
      <c r="AB77" s="28" t="s">
        <v>67</v>
      </c>
      <c r="AC77" s="29"/>
      <c r="AD77" s="28">
        <v>0</v>
      </c>
      <c r="AE77" s="29"/>
      <c r="AF77" s="31"/>
      <c r="AG77" s="30" t="s">
        <v>662</v>
      </c>
      <c r="AH77" s="28"/>
      <c r="AI77" s="28" t="s">
        <v>118</v>
      </c>
      <c r="AJ77" s="33">
        <v>35552</v>
      </c>
      <c r="AK77" s="28">
        <v>4</v>
      </c>
      <c r="AL77" s="28">
        <v>17</v>
      </c>
      <c r="AM77" s="21" t="s">
        <v>69</v>
      </c>
      <c r="AN77" s="27"/>
      <c r="AO77" s="27"/>
      <c r="AP77" s="27"/>
      <c r="AQ77" s="27"/>
    </row>
    <row r="78" spans="1:43" ht="15.75" customHeight="1">
      <c r="A78" s="28">
        <v>1</v>
      </c>
      <c r="B78" s="29" t="s">
        <v>663</v>
      </c>
      <c r="C78" s="30" t="s">
        <v>664</v>
      </c>
      <c r="D78" s="31" t="s">
        <v>665</v>
      </c>
      <c r="E78" s="30" t="s">
        <v>49</v>
      </c>
      <c r="F78" s="30" t="s">
        <v>50</v>
      </c>
      <c r="G78" s="30" t="s">
        <v>51</v>
      </c>
      <c r="H78" s="28" t="s">
        <v>85</v>
      </c>
      <c r="I78" s="30"/>
      <c r="J78" s="30" t="s">
        <v>53</v>
      </c>
      <c r="K78" s="30" t="s">
        <v>666</v>
      </c>
      <c r="L78" s="30" t="s">
        <v>55</v>
      </c>
      <c r="M78" s="30" t="s">
        <v>656</v>
      </c>
      <c r="N78" s="30" t="s">
        <v>667</v>
      </c>
      <c r="O78" s="30" t="s">
        <v>668</v>
      </c>
      <c r="P78" s="30" t="s">
        <v>669</v>
      </c>
      <c r="Q78" s="28" t="s">
        <v>670</v>
      </c>
      <c r="R78" s="30" t="s">
        <v>671</v>
      </c>
      <c r="S78" s="30" t="s">
        <v>53</v>
      </c>
      <c r="T78" s="30"/>
      <c r="U78" s="28" t="s">
        <v>672</v>
      </c>
      <c r="V78" s="30" t="s">
        <v>63</v>
      </c>
      <c r="W78" s="30" t="s">
        <v>64</v>
      </c>
      <c r="X78" s="32">
        <v>44409</v>
      </c>
      <c r="Y78" s="32">
        <v>46174</v>
      </c>
      <c r="Z78" s="30" t="s">
        <v>65</v>
      </c>
      <c r="AA78" s="28" t="s">
        <v>134</v>
      </c>
      <c r="AB78" s="28" t="s">
        <v>67</v>
      </c>
      <c r="AC78" s="29"/>
      <c r="AD78" s="28">
        <v>0</v>
      </c>
      <c r="AE78" s="29"/>
      <c r="AF78" s="31"/>
      <c r="AG78" s="30" t="s">
        <v>662</v>
      </c>
      <c r="AH78" s="28"/>
      <c r="AI78" s="28" t="s">
        <v>53</v>
      </c>
      <c r="AJ78" s="33">
        <v>37419</v>
      </c>
      <c r="AK78" s="28">
        <v>5</v>
      </c>
      <c r="AL78" s="28">
        <v>23</v>
      </c>
      <c r="AM78" s="21" t="s">
        <v>69</v>
      </c>
      <c r="AN78" s="27"/>
      <c r="AO78" s="27"/>
      <c r="AP78" s="27"/>
      <c r="AQ78" s="27"/>
    </row>
    <row r="79" spans="1:43" ht="15.75" customHeight="1">
      <c r="A79" s="28">
        <v>2</v>
      </c>
      <c r="B79" s="29" t="s">
        <v>673</v>
      </c>
      <c r="C79" s="30" t="s">
        <v>674</v>
      </c>
      <c r="D79" s="31" t="s">
        <v>675</v>
      </c>
      <c r="E79" s="30" t="s">
        <v>72</v>
      </c>
      <c r="F79" s="30" t="s">
        <v>50</v>
      </c>
      <c r="G79" s="30" t="s">
        <v>51</v>
      </c>
      <c r="H79" s="28" t="s">
        <v>52</v>
      </c>
      <c r="I79" s="30"/>
      <c r="J79" s="30" t="s">
        <v>53</v>
      </c>
      <c r="K79" s="30" t="s">
        <v>676</v>
      </c>
      <c r="L79" s="30" t="s">
        <v>55</v>
      </c>
      <c r="M79" s="30" t="s">
        <v>656</v>
      </c>
      <c r="N79" s="30" t="s">
        <v>677</v>
      </c>
      <c r="O79" s="30" t="s">
        <v>678</v>
      </c>
      <c r="P79" s="30" t="s">
        <v>679</v>
      </c>
      <c r="Q79" s="28"/>
      <c r="R79" s="30" t="s">
        <v>680</v>
      </c>
      <c r="S79" s="30" t="s">
        <v>53</v>
      </c>
      <c r="T79" s="30"/>
      <c r="U79" s="28" t="s">
        <v>681</v>
      </c>
      <c r="V79" s="30" t="s">
        <v>63</v>
      </c>
      <c r="W79" s="30" t="s">
        <v>64</v>
      </c>
      <c r="X79" s="32">
        <v>44228</v>
      </c>
      <c r="Y79" s="32">
        <v>45992</v>
      </c>
      <c r="Z79" s="30" t="s">
        <v>65</v>
      </c>
      <c r="AA79" s="28" t="s">
        <v>246</v>
      </c>
      <c r="AB79" s="28" t="s">
        <v>67</v>
      </c>
      <c r="AC79" s="29"/>
      <c r="AD79" s="28">
        <v>0</v>
      </c>
      <c r="AE79" s="29"/>
      <c r="AF79" s="31"/>
      <c r="AG79" s="30" t="s">
        <v>662</v>
      </c>
      <c r="AH79" s="28"/>
      <c r="AI79" s="28" t="s">
        <v>118</v>
      </c>
      <c r="AJ79" s="33">
        <v>35810</v>
      </c>
      <c r="AK79" s="28">
        <v>6</v>
      </c>
      <c r="AL79" s="28">
        <v>22</v>
      </c>
      <c r="AM79" s="21" t="s">
        <v>69</v>
      </c>
      <c r="AN79" s="27"/>
      <c r="AO79" s="27"/>
      <c r="AP79" s="27"/>
      <c r="AQ79" s="27"/>
    </row>
    <row r="80" spans="1:43" ht="15.75" customHeight="1">
      <c r="A80" s="28">
        <v>3</v>
      </c>
      <c r="B80" s="29" t="s">
        <v>682</v>
      </c>
      <c r="C80" s="30"/>
      <c r="D80" s="31" t="s">
        <v>683</v>
      </c>
      <c r="E80" s="30" t="s">
        <v>49</v>
      </c>
      <c r="F80" s="30" t="s">
        <v>50</v>
      </c>
      <c r="G80" s="30" t="s">
        <v>51</v>
      </c>
      <c r="H80" s="28" t="s">
        <v>85</v>
      </c>
      <c r="I80" s="30"/>
      <c r="J80" s="30" t="s">
        <v>53</v>
      </c>
      <c r="K80" s="30" t="s">
        <v>684</v>
      </c>
      <c r="L80" s="30" t="s">
        <v>55</v>
      </c>
      <c r="M80" s="30" t="s">
        <v>656</v>
      </c>
      <c r="N80" s="30" t="s">
        <v>685</v>
      </c>
      <c r="O80" s="30" t="s">
        <v>686</v>
      </c>
      <c r="P80" s="30" t="s">
        <v>687</v>
      </c>
      <c r="Q80" s="28"/>
      <c r="R80" s="30" t="s">
        <v>688</v>
      </c>
      <c r="S80" s="30" t="s">
        <v>53</v>
      </c>
      <c r="T80" s="30"/>
      <c r="U80" s="28" t="s">
        <v>689</v>
      </c>
      <c r="V80" s="30" t="s">
        <v>63</v>
      </c>
      <c r="W80" s="30" t="s">
        <v>64</v>
      </c>
      <c r="X80" s="32">
        <v>44197</v>
      </c>
      <c r="Y80" s="32">
        <v>45992</v>
      </c>
      <c r="Z80" s="30" t="s">
        <v>65</v>
      </c>
      <c r="AA80" s="28" t="s">
        <v>134</v>
      </c>
      <c r="AB80" s="28" t="s">
        <v>67</v>
      </c>
      <c r="AC80" s="29"/>
      <c r="AD80" s="28">
        <v>0</v>
      </c>
      <c r="AE80" s="29"/>
      <c r="AF80" s="31"/>
      <c r="AG80" s="30" t="s">
        <v>662</v>
      </c>
      <c r="AH80" s="28"/>
      <c r="AI80" s="28" t="s">
        <v>53</v>
      </c>
      <c r="AJ80" s="33">
        <v>37726</v>
      </c>
      <c r="AK80" s="28">
        <v>6</v>
      </c>
      <c r="AL80" s="28">
        <v>22</v>
      </c>
      <c r="AM80" s="21" t="s">
        <v>69</v>
      </c>
      <c r="AN80" s="27"/>
      <c r="AO80" s="27"/>
      <c r="AP80" s="27"/>
      <c r="AQ80" s="27"/>
    </row>
    <row r="81" spans="1:43" ht="15.75" customHeight="1">
      <c r="A81" s="28">
        <v>4</v>
      </c>
      <c r="B81" s="29" t="s">
        <v>690</v>
      </c>
      <c r="C81" s="30" t="s">
        <v>691</v>
      </c>
      <c r="D81" s="31" t="s">
        <v>692</v>
      </c>
      <c r="E81" s="30" t="s">
        <v>72</v>
      </c>
      <c r="F81" s="30" t="s">
        <v>50</v>
      </c>
      <c r="G81" s="30" t="s">
        <v>51</v>
      </c>
      <c r="H81" s="28" t="s">
        <v>85</v>
      </c>
      <c r="I81" s="30"/>
      <c r="J81" s="30" t="s">
        <v>53</v>
      </c>
      <c r="K81" s="30" t="s">
        <v>693</v>
      </c>
      <c r="L81" s="30" t="s">
        <v>55</v>
      </c>
      <c r="M81" s="30" t="s">
        <v>656</v>
      </c>
      <c r="N81" s="30" t="s">
        <v>694</v>
      </c>
      <c r="O81" s="30" t="s">
        <v>695</v>
      </c>
      <c r="P81" s="30" t="s">
        <v>696</v>
      </c>
      <c r="Q81" s="28"/>
      <c r="R81" s="30" t="s">
        <v>697</v>
      </c>
      <c r="S81" s="30" t="s">
        <v>53</v>
      </c>
      <c r="T81" s="30"/>
      <c r="U81" s="28" t="s">
        <v>698</v>
      </c>
      <c r="V81" s="30" t="s">
        <v>63</v>
      </c>
      <c r="W81" s="30" t="s">
        <v>64</v>
      </c>
      <c r="X81" s="32">
        <v>44652</v>
      </c>
      <c r="Y81" s="32">
        <v>46357</v>
      </c>
      <c r="Z81" s="30" t="s">
        <v>65</v>
      </c>
      <c r="AA81" s="28" t="s">
        <v>134</v>
      </c>
      <c r="AB81" s="28" t="s">
        <v>67</v>
      </c>
      <c r="AC81" s="29"/>
      <c r="AD81" s="28">
        <v>0</v>
      </c>
      <c r="AE81" s="29"/>
      <c r="AF81" s="31"/>
      <c r="AG81" s="30" t="s">
        <v>662</v>
      </c>
      <c r="AH81" s="28"/>
      <c r="AI81" s="28" t="s">
        <v>53</v>
      </c>
      <c r="AJ81" s="33">
        <v>37595</v>
      </c>
      <c r="AK81" s="28">
        <v>5</v>
      </c>
      <c r="AL81" s="28">
        <v>21</v>
      </c>
      <c r="AM81" s="21" t="s">
        <v>69</v>
      </c>
      <c r="AN81" s="27"/>
      <c r="AO81" s="27"/>
      <c r="AP81" s="27"/>
      <c r="AQ81" s="27"/>
    </row>
    <row r="82" spans="1:43" ht="15.75" customHeight="1">
      <c r="A82" s="28">
        <v>5</v>
      </c>
      <c r="B82" s="29" t="s">
        <v>699</v>
      </c>
      <c r="C82" s="30" t="s">
        <v>700</v>
      </c>
      <c r="D82" s="31" t="s">
        <v>701</v>
      </c>
      <c r="E82" s="30" t="s">
        <v>49</v>
      </c>
      <c r="F82" s="30" t="s">
        <v>50</v>
      </c>
      <c r="G82" s="30" t="s">
        <v>51</v>
      </c>
      <c r="H82" s="28" t="s">
        <v>52</v>
      </c>
      <c r="I82" s="30"/>
      <c r="J82" s="30" t="s">
        <v>53</v>
      </c>
      <c r="K82" s="30" t="s">
        <v>702</v>
      </c>
      <c r="L82" s="30" t="s">
        <v>55</v>
      </c>
      <c r="M82" s="30" t="s">
        <v>656</v>
      </c>
      <c r="N82" s="30" t="s">
        <v>703</v>
      </c>
      <c r="O82" s="30" t="s">
        <v>704</v>
      </c>
      <c r="P82" s="30" t="s">
        <v>705</v>
      </c>
      <c r="Q82" s="28" t="s">
        <v>706</v>
      </c>
      <c r="R82" s="30" t="s">
        <v>707</v>
      </c>
      <c r="S82" s="30" t="s">
        <v>53</v>
      </c>
      <c r="T82" s="30"/>
      <c r="U82" s="28" t="s">
        <v>708</v>
      </c>
      <c r="V82" s="30" t="s">
        <v>63</v>
      </c>
      <c r="W82" s="30" t="s">
        <v>64</v>
      </c>
      <c r="X82" s="32">
        <v>43891</v>
      </c>
      <c r="Y82" s="32">
        <v>45717</v>
      </c>
      <c r="Z82" s="30" t="s">
        <v>65</v>
      </c>
      <c r="AA82" s="28" t="s">
        <v>134</v>
      </c>
      <c r="AB82" s="28" t="s">
        <v>67</v>
      </c>
      <c r="AC82" s="29"/>
      <c r="AD82" s="28">
        <v>0</v>
      </c>
      <c r="AE82" s="29"/>
      <c r="AF82" s="31"/>
      <c r="AG82" s="30" t="s">
        <v>662</v>
      </c>
      <c r="AH82" s="28" t="s">
        <v>431</v>
      </c>
      <c r="AI82" s="28" t="s">
        <v>53</v>
      </c>
      <c r="AJ82" s="33">
        <v>35741</v>
      </c>
      <c r="AK82" s="28">
        <v>8</v>
      </c>
      <c r="AL82" s="28">
        <v>20</v>
      </c>
      <c r="AM82" s="21" t="s">
        <v>69</v>
      </c>
      <c r="AN82" s="27"/>
      <c r="AO82" s="27"/>
      <c r="AP82" s="27"/>
      <c r="AQ82" s="27"/>
    </row>
    <row r="83" spans="1:43" ht="15.75" customHeight="1">
      <c r="A83" s="28">
        <v>6</v>
      </c>
      <c r="B83" s="29" t="s">
        <v>709</v>
      </c>
      <c r="C83" s="30" t="s">
        <v>710</v>
      </c>
      <c r="D83" s="31" t="s">
        <v>711</v>
      </c>
      <c r="E83" s="30" t="s">
        <v>49</v>
      </c>
      <c r="F83" s="30" t="s">
        <v>50</v>
      </c>
      <c r="G83" s="30" t="s">
        <v>51</v>
      </c>
      <c r="H83" s="28" t="s">
        <v>85</v>
      </c>
      <c r="I83" s="30"/>
      <c r="J83" s="30" t="s">
        <v>53</v>
      </c>
      <c r="K83" s="30" t="s">
        <v>712</v>
      </c>
      <c r="L83" s="30" t="s">
        <v>55</v>
      </c>
      <c r="M83" s="30" t="s">
        <v>656</v>
      </c>
      <c r="N83" s="30" t="s">
        <v>713</v>
      </c>
      <c r="O83" s="30" t="s">
        <v>686</v>
      </c>
      <c r="P83" s="30" t="s">
        <v>714</v>
      </c>
      <c r="Q83" s="28"/>
      <c r="R83" s="30" t="s">
        <v>715</v>
      </c>
      <c r="S83" s="30" t="s">
        <v>53</v>
      </c>
      <c r="T83" s="30"/>
      <c r="U83" s="28" t="s">
        <v>716</v>
      </c>
      <c r="V83" s="30" t="s">
        <v>63</v>
      </c>
      <c r="W83" s="30" t="s">
        <v>64</v>
      </c>
      <c r="X83" s="32">
        <v>43862</v>
      </c>
      <c r="Y83" s="32">
        <v>45689</v>
      </c>
      <c r="Z83" s="30" t="s">
        <v>65</v>
      </c>
      <c r="AA83" s="28" t="s">
        <v>134</v>
      </c>
      <c r="AB83" s="28" t="s">
        <v>67</v>
      </c>
      <c r="AC83" s="29"/>
      <c r="AD83" s="28">
        <v>0</v>
      </c>
      <c r="AE83" s="29"/>
      <c r="AF83" s="31"/>
      <c r="AG83" s="30" t="s">
        <v>662</v>
      </c>
      <c r="AH83" s="28"/>
      <c r="AI83" s="28" t="s">
        <v>53</v>
      </c>
      <c r="AJ83" s="33">
        <v>37191</v>
      </c>
      <c r="AK83" s="28">
        <v>8</v>
      </c>
      <c r="AL83" s="28">
        <v>20</v>
      </c>
      <c r="AM83" s="21" t="s">
        <v>69</v>
      </c>
      <c r="AN83" s="27"/>
      <c r="AO83" s="27"/>
      <c r="AP83" s="27"/>
      <c r="AQ83" s="27"/>
    </row>
    <row r="84" spans="1:43" ht="15.75" customHeight="1">
      <c r="A84" s="28">
        <v>7</v>
      </c>
      <c r="B84" s="29" t="s">
        <v>717</v>
      </c>
      <c r="C84" s="30"/>
      <c r="D84" s="31" t="s">
        <v>718</v>
      </c>
      <c r="E84" s="30" t="s">
        <v>72</v>
      </c>
      <c r="F84" s="30" t="s">
        <v>50</v>
      </c>
      <c r="G84" s="30" t="s">
        <v>51</v>
      </c>
      <c r="H84" s="28" t="s">
        <v>191</v>
      </c>
      <c r="I84" s="30"/>
      <c r="J84" s="30" t="s">
        <v>53</v>
      </c>
      <c r="K84" s="30" t="s">
        <v>719</v>
      </c>
      <c r="L84" s="30" t="s">
        <v>55</v>
      </c>
      <c r="M84" s="30" t="s">
        <v>656</v>
      </c>
      <c r="N84" s="30" t="s">
        <v>720</v>
      </c>
      <c r="O84" s="30" t="s">
        <v>721</v>
      </c>
      <c r="P84" s="30" t="s">
        <v>722</v>
      </c>
      <c r="Q84" s="28"/>
      <c r="R84" s="30" t="s">
        <v>723</v>
      </c>
      <c r="S84" s="30" t="s">
        <v>53</v>
      </c>
      <c r="T84" s="30"/>
      <c r="U84" s="28" t="s">
        <v>672</v>
      </c>
      <c r="V84" s="30" t="s">
        <v>63</v>
      </c>
      <c r="W84" s="30" t="s">
        <v>64</v>
      </c>
      <c r="X84" s="32">
        <v>43831</v>
      </c>
      <c r="Y84" s="32">
        <v>45627</v>
      </c>
      <c r="Z84" s="30" t="s">
        <v>65</v>
      </c>
      <c r="AA84" s="28" t="s">
        <v>134</v>
      </c>
      <c r="AB84" s="28" t="s">
        <v>67</v>
      </c>
      <c r="AC84" s="29"/>
      <c r="AD84" s="28">
        <v>0</v>
      </c>
      <c r="AE84" s="29"/>
      <c r="AF84" s="31"/>
      <c r="AG84" s="30" t="s">
        <v>662</v>
      </c>
      <c r="AH84" s="28"/>
      <c r="AI84" s="28" t="s">
        <v>53</v>
      </c>
      <c r="AJ84" s="33">
        <v>37030</v>
      </c>
      <c r="AK84" s="28">
        <v>8</v>
      </c>
      <c r="AL84" s="28">
        <v>19</v>
      </c>
      <c r="AM84" s="21" t="s">
        <v>69</v>
      </c>
      <c r="AN84" s="27"/>
      <c r="AO84" s="27"/>
      <c r="AP84" s="27"/>
      <c r="AQ84" s="27"/>
    </row>
    <row r="85" spans="1:43" ht="15.75" customHeight="1">
      <c r="A85" s="28">
        <v>8</v>
      </c>
      <c r="B85" s="29" t="s">
        <v>724</v>
      </c>
      <c r="C85" s="30" t="s">
        <v>725</v>
      </c>
      <c r="D85" s="31" t="s">
        <v>726</v>
      </c>
      <c r="E85" s="30" t="s">
        <v>72</v>
      </c>
      <c r="F85" s="30" t="s">
        <v>50</v>
      </c>
      <c r="G85" s="30" t="s">
        <v>51</v>
      </c>
      <c r="H85" s="28" t="s">
        <v>52</v>
      </c>
      <c r="I85" s="30"/>
      <c r="J85" s="30" t="s">
        <v>53</v>
      </c>
      <c r="K85" s="30" t="s">
        <v>727</v>
      </c>
      <c r="L85" s="30" t="s">
        <v>55</v>
      </c>
      <c r="M85" s="30" t="s">
        <v>656</v>
      </c>
      <c r="N85" s="30" t="s">
        <v>728</v>
      </c>
      <c r="O85" s="30" t="s">
        <v>729</v>
      </c>
      <c r="P85" s="30" t="s">
        <v>730</v>
      </c>
      <c r="Q85" s="28"/>
      <c r="R85" s="30" t="s">
        <v>731</v>
      </c>
      <c r="S85" s="30" t="s">
        <v>53</v>
      </c>
      <c r="T85" s="30"/>
      <c r="U85" s="28" t="s">
        <v>732</v>
      </c>
      <c r="V85" s="30" t="s">
        <v>63</v>
      </c>
      <c r="W85" s="30" t="s">
        <v>64</v>
      </c>
      <c r="X85" s="32">
        <v>43862</v>
      </c>
      <c r="Y85" s="32">
        <v>45658</v>
      </c>
      <c r="Z85" s="30" t="s">
        <v>65</v>
      </c>
      <c r="AA85" s="28" t="s">
        <v>246</v>
      </c>
      <c r="AB85" s="28" t="s">
        <v>67</v>
      </c>
      <c r="AC85" s="29"/>
      <c r="AD85" s="28">
        <v>0</v>
      </c>
      <c r="AE85" s="29"/>
      <c r="AF85" s="31"/>
      <c r="AG85" s="30" t="s">
        <v>662</v>
      </c>
      <c r="AH85" s="28"/>
      <c r="AI85" s="28" t="s">
        <v>118</v>
      </c>
      <c r="AJ85" s="33">
        <v>36948</v>
      </c>
      <c r="AK85" s="28">
        <v>8</v>
      </c>
      <c r="AL85" s="28">
        <v>19</v>
      </c>
      <c r="AM85" s="21" t="s">
        <v>69</v>
      </c>
      <c r="AN85" s="27"/>
      <c r="AO85" s="27"/>
      <c r="AP85" s="27"/>
      <c r="AQ85" s="27"/>
    </row>
    <row r="86" spans="1:43" ht="15.75" customHeight="1">
      <c r="A86" s="28">
        <v>9</v>
      </c>
      <c r="B86" s="29" t="s">
        <v>733</v>
      </c>
      <c r="C86" s="30" t="s">
        <v>734</v>
      </c>
      <c r="D86" s="31" t="s">
        <v>735</v>
      </c>
      <c r="E86" s="30" t="s">
        <v>72</v>
      </c>
      <c r="F86" s="30" t="s">
        <v>50</v>
      </c>
      <c r="G86" s="30" t="s">
        <v>51</v>
      </c>
      <c r="H86" s="28" t="s">
        <v>85</v>
      </c>
      <c r="I86" s="30"/>
      <c r="J86" s="30" t="s">
        <v>53</v>
      </c>
      <c r="K86" s="30" t="s">
        <v>736</v>
      </c>
      <c r="L86" s="30" t="s">
        <v>55</v>
      </c>
      <c r="M86" s="30" t="s">
        <v>656</v>
      </c>
      <c r="N86" s="30" t="s">
        <v>737</v>
      </c>
      <c r="O86" s="30" t="s">
        <v>738</v>
      </c>
      <c r="P86" s="30" t="s">
        <v>739</v>
      </c>
      <c r="Q86" s="28" t="s">
        <v>740</v>
      </c>
      <c r="R86" s="30" t="s">
        <v>741</v>
      </c>
      <c r="S86" s="30" t="s">
        <v>53</v>
      </c>
      <c r="T86" s="30"/>
      <c r="U86" s="28" t="s">
        <v>742</v>
      </c>
      <c r="V86" s="30" t="s">
        <v>63</v>
      </c>
      <c r="W86" s="30" t="s">
        <v>64</v>
      </c>
      <c r="X86" s="32">
        <v>44409</v>
      </c>
      <c r="Y86" s="32">
        <v>46235</v>
      </c>
      <c r="Z86" s="30" t="s">
        <v>65</v>
      </c>
      <c r="AA86" s="28" t="s">
        <v>134</v>
      </c>
      <c r="AB86" s="28" t="s">
        <v>67</v>
      </c>
      <c r="AC86" s="29"/>
      <c r="AD86" s="28">
        <v>0</v>
      </c>
      <c r="AE86" s="29"/>
      <c r="AF86" s="31"/>
      <c r="AG86" s="30" t="s">
        <v>662</v>
      </c>
      <c r="AH86" s="28"/>
      <c r="AI86" s="28" t="s">
        <v>53</v>
      </c>
      <c r="AJ86" s="33">
        <v>37251</v>
      </c>
      <c r="AK86" s="28">
        <v>5</v>
      </c>
      <c r="AL86" s="28">
        <v>18</v>
      </c>
      <c r="AM86" s="21" t="s">
        <v>69</v>
      </c>
      <c r="AN86" s="27"/>
      <c r="AO86" s="27"/>
      <c r="AP86" s="27"/>
      <c r="AQ86" s="27"/>
    </row>
    <row r="87" spans="1:43" ht="15.75" customHeight="1">
      <c r="A87" s="28">
        <v>10</v>
      </c>
      <c r="B87" s="29" t="s">
        <v>743</v>
      </c>
      <c r="C87" s="30"/>
      <c r="D87" s="31" t="s">
        <v>744</v>
      </c>
      <c r="E87" s="30" t="s">
        <v>72</v>
      </c>
      <c r="F87" s="30" t="s">
        <v>50</v>
      </c>
      <c r="G87" s="30" t="s">
        <v>51</v>
      </c>
      <c r="H87" s="28" t="s">
        <v>85</v>
      </c>
      <c r="I87" s="30"/>
      <c r="J87" s="30" t="s">
        <v>53</v>
      </c>
      <c r="K87" s="30" t="s">
        <v>745</v>
      </c>
      <c r="L87" s="30" t="s">
        <v>55</v>
      </c>
      <c r="M87" s="30" t="s">
        <v>656</v>
      </c>
      <c r="N87" s="30" t="s">
        <v>746</v>
      </c>
      <c r="O87" s="30" t="s">
        <v>747</v>
      </c>
      <c r="P87" s="30" t="s">
        <v>748</v>
      </c>
      <c r="Q87" s="28"/>
      <c r="R87" s="30" t="s">
        <v>749</v>
      </c>
      <c r="S87" s="30" t="s">
        <v>53</v>
      </c>
      <c r="T87" s="30"/>
      <c r="U87" s="28" t="s">
        <v>750</v>
      </c>
      <c r="V87" s="30" t="s">
        <v>63</v>
      </c>
      <c r="W87" s="30" t="s">
        <v>64</v>
      </c>
      <c r="X87" s="32">
        <v>44409</v>
      </c>
      <c r="Y87" s="32">
        <v>46174</v>
      </c>
      <c r="Z87" s="30" t="s">
        <v>65</v>
      </c>
      <c r="AA87" s="28" t="s">
        <v>66</v>
      </c>
      <c r="AB87" s="28" t="s">
        <v>67</v>
      </c>
      <c r="AC87" s="29"/>
      <c r="AD87" s="28">
        <v>0</v>
      </c>
      <c r="AE87" s="29"/>
      <c r="AF87" s="31"/>
      <c r="AG87" s="30" t="s">
        <v>662</v>
      </c>
      <c r="AH87" s="28"/>
      <c r="AI87" s="28" t="s">
        <v>53</v>
      </c>
      <c r="AJ87" s="33">
        <v>37218</v>
      </c>
      <c r="AK87" s="28">
        <v>5</v>
      </c>
      <c r="AL87" s="28">
        <v>16</v>
      </c>
      <c r="AM87" s="21" t="s">
        <v>69</v>
      </c>
      <c r="AN87" s="27"/>
      <c r="AO87" s="27"/>
      <c r="AP87" s="27"/>
      <c r="AQ87" s="27"/>
    </row>
    <row r="88" spans="1:43" ht="15.75" customHeight="1">
      <c r="A88" s="28">
        <v>11</v>
      </c>
      <c r="B88" s="29" t="s">
        <v>751</v>
      </c>
      <c r="C88" s="30"/>
      <c r="D88" s="31" t="s">
        <v>752</v>
      </c>
      <c r="E88" s="30" t="s">
        <v>72</v>
      </c>
      <c r="F88" s="30" t="s">
        <v>616</v>
      </c>
      <c r="G88" s="30" t="s">
        <v>51</v>
      </c>
      <c r="H88" s="28" t="s">
        <v>191</v>
      </c>
      <c r="I88" s="30"/>
      <c r="J88" s="30" t="s">
        <v>53</v>
      </c>
      <c r="K88" s="30" t="s">
        <v>753</v>
      </c>
      <c r="L88" s="30" t="s">
        <v>55</v>
      </c>
      <c r="M88" s="30" t="s">
        <v>656</v>
      </c>
      <c r="N88" s="30" t="s">
        <v>754</v>
      </c>
      <c r="O88" s="30" t="s">
        <v>668</v>
      </c>
      <c r="P88" s="30" t="s">
        <v>755</v>
      </c>
      <c r="Q88" s="28" t="s">
        <v>756</v>
      </c>
      <c r="R88" s="30" t="s">
        <v>757</v>
      </c>
      <c r="S88" s="30" t="s">
        <v>53</v>
      </c>
      <c r="T88" s="30"/>
      <c r="U88" s="28" t="s">
        <v>758</v>
      </c>
      <c r="V88" s="30" t="s">
        <v>63</v>
      </c>
      <c r="W88" s="30" t="s">
        <v>64</v>
      </c>
      <c r="X88" s="32">
        <v>44197</v>
      </c>
      <c r="Y88" s="32">
        <v>45992</v>
      </c>
      <c r="Z88" s="30" t="s">
        <v>65</v>
      </c>
      <c r="AA88" s="28" t="s">
        <v>134</v>
      </c>
      <c r="AB88" s="28" t="s">
        <v>67</v>
      </c>
      <c r="AC88" s="29"/>
      <c r="AD88" s="28">
        <v>0</v>
      </c>
      <c r="AE88" s="29"/>
      <c r="AF88" s="31"/>
      <c r="AG88" s="30" t="s">
        <v>662</v>
      </c>
      <c r="AH88" s="28"/>
      <c r="AI88" s="28" t="s">
        <v>118</v>
      </c>
      <c r="AJ88" s="33">
        <v>29113</v>
      </c>
      <c r="AK88" s="28">
        <v>7</v>
      </c>
      <c r="AL88" s="28">
        <v>15</v>
      </c>
      <c r="AM88" s="21" t="s">
        <v>69</v>
      </c>
      <c r="AN88" s="27"/>
      <c r="AO88" s="27"/>
      <c r="AP88" s="27"/>
      <c r="AQ88" s="27"/>
    </row>
    <row r="89" spans="1:43" ht="15.75" customHeight="1">
      <c r="A89" s="28">
        <v>12</v>
      </c>
      <c r="B89" s="29" t="s">
        <v>759</v>
      </c>
      <c r="C89" s="30"/>
      <c r="D89" s="31" t="s">
        <v>760</v>
      </c>
      <c r="E89" s="30" t="s">
        <v>49</v>
      </c>
      <c r="F89" s="30" t="s">
        <v>50</v>
      </c>
      <c r="G89" s="30" t="s">
        <v>51</v>
      </c>
      <c r="H89" s="28" t="s">
        <v>52</v>
      </c>
      <c r="I89" s="30"/>
      <c r="J89" s="30" t="s">
        <v>53</v>
      </c>
      <c r="K89" s="30" t="s">
        <v>761</v>
      </c>
      <c r="L89" s="30" t="s">
        <v>55</v>
      </c>
      <c r="M89" s="30" t="s">
        <v>656</v>
      </c>
      <c r="N89" s="30" t="s">
        <v>762</v>
      </c>
      <c r="O89" s="30" t="s">
        <v>704</v>
      </c>
      <c r="P89" s="30" t="s">
        <v>763</v>
      </c>
      <c r="Q89" s="28"/>
      <c r="R89" s="30" t="s">
        <v>764</v>
      </c>
      <c r="S89" s="30" t="s">
        <v>53</v>
      </c>
      <c r="T89" s="30"/>
      <c r="U89" s="28" t="s">
        <v>765</v>
      </c>
      <c r="V89" s="30" t="s">
        <v>63</v>
      </c>
      <c r="W89" s="30" t="s">
        <v>64</v>
      </c>
      <c r="X89" s="32">
        <v>44409</v>
      </c>
      <c r="Y89" s="32">
        <v>46174</v>
      </c>
      <c r="Z89" s="30" t="s">
        <v>65</v>
      </c>
      <c r="AA89" s="28" t="s">
        <v>246</v>
      </c>
      <c r="AB89" s="28" t="s">
        <v>67</v>
      </c>
      <c r="AC89" s="29"/>
      <c r="AD89" s="28">
        <v>0</v>
      </c>
      <c r="AE89" s="29"/>
      <c r="AF89" s="31"/>
      <c r="AG89" s="30" t="s">
        <v>662</v>
      </c>
      <c r="AH89" s="28"/>
      <c r="AI89" s="28" t="s">
        <v>53</v>
      </c>
      <c r="AJ89" s="33">
        <v>37713</v>
      </c>
      <c r="AK89" s="28">
        <v>5</v>
      </c>
      <c r="AL89" s="28">
        <v>15</v>
      </c>
      <c r="AM89" s="21" t="s">
        <v>69</v>
      </c>
      <c r="AN89" s="27"/>
      <c r="AO89" s="27"/>
      <c r="AP89" s="27"/>
      <c r="AQ89" s="27"/>
    </row>
    <row r="90" spans="1:43" ht="15.75" customHeight="1">
      <c r="A90" s="28">
        <v>1</v>
      </c>
      <c r="B90" s="29" t="s">
        <v>766</v>
      </c>
      <c r="C90" s="30" t="s">
        <v>767</v>
      </c>
      <c r="D90" s="31" t="s">
        <v>768</v>
      </c>
      <c r="E90" s="30" t="s">
        <v>49</v>
      </c>
      <c r="F90" s="30" t="s">
        <v>50</v>
      </c>
      <c r="G90" s="30" t="s">
        <v>51</v>
      </c>
      <c r="H90" s="28" t="s">
        <v>85</v>
      </c>
      <c r="I90" s="30"/>
      <c r="J90" s="30" t="s">
        <v>53</v>
      </c>
      <c r="K90" s="30" t="s">
        <v>769</v>
      </c>
      <c r="L90" s="30" t="s">
        <v>55</v>
      </c>
      <c r="M90" s="30" t="s">
        <v>656</v>
      </c>
      <c r="N90" s="30" t="s">
        <v>770</v>
      </c>
      <c r="O90" s="30" t="s">
        <v>771</v>
      </c>
      <c r="P90" s="30" t="s">
        <v>772</v>
      </c>
      <c r="Q90" s="28" t="s">
        <v>773</v>
      </c>
      <c r="R90" s="30" t="s">
        <v>774</v>
      </c>
      <c r="S90" s="30" t="s">
        <v>53</v>
      </c>
      <c r="T90" s="30"/>
      <c r="U90" s="28" t="s">
        <v>775</v>
      </c>
      <c r="V90" s="30" t="s">
        <v>63</v>
      </c>
      <c r="W90" s="30" t="s">
        <v>204</v>
      </c>
      <c r="X90" s="32">
        <v>43466</v>
      </c>
      <c r="Y90" s="32">
        <v>45444</v>
      </c>
      <c r="Z90" s="30" t="s">
        <v>65</v>
      </c>
      <c r="AA90" s="28" t="s">
        <v>66</v>
      </c>
      <c r="AB90" s="28" t="s">
        <v>67</v>
      </c>
      <c r="AC90" s="29"/>
      <c r="AD90" s="28">
        <v>0</v>
      </c>
      <c r="AE90" s="29"/>
      <c r="AF90" s="31"/>
      <c r="AG90" s="30" t="s">
        <v>662</v>
      </c>
      <c r="AH90" s="28"/>
      <c r="AI90" s="28" t="s">
        <v>53</v>
      </c>
      <c r="AJ90" s="33">
        <v>32958</v>
      </c>
      <c r="AK90" s="28">
        <v>9</v>
      </c>
      <c r="AL90" s="28">
        <v>16</v>
      </c>
      <c r="AM90" s="21" t="s">
        <v>69</v>
      </c>
      <c r="AN90" s="27"/>
      <c r="AO90" s="27"/>
      <c r="AP90" s="27"/>
      <c r="AQ90" s="27"/>
    </row>
    <row r="91" spans="1:43" ht="15.75" customHeight="1">
      <c r="A91" s="28">
        <v>2</v>
      </c>
      <c r="B91" s="29" t="s">
        <v>776</v>
      </c>
      <c r="C91" s="30"/>
      <c r="D91" s="31" t="s">
        <v>777</v>
      </c>
      <c r="E91" s="30" t="s">
        <v>72</v>
      </c>
      <c r="F91" s="30" t="s">
        <v>50</v>
      </c>
      <c r="G91" s="30" t="s">
        <v>51</v>
      </c>
      <c r="H91" s="28" t="s">
        <v>85</v>
      </c>
      <c r="I91" s="30"/>
      <c r="J91" s="30" t="s">
        <v>53</v>
      </c>
      <c r="K91" s="30" t="s">
        <v>778</v>
      </c>
      <c r="L91" s="30" t="s">
        <v>55</v>
      </c>
      <c r="M91" s="30" t="s">
        <v>656</v>
      </c>
      <c r="N91" s="30" t="s">
        <v>779</v>
      </c>
      <c r="O91" s="30" t="s">
        <v>780</v>
      </c>
      <c r="P91" s="30" t="s">
        <v>781</v>
      </c>
      <c r="Q91" s="28"/>
      <c r="R91" s="30" t="s">
        <v>782</v>
      </c>
      <c r="S91" s="30" t="s">
        <v>53</v>
      </c>
      <c r="T91" s="30"/>
      <c r="U91" s="28" t="s">
        <v>783</v>
      </c>
      <c r="V91" s="30" t="s">
        <v>63</v>
      </c>
      <c r="W91" s="30" t="s">
        <v>204</v>
      </c>
      <c r="X91" s="32">
        <v>43466</v>
      </c>
      <c r="Y91" s="32">
        <v>45505</v>
      </c>
      <c r="Z91" s="30" t="s">
        <v>65</v>
      </c>
      <c r="AA91" s="28" t="s">
        <v>66</v>
      </c>
      <c r="AB91" s="28" t="s">
        <v>67</v>
      </c>
      <c r="AC91" s="29"/>
      <c r="AD91" s="28">
        <v>0</v>
      </c>
      <c r="AE91" s="29"/>
      <c r="AF91" s="31"/>
      <c r="AG91" s="30" t="s">
        <v>662</v>
      </c>
      <c r="AH91" s="28"/>
      <c r="AI91" s="28" t="s">
        <v>53</v>
      </c>
      <c r="AJ91" s="33">
        <v>32978</v>
      </c>
      <c r="AK91" s="28">
        <v>9</v>
      </c>
      <c r="AL91" s="28">
        <v>16</v>
      </c>
      <c r="AM91" s="21" t="s">
        <v>69</v>
      </c>
      <c r="AN91" s="27"/>
      <c r="AO91" s="27"/>
      <c r="AP91" s="27"/>
      <c r="AQ91" s="27"/>
    </row>
    <row r="92" spans="1:43" ht="15.75" customHeight="1">
      <c r="A92" s="28">
        <v>3</v>
      </c>
      <c r="B92" s="29" t="s">
        <v>784</v>
      </c>
      <c r="C92" s="30"/>
      <c r="D92" s="31" t="s">
        <v>785</v>
      </c>
      <c r="E92" s="30" t="s">
        <v>72</v>
      </c>
      <c r="F92" s="30" t="s">
        <v>50</v>
      </c>
      <c r="G92" s="30" t="s">
        <v>51</v>
      </c>
      <c r="H92" s="28" t="s">
        <v>52</v>
      </c>
      <c r="I92" s="30"/>
      <c r="J92" s="30" t="s">
        <v>53</v>
      </c>
      <c r="K92" s="30" t="s">
        <v>786</v>
      </c>
      <c r="L92" s="30" t="s">
        <v>55</v>
      </c>
      <c r="M92" s="30" t="s">
        <v>656</v>
      </c>
      <c r="N92" s="30" t="s">
        <v>787</v>
      </c>
      <c r="O92" s="30" t="s">
        <v>788</v>
      </c>
      <c r="P92" s="30" t="s">
        <v>789</v>
      </c>
      <c r="Q92" s="28" t="s">
        <v>790</v>
      </c>
      <c r="R92" s="30" t="s">
        <v>791</v>
      </c>
      <c r="S92" s="30" t="s">
        <v>53</v>
      </c>
      <c r="T92" s="30"/>
      <c r="U92" s="28" t="s">
        <v>765</v>
      </c>
      <c r="V92" s="30" t="s">
        <v>63</v>
      </c>
      <c r="W92" s="30" t="s">
        <v>204</v>
      </c>
      <c r="X92" s="32">
        <v>44228</v>
      </c>
      <c r="Y92" s="32">
        <v>45992</v>
      </c>
      <c r="Z92" s="30" t="s">
        <v>65</v>
      </c>
      <c r="AA92" s="28" t="s">
        <v>134</v>
      </c>
      <c r="AB92" s="28" t="s">
        <v>67</v>
      </c>
      <c r="AC92" s="29"/>
      <c r="AD92" s="28">
        <v>0</v>
      </c>
      <c r="AE92" s="29"/>
      <c r="AF92" s="31"/>
      <c r="AG92" s="30" t="s">
        <v>662</v>
      </c>
      <c r="AH92" s="28"/>
      <c r="AI92" s="28" t="s">
        <v>53</v>
      </c>
      <c r="AJ92" s="33">
        <v>36917</v>
      </c>
      <c r="AK92" s="28">
        <v>6</v>
      </c>
      <c r="AL92" s="28">
        <v>16</v>
      </c>
      <c r="AM92" s="21" t="s">
        <v>69</v>
      </c>
      <c r="AN92" s="27"/>
      <c r="AO92" s="27"/>
      <c r="AP92" s="27"/>
      <c r="AQ92" s="27"/>
    </row>
    <row r="93" spans="1:43" ht="15.75" customHeight="1">
      <c r="A93" s="28">
        <v>1</v>
      </c>
      <c r="B93" s="29" t="s">
        <v>792</v>
      </c>
      <c r="C93" s="30"/>
      <c r="D93" s="31" t="s">
        <v>793</v>
      </c>
      <c r="E93" s="30" t="s">
        <v>49</v>
      </c>
      <c r="F93" s="30" t="s">
        <v>50</v>
      </c>
      <c r="G93" s="30" t="s">
        <v>51</v>
      </c>
      <c r="H93" s="28" t="s">
        <v>52</v>
      </c>
      <c r="I93" s="30"/>
      <c r="J93" s="30" t="s">
        <v>53</v>
      </c>
      <c r="K93" s="30" t="s">
        <v>794</v>
      </c>
      <c r="L93" s="30" t="s">
        <v>795</v>
      </c>
      <c r="M93" s="30" t="s">
        <v>796</v>
      </c>
      <c r="N93" s="30" t="s">
        <v>797</v>
      </c>
      <c r="O93" s="30" t="s">
        <v>798</v>
      </c>
      <c r="P93" s="30" t="s">
        <v>799</v>
      </c>
      <c r="Q93" s="28"/>
      <c r="R93" s="30" t="s">
        <v>800</v>
      </c>
      <c r="S93" s="30" t="s">
        <v>53</v>
      </c>
      <c r="T93" s="30"/>
      <c r="U93" s="28" t="s">
        <v>801</v>
      </c>
      <c r="V93" s="30" t="s">
        <v>63</v>
      </c>
      <c r="W93" s="30" t="s">
        <v>64</v>
      </c>
      <c r="X93" s="32">
        <v>44470</v>
      </c>
      <c r="Y93" s="32">
        <v>45992</v>
      </c>
      <c r="Z93" s="30" t="s">
        <v>65</v>
      </c>
      <c r="AA93" s="28" t="s">
        <v>802</v>
      </c>
      <c r="AB93" s="28" t="s">
        <v>67</v>
      </c>
      <c r="AC93" s="29"/>
      <c r="AD93" s="28">
        <v>0</v>
      </c>
      <c r="AE93" s="29"/>
      <c r="AF93" s="31"/>
      <c r="AG93" s="30" t="s">
        <v>803</v>
      </c>
      <c r="AH93" s="28"/>
      <c r="AI93" s="28" t="s">
        <v>53</v>
      </c>
      <c r="AJ93" s="33">
        <v>37538</v>
      </c>
      <c r="AK93" s="28">
        <v>5</v>
      </c>
      <c r="AL93" s="28">
        <v>28</v>
      </c>
      <c r="AM93" s="21" t="s">
        <v>69</v>
      </c>
      <c r="AN93" s="27"/>
      <c r="AO93" s="27"/>
      <c r="AP93" s="27"/>
      <c r="AQ93" s="27"/>
    </row>
    <row r="94" spans="1:43" ht="15.75" customHeight="1">
      <c r="A94" s="28">
        <v>2</v>
      </c>
      <c r="B94" s="29" t="s">
        <v>804</v>
      </c>
      <c r="C94" s="30"/>
      <c r="D94" s="31" t="s">
        <v>805</v>
      </c>
      <c r="E94" s="30" t="s">
        <v>72</v>
      </c>
      <c r="F94" s="30" t="s">
        <v>50</v>
      </c>
      <c r="G94" s="30" t="s">
        <v>51</v>
      </c>
      <c r="H94" s="28" t="s">
        <v>85</v>
      </c>
      <c r="I94" s="30"/>
      <c r="J94" s="30" t="s">
        <v>53</v>
      </c>
      <c r="K94" s="30" t="s">
        <v>806</v>
      </c>
      <c r="L94" s="30" t="s">
        <v>795</v>
      </c>
      <c r="M94" s="30" t="s">
        <v>796</v>
      </c>
      <c r="N94" s="30" t="s">
        <v>807</v>
      </c>
      <c r="O94" s="30" t="s">
        <v>798</v>
      </c>
      <c r="P94" s="30" t="s">
        <v>808</v>
      </c>
      <c r="Q94" s="28"/>
      <c r="R94" s="30" t="s">
        <v>809</v>
      </c>
      <c r="S94" s="30" t="s">
        <v>53</v>
      </c>
      <c r="T94" s="30"/>
      <c r="U94" s="28" t="s">
        <v>810</v>
      </c>
      <c r="V94" s="30" t="s">
        <v>63</v>
      </c>
      <c r="W94" s="30" t="s">
        <v>64</v>
      </c>
      <c r="X94" s="32">
        <v>44593</v>
      </c>
      <c r="Y94" s="32">
        <v>46357</v>
      </c>
      <c r="Z94" s="30" t="s">
        <v>65</v>
      </c>
      <c r="AA94" s="28" t="s">
        <v>66</v>
      </c>
      <c r="AB94" s="28" t="s">
        <v>67</v>
      </c>
      <c r="AC94" s="29"/>
      <c r="AD94" s="28">
        <v>0</v>
      </c>
      <c r="AE94" s="29"/>
      <c r="AF94" s="31"/>
      <c r="AG94" s="30" t="s">
        <v>803</v>
      </c>
      <c r="AH94" s="28"/>
      <c r="AI94" s="28" t="s">
        <v>53</v>
      </c>
      <c r="AJ94" s="33">
        <v>36273</v>
      </c>
      <c r="AK94" s="28">
        <v>5</v>
      </c>
      <c r="AL94" s="28">
        <v>27</v>
      </c>
      <c r="AM94" s="21" t="s">
        <v>69</v>
      </c>
      <c r="AN94" s="27"/>
      <c r="AO94" s="27"/>
      <c r="AP94" s="27"/>
      <c r="AQ94" s="27"/>
    </row>
    <row r="95" spans="1:43" ht="15.75" customHeight="1">
      <c r="A95" s="28">
        <v>3</v>
      </c>
      <c r="B95" s="29" t="s">
        <v>811</v>
      </c>
      <c r="C95" s="30"/>
      <c r="D95" s="31" t="s">
        <v>812</v>
      </c>
      <c r="E95" s="30" t="s">
        <v>72</v>
      </c>
      <c r="F95" s="30" t="s">
        <v>50</v>
      </c>
      <c r="G95" s="30" t="s">
        <v>51</v>
      </c>
      <c r="H95" s="28" t="s">
        <v>52</v>
      </c>
      <c r="I95" s="30"/>
      <c r="J95" s="30" t="s">
        <v>53</v>
      </c>
      <c r="K95" s="30" t="s">
        <v>813</v>
      </c>
      <c r="L95" s="30" t="s">
        <v>795</v>
      </c>
      <c r="M95" s="30" t="s">
        <v>796</v>
      </c>
      <c r="N95" s="30" t="s">
        <v>814</v>
      </c>
      <c r="O95" s="30" t="s">
        <v>58</v>
      </c>
      <c r="P95" s="30" t="s">
        <v>815</v>
      </c>
      <c r="Q95" s="28"/>
      <c r="R95" s="30" t="s">
        <v>816</v>
      </c>
      <c r="S95" s="30" t="s">
        <v>53</v>
      </c>
      <c r="T95" s="30"/>
      <c r="U95" s="28" t="s">
        <v>801</v>
      </c>
      <c r="V95" s="30" t="s">
        <v>63</v>
      </c>
      <c r="W95" s="30" t="s">
        <v>64</v>
      </c>
      <c r="X95" s="32">
        <v>44470</v>
      </c>
      <c r="Y95" s="32">
        <v>45992</v>
      </c>
      <c r="Z95" s="30" t="s">
        <v>65</v>
      </c>
      <c r="AA95" s="28" t="s">
        <v>802</v>
      </c>
      <c r="AB95" s="28" t="s">
        <v>67</v>
      </c>
      <c r="AC95" s="29"/>
      <c r="AD95" s="28">
        <v>0</v>
      </c>
      <c r="AE95" s="29"/>
      <c r="AF95" s="31"/>
      <c r="AG95" s="30" t="s">
        <v>803</v>
      </c>
      <c r="AH95" s="28"/>
      <c r="AI95" s="28" t="s">
        <v>53</v>
      </c>
      <c r="AJ95" s="33">
        <v>37798</v>
      </c>
      <c r="AK95" s="28">
        <v>5</v>
      </c>
      <c r="AL95" s="28">
        <v>27</v>
      </c>
      <c r="AM95" s="21" t="s">
        <v>69</v>
      </c>
      <c r="AN95" s="27"/>
      <c r="AO95" s="27"/>
      <c r="AP95" s="27"/>
      <c r="AQ95" s="27"/>
    </row>
    <row r="96" spans="1:43" ht="15.75" customHeight="1">
      <c r="A96" s="28">
        <v>4</v>
      </c>
      <c r="B96" s="29" t="s">
        <v>817</v>
      </c>
      <c r="C96" s="30"/>
      <c r="D96" s="31" t="s">
        <v>818</v>
      </c>
      <c r="E96" s="30" t="s">
        <v>49</v>
      </c>
      <c r="F96" s="30" t="s">
        <v>50</v>
      </c>
      <c r="G96" s="30" t="s">
        <v>51</v>
      </c>
      <c r="H96" s="28" t="s">
        <v>52</v>
      </c>
      <c r="I96" s="30"/>
      <c r="J96" s="30" t="s">
        <v>53</v>
      </c>
      <c r="K96" s="30" t="s">
        <v>819</v>
      </c>
      <c r="L96" s="30" t="s">
        <v>55</v>
      </c>
      <c r="M96" s="30" t="s">
        <v>820</v>
      </c>
      <c r="N96" s="30" t="s">
        <v>821</v>
      </c>
      <c r="O96" s="30" t="s">
        <v>822</v>
      </c>
      <c r="P96" s="30" t="s">
        <v>823</v>
      </c>
      <c r="Q96" s="28"/>
      <c r="R96" s="30" t="s">
        <v>824</v>
      </c>
      <c r="S96" s="30" t="s">
        <v>53</v>
      </c>
      <c r="T96" s="30"/>
      <c r="U96" s="28" t="s">
        <v>825</v>
      </c>
      <c r="V96" s="30" t="s">
        <v>63</v>
      </c>
      <c r="W96" s="30" t="s">
        <v>64</v>
      </c>
      <c r="X96" s="32">
        <v>44593</v>
      </c>
      <c r="Y96" s="32">
        <v>46357</v>
      </c>
      <c r="Z96" s="30" t="s">
        <v>65</v>
      </c>
      <c r="AA96" s="28" t="s">
        <v>134</v>
      </c>
      <c r="AB96" s="28" t="s">
        <v>67</v>
      </c>
      <c r="AC96" s="29"/>
      <c r="AD96" s="28">
        <v>0</v>
      </c>
      <c r="AE96" s="29"/>
      <c r="AF96" s="31"/>
      <c r="AG96" s="30" t="s">
        <v>803</v>
      </c>
      <c r="AH96" s="28"/>
      <c r="AI96" s="28" t="s">
        <v>53</v>
      </c>
      <c r="AJ96" s="33">
        <v>38110</v>
      </c>
      <c r="AK96" s="28">
        <v>5</v>
      </c>
      <c r="AL96" s="28">
        <v>25</v>
      </c>
      <c r="AM96" s="21" t="s">
        <v>69</v>
      </c>
      <c r="AN96" s="27"/>
      <c r="AO96" s="27"/>
      <c r="AP96" s="27"/>
      <c r="AQ96" s="27"/>
    </row>
    <row r="97" spans="1:43" ht="15.75" customHeight="1">
      <c r="A97" s="28">
        <v>5</v>
      </c>
      <c r="B97" s="29" t="s">
        <v>826</v>
      </c>
      <c r="C97" s="30"/>
      <c r="D97" s="31" t="s">
        <v>827</v>
      </c>
      <c r="E97" s="30" t="s">
        <v>49</v>
      </c>
      <c r="F97" s="30" t="s">
        <v>84</v>
      </c>
      <c r="G97" s="30" t="s">
        <v>51</v>
      </c>
      <c r="H97" s="28" t="s">
        <v>52</v>
      </c>
      <c r="I97" s="30"/>
      <c r="J97" s="30" t="s">
        <v>53</v>
      </c>
      <c r="K97" s="30" t="s">
        <v>819</v>
      </c>
      <c r="L97" s="30" t="s">
        <v>55</v>
      </c>
      <c r="M97" s="30" t="s">
        <v>820</v>
      </c>
      <c r="N97" s="30" t="s">
        <v>828</v>
      </c>
      <c r="O97" s="30" t="s">
        <v>829</v>
      </c>
      <c r="P97" s="30" t="s">
        <v>830</v>
      </c>
      <c r="Q97" s="28"/>
      <c r="R97" s="30" t="s">
        <v>831</v>
      </c>
      <c r="S97" s="30" t="s">
        <v>53</v>
      </c>
      <c r="T97" s="30"/>
      <c r="U97" s="28" t="s">
        <v>810</v>
      </c>
      <c r="V97" s="30" t="s">
        <v>63</v>
      </c>
      <c r="W97" s="30" t="s">
        <v>64</v>
      </c>
      <c r="X97" s="32">
        <v>44593</v>
      </c>
      <c r="Y97" s="32">
        <v>46357</v>
      </c>
      <c r="Z97" s="30" t="s">
        <v>65</v>
      </c>
      <c r="AA97" s="28" t="s">
        <v>134</v>
      </c>
      <c r="AB97" s="28" t="s">
        <v>67</v>
      </c>
      <c r="AC97" s="29"/>
      <c r="AD97" s="28">
        <v>0</v>
      </c>
      <c r="AE97" s="29"/>
      <c r="AF97" s="31"/>
      <c r="AG97" s="30" t="s">
        <v>803</v>
      </c>
      <c r="AH97" s="28"/>
      <c r="AI97" s="28" t="s">
        <v>53</v>
      </c>
      <c r="AJ97" s="33">
        <v>28439</v>
      </c>
      <c r="AK97" s="28">
        <v>5</v>
      </c>
      <c r="AL97" s="28">
        <v>25</v>
      </c>
      <c r="AM97" s="21" t="s">
        <v>69</v>
      </c>
      <c r="AN97" s="27"/>
      <c r="AO97" s="27"/>
      <c r="AP97" s="27"/>
      <c r="AQ97" s="27"/>
    </row>
    <row r="98" spans="1:43" ht="15.75" customHeight="1">
      <c r="A98" s="28">
        <v>6</v>
      </c>
      <c r="B98" s="29" t="s">
        <v>832</v>
      </c>
      <c r="C98" s="30"/>
      <c r="D98" s="31" t="s">
        <v>833</v>
      </c>
      <c r="E98" s="30" t="s">
        <v>72</v>
      </c>
      <c r="F98" s="30" t="s">
        <v>50</v>
      </c>
      <c r="G98" s="30" t="s">
        <v>51</v>
      </c>
      <c r="H98" s="28" t="s">
        <v>85</v>
      </c>
      <c r="I98" s="30"/>
      <c r="J98" s="30" t="s">
        <v>53</v>
      </c>
      <c r="K98" s="30" t="s">
        <v>834</v>
      </c>
      <c r="L98" s="30" t="s">
        <v>795</v>
      </c>
      <c r="M98" s="30" t="s">
        <v>796</v>
      </c>
      <c r="N98" s="30" t="s">
        <v>835</v>
      </c>
      <c r="O98" s="30" t="s">
        <v>836</v>
      </c>
      <c r="P98" s="30" t="s">
        <v>837</v>
      </c>
      <c r="Q98" s="28"/>
      <c r="R98" s="30" t="s">
        <v>838</v>
      </c>
      <c r="S98" s="30" t="s">
        <v>53</v>
      </c>
      <c r="T98" s="30"/>
      <c r="U98" s="28" t="s">
        <v>839</v>
      </c>
      <c r="V98" s="30" t="s">
        <v>63</v>
      </c>
      <c r="W98" s="30" t="s">
        <v>64</v>
      </c>
      <c r="X98" s="32">
        <v>44593</v>
      </c>
      <c r="Y98" s="32">
        <v>46357</v>
      </c>
      <c r="Z98" s="30" t="s">
        <v>65</v>
      </c>
      <c r="AA98" s="28" t="s">
        <v>134</v>
      </c>
      <c r="AB98" s="28" t="s">
        <v>67</v>
      </c>
      <c r="AC98" s="29"/>
      <c r="AD98" s="28">
        <v>0</v>
      </c>
      <c r="AE98" s="29"/>
      <c r="AF98" s="31"/>
      <c r="AG98" s="30" t="s">
        <v>803</v>
      </c>
      <c r="AH98" s="28"/>
      <c r="AI98" s="28" t="s">
        <v>53</v>
      </c>
      <c r="AJ98" s="33">
        <v>37818</v>
      </c>
      <c r="AK98" s="28">
        <v>5</v>
      </c>
      <c r="AL98" s="28">
        <v>21</v>
      </c>
      <c r="AM98" s="21" t="s">
        <v>69</v>
      </c>
      <c r="AN98" s="27"/>
      <c r="AO98" s="27"/>
      <c r="AP98" s="27"/>
      <c r="AQ98" s="27"/>
    </row>
    <row r="99" spans="1:43" ht="15.75" customHeight="1">
      <c r="A99" s="28">
        <v>7</v>
      </c>
      <c r="B99" s="29" t="s">
        <v>840</v>
      </c>
      <c r="C99" s="30"/>
      <c r="D99" s="31" t="s">
        <v>841</v>
      </c>
      <c r="E99" s="30" t="s">
        <v>49</v>
      </c>
      <c r="F99" s="30" t="s">
        <v>50</v>
      </c>
      <c r="G99" s="30" t="s">
        <v>51</v>
      </c>
      <c r="H99" s="28" t="s">
        <v>52</v>
      </c>
      <c r="I99" s="30"/>
      <c r="J99" s="30" t="s">
        <v>53</v>
      </c>
      <c r="K99" s="30" t="s">
        <v>842</v>
      </c>
      <c r="L99" s="30" t="s">
        <v>795</v>
      </c>
      <c r="M99" s="30" t="s">
        <v>796</v>
      </c>
      <c r="N99" s="30" t="s">
        <v>843</v>
      </c>
      <c r="O99" s="30" t="s">
        <v>844</v>
      </c>
      <c r="P99" s="30" t="s">
        <v>845</v>
      </c>
      <c r="Q99" s="28"/>
      <c r="R99" s="30" t="s">
        <v>846</v>
      </c>
      <c r="S99" s="30" t="s">
        <v>53</v>
      </c>
      <c r="T99" s="30"/>
      <c r="U99" s="28" t="s">
        <v>847</v>
      </c>
      <c r="V99" s="30" t="s">
        <v>63</v>
      </c>
      <c r="W99" s="30" t="s">
        <v>64</v>
      </c>
      <c r="X99" s="32">
        <v>44470</v>
      </c>
      <c r="Y99" s="32">
        <v>45992</v>
      </c>
      <c r="Z99" s="30" t="s">
        <v>65</v>
      </c>
      <c r="AA99" s="28" t="s">
        <v>246</v>
      </c>
      <c r="AB99" s="28" t="s">
        <v>67</v>
      </c>
      <c r="AC99" s="29"/>
      <c r="AD99" s="28">
        <v>0</v>
      </c>
      <c r="AE99" s="29"/>
      <c r="AF99" s="31"/>
      <c r="AG99" s="30" t="s">
        <v>803</v>
      </c>
      <c r="AH99" s="28"/>
      <c r="AI99" s="28" t="s">
        <v>53</v>
      </c>
      <c r="AJ99" s="33">
        <v>37228</v>
      </c>
      <c r="AK99" s="28">
        <v>5</v>
      </c>
      <c r="AL99" s="28">
        <v>21</v>
      </c>
      <c r="AM99" s="21" t="s">
        <v>69</v>
      </c>
      <c r="AN99" s="27"/>
      <c r="AO99" s="27"/>
      <c r="AP99" s="27"/>
      <c r="AQ99" s="27"/>
    </row>
    <row r="100" spans="1:43" ht="15.75" customHeight="1">
      <c r="A100" s="28">
        <v>8</v>
      </c>
      <c r="B100" s="29" t="s">
        <v>848</v>
      </c>
      <c r="C100" s="30"/>
      <c r="D100" s="31" t="s">
        <v>849</v>
      </c>
      <c r="E100" s="30" t="s">
        <v>49</v>
      </c>
      <c r="F100" s="30" t="s">
        <v>50</v>
      </c>
      <c r="G100" s="30" t="s">
        <v>51</v>
      </c>
      <c r="H100" s="28" t="s">
        <v>85</v>
      </c>
      <c r="I100" s="30"/>
      <c r="J100" s="30" t="s">
        <v>53</v>
      </c>
      <c r="K100" s="30" t="s">
        <v>819</v>
      </c>
      <c r="L100" s="30" t="s">
        <v>55</v>
      </c>
      <c r="M100" s="30" t="s">
        <v>820</v>
      </c>
      <c r="N100" s="30" t="s">
        <v>850</v>
      </c>
      <c r="O100" s="30" t="s">
        <v>851</v>
      </c>
      <c r="P100" s="30" t="s">
        <v>852</v>
      </c>
      <c r="Q100" s="28"/>
      <c r="R100" s="30" t="s">
        <v>853</v>
      </c>
      <c r="S100" s="30" t="s">
        <v>53</v>
      </c>
      <c r="T100" s="30"/>
      <c r="U100" s="28" t="s">
        <v>847</v>
      </c>
      <c r="V100" s="30" t="s">
        <v>63</v>
      </c>
      <c r="W100" s="30" t="s">
        <v>64</v>
      </c>
      <c r="X100" s="32">
        <v>44409</v>
      </c>
      <c r="Y100" s="32">
        <v>46235</v>
      </c>
      <c r="Z100" s="30" t="s">
        <v>65</v>
      </c>
      <c r="AA100" s="28" t="s">
        <v>802</v>
      </c>
      <c r="AB100" s="28" t="s">
        <v>67</v>
      </c>
      <c r="AC100" s="29"/>
      <c r="AD100" s="28">
        <v>0</v>
      </c>
      <c r="AE100" s="29"/>
      <c r="AF100" s="31"/>
      <c r="AG100" s="30" t="s">
        <v>803</v>
      </c>
      <c r="AH100" s="28"/>
      <c r="AI100" s="28" t="s">
        <v>53</v>
      </c>
      <c r="AJ100" s="33">
        <v>36038</v>
      </c>
      <c r="AK100" s="28">
        <v>5</v>
      </c>
      <c r="AL100" s="28">
        <v>20</v>
      </c>
      <c r="AM100" s="21" t="s">
        <v>69</v>
      </c>
      <c r="AN100" s="27"/>
      <c r="AO100" s="27"/>
      <c r="AP100" s="27"/>
      <c r="AQ100" s="27"/>
    </row>
    <row r="101" spans="1:43" ht="15.75" customHeight="1">
      <c r="A101" s="28">
        <v>9</v>
      </c>
      <c r="B101" s="29" t="s">
        <v>854</v>
      </c>
      <c r="C101" s="30" t="s">
        <v>855</v>
      </c>
      <c r="D101" s="31" t="s">
        <v>856</v>
      </c>
      <c r="E101" s="30" t="s">
        <v>72</v>
      </c>
      <c r="F101" s="30" t="s">
        <v>50</v>
      </c>
      <c r="G101" s="30" t="s">
        <v>51</v>
      </c>
      <c r="H101" s="28" t="s">
        <v>52</v>
      </c>
      <c r="I101" s="30"/>
      <c r="J101" s="30" t="s">
        <v>53</v>
      </c>
      <c r="K101" s="30" t="s">
        <v>857</v>
      </c>
      <c r="L101" s="30" t="s">
        <v>795</v>
      </c>
      <c r="M101" s="30" t="s">
        <v>796</v>
      </c>
      <c r="N101" s="30" t="s">
        <v>858</v>
      </c>
      <c r="O101" s="30" t="s">
        <v>859</v>
      </c>
      <c r="P101" s="30" t="s">
        <v>860</v>
      </c>
      <c r="Q101" s="28"/>
      <c r="R101" s="30" t="s">
        <v>861</v>
      </c>
      <c r="S101" s="30" t="s">
        <v>53</v>
      </c>
      <c r="T101" s="30"/>
      <c r="U101" s="28" t="s">
        <v>839</v>
      </c>
      <c r="V101" s="30" t="s">
        <v>63</v>
      </c>
      <c r="W101" s="30" t="s">
        <v>64</v>
      </c>
      <c r="X101" s="32">
        <v>44562</v>
      </c>
      <c r="Y101" s="32">
        <v>46023</v>
      </c>
      <c r="Z101" s="30" t="s">
        <v>65</v>
      </c>
      <c r="AA101" s="28" t="s">
        <v>134</v>
      </c>
      <c r="AB101" s="28" t="s">
        <v>67</v>
      </c>
      <c r="AC101" s="29"/>
      <c r="AD101" s="28">
        <v>0</v>
      </c>
      <c r="AE101" s="29"/>
      <c r="AF101" s="31"/>
      <c r="AG101" s="30" t="s">
        <v>803</v>
      </c>
      <c r="AH101" s="28"/>
      <c r="AI101" s="28" t="s">
        <v>53</v>
      </c>
      <c r="AJ101" s="33">
        <v>37746</v>
      </c>
      <c r="AK101" s="28">
        <v>5</v>
      </c>
      <c r="AL101" s="28">
        <v>18</v>
      </c>
      <c r="AM101" s="21" t="s">
        <v>69</v>
      </c>
      <c r="AN101" s="27"/>
      <c r="AO101" s="27"/>
      <c r="AP101" s="27"/>
      <c r="AQ101" s="27"/>
    </row>
    <row r="102" spans="1:43" ht="15.75" customHeight="1">
      <c r="A102" s="28">
        <v>10</v>
      </c>
      <c r="B102" s="29" t="s">
        <v>862</v>
      </c>
      <c r="C102" s="30"/>
      <c r="D102" s="31" t="s">
        <v>863</v>
      </c>
      <c r="E102" s="30" t="s">
        <v>72</v>
      </c>
      <c r="F102" s="30" t="s">
        <v>50</v>
      </c>
      <c r="G102" s="30" t="s">
        <v>51</v>
      </c>
      <c r="H102" s="28" t="s">
        <v>191</v>
      </c>
      <c r="I102" s="30"/>
      <c r="J102" s="30" t="s">
        <v>53</v>
      </c>
      <c r="K102" s="30" t="s">
        <v>864</v>
      </c>
      <c r="L102" s="30" t="s">
        <v>795</v>
      </c>
      <c r="M102" s="30" t="s">
        <v>796</v>
      </c>
      <c r="N102" s="30" t="s">
        <v>865</v>
      </c>
      <c r="O102" s="30" t="s">
        <v>859</v>
      </c>
      <c r="P102" s="30" t="s">
        <v>866</v>
      </c>
      <c r="Q102" s="28"/>
      <c r="R102" s="30" t="s">
        <v>867</v>
      </c>
      <c r="S102" s="30" t="s">
        <v>53</v>
      </c>
      <c r="T102" s="30"/>
      <c r="U102" s="28" t="s">
        <v>810</v>
      </c>
      <c r="V102" s="30" t="s">
        <v>63</v>
      </c>
      <c r="W102" s="30" t="s">
        <v>64</v>
      </c>
      <c r="X102" s="32">
        <v>43497</v>
      </c>
      <c r="Y102" s="32">
        <v>45261</v>
      </c>
      <c r="Z102" s="30" t="s">
        <v>65</v>
      </c>
      <c r="AA102" s="28" t="s">
        <v>134</v>
      </c>
      <c r="AB102" s="28" t="s">
        <v>67</v>
      </c>
      <c r="AC102" s="29"/>
      <c r="AD102" s="28">
        <v>0</v>
      </c>
      <c r="AE102" s="29"/>
      <c r="AF102" s="31"/>
      <c r="AG102" s="30" t="s">
        <v>803</v>
      </c>
      <c r="AH102" s="28"/>
      <c r="AI102" s="28" t="s">
        <v>53</v>
      </c>
      <c r="AJ102" s="33">
        <v>36730</v>
      </c>
      <c r="AK102" s="28">
        <v>9</v>
      </c>
      <c r="AL102" s="28">
        <v>16</v>
      </c>
      <c r="AM102" s="21" t="s">
        <v>69</v>
      </c>
      <c r="AN102" s="27"/>
      <c r="AO102" s="27"/>
      <c r="AP102" s="27"/>
      <c r="AQ102" s="27"/>
    </row>
    <row r="103" spans="1:43" ht="15.75" customHeight="1">
      <c r="A103" s="28">
        <v>11</v>
      </c>
      <c r="B103" s="29" t="s">
        <v>868</v>
      </c>
      <c r="C103" s="30" t="s">
        <v>869</v>
      </c>
      <c r="D103" s="31" t="s">
        <v>870</v>
      </c>
      <c r="E103" s="30" t="s">
        <v>49</v>
      </c>
      <c r="F103" s="30" t="s">
        <v>50</v>
      </c>
      <c r="G103" s="30" t="s">
        <v>51</v>
      </c>
      <c r="H103" s="28" t="s">
        <v>191</v>
      </c>
      <c r="I103" s="30"/>
      <c r="J103" s="30" t="s">
        <v>53</v>
      </c>
      <c r="K103" s="30" t="s">
        <v>871</v>
      </c>
      <c r="L103" s="30" t="s">
        <v>795</v>
      </c>
      <c r="M103" s="30" t="s">
        <v>796</v>
      </c>
      <c r="N103" s="30" t="s">
        <v>872</v>
      </c>
      <c r="O103" s="30" t="s">
        <v>873</v>
      </c>
      <c r="P103" s="30" t="s">
        <v>874</v>
      </c>
      <c r="Q103" s="28" t="s">
        <v>875</v>
      </c>
      <c r="R103" s="30" t="s">
        <v>876</v>
      </c>
      <c r="S103" s="30" t="s">
        <v>53</v>
      </c>
      <c r="T103" s="30"/>
      <c r="U103" s="28" t="s">
        <v>810</v>
      </c>
      <c r="V103" s="30" t="s">
        <v>63</v>
      </c>
      <c r="W103" s="30" t="s">
        <v>64</v>
      </c>
      <c r="X103" s="32">
        <v>43862</v>
      </c>
      <c r="Y103" s="32">
        <v>45809</v>
      </c>
      <c r="Z103" s="30" t="s">
        <v>65</v>
      </c>
      <c r="AA103" s="28" t="s">
        <v>66</v>
      </c>
      <c r="AB103" s="28" t="s">
        <v>67</v>
      </c>
      <c r="AC103" s="29"/>
      <c r="AD103" s="28">
        <v>0</v>
      </c>
      <c r="AE103" s="29"/>
      <c r="AF103" s="31"/>
      <c r="AG103" s="30" t="s">
        <v>803</v>
      </c>
      <c r="AH103" s="28" t="s">
        <v>431</v>
      </c>
      <c r="AI103" s="28" t="s">
        <v>53</v>
      </c>
      <c r="AJ103" s="33">
        <v>37259</v>
      </c>
      <c r="AK103" s="28">
        <v>7</v>
      </c>
      <c r="AL103" s="28">
        <v>16</v>
      </c>
      <c r="AM103" s="21" t="s">
        <v>69</v>
      </c>
      <c r="AN103" s="27"/>
      <c r="AO103" s="27"/>
      <c r="AP103" s="27"/>
      <c r="AQ103" s="27"/>
    </row>
    <row r="104" spans="1:43" ht="15.75" customHeight="1">
      <c r="A104" s="28">
        <v>1</v>
      </c>
      <c r="B104" s="29" t="s">
        <v>877</v>
      </c>
      <c r="C104" s="30"/>
      <c r="D104" s="31" t="s">
        <v>878</v>
      </c>
      <c r="E104" s="30" t="s">
        <v>49</v>
      </c>
      <c r="F104" s="30" t="s">
        <v>50</v>
      </c>
      <c r="G104" s="30" t="s">
        <v>51</v>
      </c>
      <c r="H104" s="28" t="s">
        <v>85</v>
      </c>
      <c r="I104" s="30"/>
      <c r="J104" s="30" t="s">
        <v>53</v>
      </c>
      <c r="K104" s="30" t="s">
        <v>879</v>
      </c>
      <c r="L104" s="30" t="s">
        <v>55</v>
      </c>
      <c r="M104" s="30" t="s">
        <v>880</v>
      </c>
      <c r="N104" s="30" t="s">
        <v>881</v>
      </c>
      <c r="O104" s="30" t="s">
        <v>882</v>
      </c>
      <c r="P104" s="30" t="s">
        <v>883</v>
      </c>
      <c r="Q104" s="28"/>
      <c r="R104" s="30" t="s">
        <v>884</v>
      </c>
      <c r="S104" s="30" t="s">
        <v>53</v>
      </c>
      <c r="T104" s="30"/>
      <c r="U104" s="28" t="s">
        <v>885</v>
      </c>
      <c r="V104" s="30" t="s">
        <v>63</v>
      </c>
      <c r="W104" s="30" t="s">
        <v>64</v>
      </c>
      <c r="X104" s="32">
        <v>44774</v>
      </c>
      <c r="Y104" s="32">
        <v>46357</v>
      </c>
      <c r="Z104" s="30" t="s">
        <v>65</v>
      </c>
      <c r="AA104" s="28" t="s">
        <v>66</v>
      </c>
      <c r="AB104" s="28" t="s">
        <v>67</v>
      </c>
      <c r="AC104" s="29"/>
      <c r="AD104" s="28">
        <v>0</v>
      </c>
      <c r="AE104" s="29"/>
      <c r="AF104" s="31"/>
      <c r="AG104" s="30" t="s">
        <v>886</v>
      </c>
      <c r="AH104" s="28"/>
      <c r="AI104" s="28" t="s">
        <v>53</v>
      </c>
      <c r="AJ104" s="33">
        <v>37188</v>
      </c>
      <c r="AK104" s="28">
        <v>5</v>
      </c>
      <c r="AL104" s="28">
        <v>18</v>
      </c>
      <c r="AM104" s="21" t="s">
        <v>69</v>
      </c>
      <c r="AN104" s="27"/>
      <c r="AO104" s="27"/>
      <c r="AP104" s="27"/>
      <c r="AQ104" s="27"/>
    </row>
    <row r="105" spans="1:43" ht="15.75" customHeight="1">
      <c r="A105" s="28">
        <v>1</v>
      </c>
      <c r="B105" s="29" t="s">
        <v>887</v>
      </c>
      <c r="C105" s="30" t="s">
        <v>888</v>
      </c>
      <c r="D105" s="31" t="s">
        <v>889</v>
      </c>
      <c r="E105" s="30" t="s">
        <v>72</v>
      </c>
      <c r="F105" s="30" t="s">
        <v>50</v>
      </c>
      <c r="G105" s="30" t="s">
        <v>51</v>
      </c>
      <c r="H105" s="28" t="s">
        <v>85</v>
      </c>
      <c r="I105" s="30"/>
      <c r="J105" s="30" t="s">
        <v>53</v>
      </c>
      <c r="K105" s="30" t="s">
        <v>890</v>
      </c>
      <c r="L105" s="30" t="s">
        <v>55</v>
      </c>
      <c r="M105" s="30" t="s">
        <v>891</v>
      </c>
      <c r="N105" s="30" t="s">
        <v>892</v>
      </c>
      <c r="O105" s="30" t="s">
        <v>893</v>
      </c>
      <c r="P105" s="30" t="s">
        <v>894</v>
      </c>
      <c r="Q105" s="28"/>
      <c r="R105" s="30" t="s">
        <v>895</v>
      </c>
      <c r="S105" s="30" t="s">
        <v>53</v>
      </c>
      <c r="T105" s="30"/>
      <c r="U105" s="28" t="s">
        <v>896</v>
      </c>
      <c r="V105" s="30" t="s">
        <v>63</v>
      </c>
      <c r="W105" s="30" t="s">
        <v>64</v>
      </c>
      <c r="X105" s="32">
        <v>44562</v>
      </c>
      <c r="Y105" s="32">
        <v>46357</v>
      </c>
      <c r="Z105" s="30" t="s">
        <v>65</v>
      </c>
      <c r="AA105" s="28" t="s">
        <v>66</v>
      </c>
      <c r="AB105" s="28" t="s">
        <v>67</v>
      </c>
      <c r="AC105" s="29"/>
      <c r="AD105" s="28">
        <v>0</v>
      </c>
      <c r="AE105" s="29"/>
      <c r="AF105" s="31"/>
      <c r="AG105" s="30" t="s">
        <v>897</v>
      </c>
      <c r="AH105" s="28"/>
      <c r="AI105" s="28" t="s">
        <v>53</v>
      </c>
      <c r="AJ105" s="33">
        <v>37959</v>
      </c>
      <c r="AK105" s="28">
        <v>5</v>
      </c>
      <c r="AL105" s="28">
        <v>18</v>
      </c>
      <c r="AM105" s="21" t="s">
        <v>69</v>
      </c>
      <c r="AN105" s="27"/>
      <c r="AO105" s="27"/>
      <c r="AP105" s="27"/>
      <c r="AQ105" s="27"/>
    </row>
    <row r="106" spans="1:43" ht="15.75" customHeight="1">
      <c r="A106" s="28">
        <v>1</v>
      </c>
      <c r="B106" s="29" t="s">
        <v>898</v>
      </c>
      <c r="C106" s="30"/>
      <c r="D106" s="31" t="s">
        <v>899</v>
      </c>
      <c r="E106" s="30" t="s">
        <v>72</v>
      </c>
      <c r="F106" s="30" t="s">
        <v>50</v>
      </c>
      <c r="G106" s="30" t="s">
        <v>51</v>
      </c>
      <c r="H106" s="28" t="s">
        <v>191</v>
      </c>
      <c r="I106" s="30"/>
      <c r="J106" s="30" t="s">
        <v>53</v>
      </c>
      <c r="K106" s="30" t="s">
        <v>900</v>
      </c>
      <c r="L106" s="30" t="s">
        <v>55</v>
      </c>
      <c r="M106" s="30" t="s">
        <v>901</v>
      </c>
      <c r="N106" s="30" t="s">
        <v>902</v>
      </c>
      <c r="O106" s="30" t="s">
        <v>58</v>
      </c>
      <c r="P106" s="30" t="s">
        <v>903</v>
      </c>
      <c r="Q106" s="28"/>
      <c r="R106" s="30" t="s">
        <v>904</v>
      </c>
      <c r="S106" s="30" t="s">
        <v>53</v>
      </c>
      <c r="T106" s="30"/>
      <c r="U106" s="28" t="s">
        <v>905</v>
      </c>
      <c r="V106" s="30" t="s">
        <v>63</v>
      </c>
      <c r="W106" s="30" t="s">
        <v>64</v>
      </c>
      <c r="X106" s="32">
        <v>44197</v>
      </c>
      <c r="Y106" s="32">
        <v>45992</v>
      </c>
      <c r="Z106" s="30" t="s">
        <v>65</v>
      </c>
      <c r="AA106" s="28" t="s">
        <v>66</v>
      </c>
      <c r="AB106" s="28" t="s">
        <v>67</v>
      </c>
      <c r="AC106" s="29"/>
      <c r="AD106" s="28">
        <v>0</v>
      </c>
      <c r="AE106" s="29"/>
      <c r="AF106" s="31"/>
      <c r="AG106" s="30" t="s">
        <v>906</v>
      </c>
      <c r="AH106" s="28"/>
      <c r="AI106" s="28" t="s">
        <v>118</v>
      </c>
      <c r="AJ106" s="33">
        <v>37298</v>
      </c>
      <c r="AK106" s="28">
        <v>6</v>
      </c>
      <c r="AL106" s="28">
        <v>16</v>
      </c>
      <c r="AM106" s="21" t="s">
        <v>69</v>
      </c>
      <c r="AN106" s="27"/>
      <c r="AO106" s="27"/>
      <c r="AP106" s="27"/>
      <c r="AQ106" s="27"/>
    </row>
    <row r="107" spans="1:43" ht="15.75" customHeight="1">
      <c r="A107" s="28">
        <v>1</v>
      </c>
      <c r="B107" s="29" t="s">
        <v>907</v>
      </c>
      <c r="C107" s="30" t="s">
        <v>908</v>
      </c>
      <c r="D107" s="31" t="s">
        <v>909</v>
      </c>
      <c r="E107" s="30" t="s">
        <v>72</v>
      </c>
      <c r="F107" s="30" t="s">
        <v>50</v>
      </c>
      <c r="G107" s="30" t="s">
        <v>51</v>
      </c>
      <c r="H107" s="28" t="s">
        <v>85</v>
      </c>
      <c r="I107" s="30"/>
      <c r="J107" s="30" t="s">
        <v>53</v>
      </c>
      <c r="K107" s="30" t="s">
        <v>910</v>
      </c>
      <c r="L107" s="30" t="s">
        <v>55</v>
      </c>
      <c r="M107" s="30" t="s">
        <v>911</v>
      </c>
      <c r="N107" s="30" t="s">
        <v>912</v>
      </c>
      <c r="O107" s="30" t="s">
        <v>913</v>
      </c>
      <c r="P107" s="30" t="s">
        <v>914</v>
      </c>
      <c r="Q107" s="28"/>
      <c r="R107" s="30" t="s">
        <v>915</v>
      </c>
      <c r="S107" s="30" t="s">
        <v>53</v>
      </c>
      <c r="T107" s="30"/>
      <c r="U107" s="28" t="s">
        <v>916</v>
      </c>
      <c r="V107" s="30" t="s">
        <v>63</v>
      </c>
      <c r="W107" s="30" t="s">
        <v>80</v>
      </c>
      <c r="X107" s="32">
        <v>44593</v>
      </c>
      <c r="Y107" s="32">
        <v>45992</v>
      </c>
      <c r="Z107" s="30" t="s">
        <v>65</v>
      </c>
      <c r="AA107" s="28" t="s">
        <v>66</v>
      </c>
      <c r="AB107" s="28" t="s">
        <v>67</v>
      </c>
      <c r="AC107" s="29"/>
      <c r="AD107" s="28">
        <v>0</v>
      </c>
      <c r="AE107" s="29"/>
      <c r="AF107" s="31"/>
      <c r="AG107" s="30" t="s">
        <v>917</v>
      </c>
      <c r="AH107" s="28"/>
      <c r="AI107" s="28" t="s">
        <v>53</v>
      </c>
      <c r="AJ107" s="33">
        <v>35536</v>
      </c>
      <c r="AK107" s="28">
        <v>4</v>
      </c>
      <c r="AL107" s="28">
        <v>20</v>
      </c>
      <c r="AM107" s="21" t="s">
        <v>69</v>
      </c>
      <c r="AN107" s="27"/>
      <c r="AO107" s="27"/>
      <c r="AP107" s="27"/>
      <c r="AQ107" s="27"/>
    </row>
    <row r="108" spans="1:43" ht="15.75" customHeight="1">
      <c r="A108" s="28">
        <v>1</v>
      </c>
      <c r="B108" s="29" t="s">
        <v>918</v>
      </c>
      <c r="C108" s="30"/>
      <c r="D108" s="31" t="s">
        <v>919</v>
      </c>
      <c r="E108" s="30" t="s">
        <v>72</v>
      </c>
      <c r="F108" s="30" t="s">
        <v>50</v>
      </c>
      <c r="G108" s="30" t="s">
        <v>51</v>
      </c>
      <c r="H108" s="28" t="s">
        <v>52</v>
      </c>
      <c r="I108" s="30"/>
      <c r="J108" s="30" t="s">
        <v>53</v>
      </c>
      <c r="K108" s="30" t="s">
        <v>920</v>
      </c>
      <c r="L108" s="30" t="s">
        <v>55</v>
      </c>
      <c r="M108" s="30" t="s">
        <v>911</v>
      </c>
      <c r="N108" s="30" t="s">
        <v>921</v>
      </c>
      <c r="O108" s="30" t="s">
        <v>922</v>
      </c>
      <c r="P108" s="30" t="s">
        <v>923</v>
      </c>
      <c r="Q108" s="28"/>
      <c r="R108" s="30" t="s">
        <v>924</v>
      </c>
      <c r="S108" s="30" t="s">
        <v>53</v>
      </c>
      <c r="T108" s="30"/>
      <c r="U108" s="28" t="s">
        <v>925</v>
      </c>
      <c r="V108" s="30" t="s">
        <v>63</v>
      </c>
      <c r="W108" s="30" t="s">
        <v>64</v>
      </c>
      <c r="X108" s="32">
        <v>44197</v>
      </c>
      <c r="Y108" s="32">
        <v>45992</v>
      </c>
      <c r="Z108" s="30" t="s">
        <v>65</v>
      </c>
      <c r="AA108" s="28" t="s">
        <v>66</v>
      </c>
      <c r="AB108" s="28" t="s">
        <v>67</v>
      </c>
      <c r="AC108" s="29"/>
      <c r="AD108" s="28">
        <v>0</v>
      </c>
      <c r="AE108" s="29"/>
      <c r="AF108" s="31"/>
      <c r="AG108" s="30" t="s">
        <v>917</v>
      </c>
      <c r="AH108" s="28"/>
      <c r="AI108" s="28" t="s">
        <v>118</v>
      </c>
      <c r="AJ108" s="33">
        <v>37644</v>
      </c>
      <c r="AK108" s="28">
        <v>6</v>
      </c>
      <c r="AL108" s="28">
        <v>26</v>
      </c>
      <c r="AM108" s="21" t="s">
        <v>69</v>
      </c>
      <c r="AN108" s="27"/>
      <c r="AO108" s="27"/>
      <c r="AP108" s="27"/>
      <c r="AQ108" s="27"/>
    </row>
    <row r="109" spans="1:43" ht="15.75" customHeight="1">
      <c r="A109" s="28">
        <v>2</v>
      </c>
      <c r="B109" s="29" t="s">
        <v>926</v>
      </c>
      <c r="C109" s="30"/>
      <c r="D109" s="31" t="s">
        <v>927</v>
      </c>
      <c r="E109" s="30" t="s">
        <v>49</v>
      </c>
      <c r="F109" s="30" t="s">
        <v>50</v>
      </c>
      <c r="G109" s="30" t="s">
        <v>51</v>
      </c>
      <c r="H109" s="28" t="s">
        <v>85</v>
      </c>
      <c r="I109" s="30"/>
      <c r="J109" s="30" t="s">
        <v>53</v>
      </c>
      <c r="K109" s="30" t="s">
        <v>928</v>
      </c>
      <c r="L109" s="30" t="s">
        <v>55</v>
      </c>
      <c r="M109" s="30" t="s">
        <v>911</v>
      </c>
      <c r="N109" s="30" t="s">
        <v>929</v>
      </c>
      <c r="O109" s="30" t="s">
        <v>930</v>
      </c>
      <c r="P109" s="30" t="s">
        <v>931</v>
      </c>
      <c r="Q109" s="28" t="s">
        <v>932</v>
      </c>
      <c r="R109" s="30" t="s">
        <v>933</v>
      </c>
      <c r="S109" s="30" t="s">
        <v>53</v>
      </c>
      <c r="T109" s="30"/>
      <c r="U109" s="28" t="s">
        <v>934</v>
      </c>
      <c r="V109" s="30" t="s">
        <v>63</v>
      </c>
      <c r="W109" s="30" t="s">
        <v>64</v>
      </c>
      <c r="X109" s="32">
        <v>44440</v>
      </c>
      <c r="Y109" s="32">
        <v>45992</v>
      </c>
      <c r="Z109" s="30" t="s">
        <v>65</v>
      </c>
      <c r="AA109" s="28" t="s">
        <v>66</v>
      </c>
      <c r="AB109" s="28" t="s">
        <v>67</v>
      </c>
      <c r="AC109" s="29"/>
      <c r="AD109" s="28">
        <v>0</v>
      </c>
      <c r="AE109" s="29"/>
      <c r="AF109" s="31"/>
      <c r="AG109" s="30" t="s">
        <v>917</v>
      </c>
      <c r="AH109" s="28"/>
      <c r="AI109" s="28" t="s">
        <v>118</v>
      </c>
      <c r="AJ109" s="33">
        <v>35312</v>
      </c>
      <c r="AK109" s="28">
        <v>6</v>
      </c>
      <c r="AL109" s="28">
        <v>24</v>
      </c>
      <c r="AM109" s="21" t="s">
        <v>69</v>
      </c>
      <c r="AN109" s="27"/>
      <c r="AO109" s="27"/>
      <c r="AP109" s="27"/>
      <c r="AQ109" s="27"/>
    </row>
    <row r="110" spans="1:43" ht="15.75" customHeight="1">
      <c r="A110" s="28">
        <v>3</v>
      </c>
      <c r="B110" s="29" t="s">
        <v>935</v>
      </c>
      <c r="C110" s="30" t="s">
        <v>936</v>
      </c>
      <c r="D110" s="31" t="s">
        <v>937</v>
      </c>
      <c r="E110" s="30" t="s">
        <v>49</v>
      </c>
      <c r="F110" s="30" t="s">
        <v>50</v>
      </c>
      <c r="G110" s="30" t="s">
        <v>51</v>
      </c>
      <c r="H110" s="28" t="s">
        <v>52</v>
      </c>
      <c r="I110" s="30"/>
      <c r="J110" s="30" t="s">
        <v>53</v>
      </c>
      <c r="K110" s="30" t="s">
        <v>938</v>
      </c>
      <c r="L110" s="30" t="s">
        <v>55</v>
      </c>
      <c r="M110" s="30" t="s">
        <v>911</v>
      </c>
      <c r="N110" s="30" t="s">
        <v>939</v>
      </c>
      <c r="O110" s="30" t="s">
        <v>940</v>
      </c>
      <c r="P110" s="30" t="s">
        <v>941</v>
      </c>
      <c r="Q110" s="28"/>
      <c r="R110" s="30" t="s">
        <v>942</v>
      </c>
      <c r="S110" s="30" t="s">
        <v>53</v>
      </c>
      <c r="T110" s="30"/>
      <c r="U110" s="28" t="s">
        <v>943</v>
      </c>
      <c r="V110" s="30" t="s">
        <v>63</v>
      </c>
      <c r="W110" s="30" t="s">
        <v>64</v>
      </c>
      <c r="X110" s="32">
        <v>44197</v>
      </c>
      <c r="Y110" s="32">
        <v>45992</v>
      </c>
      <c r="Z110" s="30" t="s">
        <v>65</v>
      </c>
      <c r="AA110" s="28" t="s">
        <v>134</v>
      </c>
      <c r="AB110" s="28" t="s">
        <v>67</v>
      </c>
      <c r="AC110" s="29"/>
      <c r="AD110" s="28">
        <v>0</v>
      </c>
      <c r="AE110" s="29"/>
      <c r="AF110" s="31"/>
      <c r="AG110" s="30" t="s">
        <v>917</v>
      </c>
      <c r="AH110" s="28"/>
      <c r="AI110" s="28" t="s">
        <v>118</v>
      </c>
      <c r="AJ110" s="33">
        <v>37845</v>
      </c>
      <c r="AK110" s="28">
        <v>6</v>
      </c>
      <c r="AL110" s="28">
        <v>22</v>
      </c>
      <c r="AM110" s="21" t="s">
        <v>69</v>
      </c>
      <c r="AN110" s="27"/>
      <c r="AO110" s="27"/>
      <c r="AP110" s="27"/>
      <c r="AQ110" s="27"/>
    </row>
    <row r="111" spans="1:43" ht="15.75" customHeight="1">
      <c r="A111" s="28">
        <v>4</v>
      </c>
      <c r="B111" s="29" t="s">
        <v>944</v>
      </c>
      <c r="C111" s="30" t="s">
        <v>945</v>
      </c>
      <c r="D111" s="31" t="s">
        <v>946</v>
      </c>
      <c r="E111" s="30" t="s">
        <v>72</v>
      </c>
      <c r="F111" s="30" t="s">
        <v>616</v>
      </c>
      <c r="G111" s="30" t="s">
        <v>51</v>
      </c>
      <c r="H111" s="28" t="s">
        <v>52</v>
      </c>
      <c r="I111" s="30"/>
      <c r="J111" s="30" t="s">
        <v>53</v>
      </c>
      <c r="K111" s="30" t="s">
        <v>947</v>
      </c>
      <c r="L111" s="30" t="s">
        <v>55</v>
      </c>
      <c r="M111" s="30" t="s">
        <v>911</v>
      </c>
      <c r="N111" s="30" t="s">
        <v>948</v>
      </c>
      <c r="O111" s="30" t="s">
        <v>949</v>
      </c>
      <c r="P111" s="30" t="s">
        <v>950</v>
      </c>
      <c r="Q111" s="28"/>
      <c r="R111" s="30" t="s">
        <v>951</v>
      </c>
      <c r="S111" s="30" t="s">
        <v>53</v>
      </c>
      <c r="T111" s="30"/>
      <c r="U111" s="28" t="s">
        <v>952</v>
      </c>
      <c r="V111" s="30" t="s">
        <v>63</v>
      </c>
      <c r="W111" s="30" t="s">
        <v>64</v>
      </c>
      <c r="X111" s="32">
        <v>44562</v>
      </c>
      <c r="Y111" s="32">
        <v>46174</v>
      </c>
      <c r="Z111" s="30" t="s">
        <v>65</v>
      </c>
      <c r="AA111" s="28" t="s">
        <v>66</v>
      </c>
      <c r="AB111" s="28" t="s">
        <v>67</v>
      </c>
      <c r="AC111" s="29"/>
      <c r="AD111" s="28">
        <v>0</v>
      </c>
      <c r="AE111" s="29"/>
      <c r="AF111" s="31"/>
      <c r="AG111" s="30" t="s">
        <v>917</v>
      </c>
      <c r="AH111" s="28"/>
      <c r="AI111" s="28" t="s">
        <v>53</v>
      </c>
      <c r="AJ111" s="33">
        <v>29793</v>
      </c>
      <c r="AK111" s="28">
        <v>5</v>
      </c>
      <c r="AL111" s="28">
        <v>22</v>
      </c>
      <c r="AM111" s="21" t="s">
        <v>69</v>
      </c>
      <c r="AN111" s="27"/>
      <c r="AO111" s="27"/>
      <c r="AP111" s="27"/>
      <c r="AQ111" s="27"/>
    </row>
    <row r="112" spans="1:43" ht="15.75" customHeight="1">
      <c r="A112" s="28">
        <v>5</v>
      </c>
      <c r="B112" s="29" t="s">
        <v>953</v>
      </c>
      <c r="C112" s="30" t="s">
        <v>954</v>
      </c>
      <c r="D112" s="31" t="s">
        <v>955</v>
      </c>
      <c r="E112" s="30" t="s">
        <v>49</v>
      </c>
      <c r="F112" s="30" t="s">
        <v>50</v>
      </c>
      <c r="G112" s="30" t="s">
        <v>51</v>
      </c>
      <c r="H112" s="28" t="s">
        <v>85</v>
      </c>
      <c r="I112" s="30"/>
      <c r="J112" s="30" t="s">
        <v>53</v>
      </c>
      <c r="K112" s="30" t="s">
        <v>956</v>
      </c>
      <c r="L112" s="30" t="s">
        <v>55</v>
      </c>
      <c r="M112" s="30" t="s">
        <v>911</v>
      </c>
      <c r="N112" s="30" t="s">
        <v>957</v>
      </c>
      <c r="O112" s="30" t="s">
        <v>958</v>
      </c>
      <c r="P112" s="30" t="s">
        <v>959</v>
      </c>
      <c r="Q112" s="28"/>
      <c r="R112" s="30" t="s">
        <v>960</v>
      </c>
      <c r="S112" s="30" t="s">
        <v>53</v>
      </c>
      <c r="T112" s="30"/>
      <c r="U112" s="28" t="s">
        <v>961</v>
      </c>
      <c r="V112" s="30" t="s">
        <v>63</v>
      </c>
      <c r="W112" s="30" t="s">
        <v>64</v>
      </c>
      <c r="X112" s="32">
        <v>44409</v>
      </c>
      <c r="Y112" s="32">
        <v>46174</v>
      </c>
      <c r="Z112" s="30" t="s">
        <v>65</v>
      </c>
      <c r="AA112" s="28" t="s">
        <v>66</v>
      </c>
      <c r="AB112" s="28" t="s">
        <v>67</v>
      </c>
      <c r="AC112" s="29"/>
      <c r="AD112" s="28">
        <v>0</v>
      </c>
      <c r="AE112" s="29"/>
      <c r="AF112" s="31"/>
      <c r="AG112" s="30" t="s">
        <v>917</v>
      </c>
      <c r="AH112" s="28"/>
      <c r="AI112" s="28" t="s">
        <v>53</v>
      </c>
      <c r="AJ112" s="33">
        <v>37585</v>
      </c>
      <c r="AK112" s="28">
        <v>5</v>
      </c>
      <c r="AL112" s="28">
        <v>22</v>
      </c>
      <c r="AM112" s="21" t="s">
        <v>69</v>
      </c>
      <c r="AN112" s="27"/>
      <c r="AO112" s="27"/>
      <c r="AP112" s="27"/>
      <c r="AQ112" s="27"/>
    </row>
    <row r="113" spans="1:43" ht="15.75" customHeight="1">
      <c r="A113" s="28">
        <v>6</v>
      </c>
      <c r="B113" s="29" t="s">
        <v>962</v>
      </c>
      <c r="C113" s="30" t="s">
        <v>963</v>
      </c>
      <c r="D113" s="31" t="s">
        <v>964</v>
      </c>
      <c r="E113" s="30" t="s">
        <v>72</v>
      </c>
      <c r="F113" s="30" t="s">
        <v>50</v>
      </c>
      <c r="G113" s="30" t="s">
        <v>51</v>
      </c>
      <c r="H113" s="28" t="s">
        <v>85</v>
      </c>
      <c r="I113" s="30"/>
      <c r="J113" s="30" t="s">
        <v>53</v>
      </c>
      <c r="K113" s="30" t="s">
        <v>965</v>
      </c>
      <c r="L113" s="30" t="s">
        <v>55</v>
      </c>
      <c r="M113" s="30" t="s">
        <v>911</v>
      </c>
      <c r="N113" s="30" t="s">
        <v>966</v>
      </c>
      <c r="O113" s="30" t="s">
        <v>967</v>
      </c>
      <c r="P113" s="30" t="s">
        <v>968</v>
      </c>
      <c r="Q113" s="28"/>
      <c r="R113" s="30" t="s">
        <v>969</v>
      </c>
      <c r="S113" s="30" t="s">
        <v>53</v>
      </c>
      <c r="T113" s="30"/>
      <c r="U113" s="28" t="s">
        <v>970</v>
      </c>
      <c r="V113" s="30" t="s">
        <v>63</v>
      </c>
      <c r="W113" s="30" t="s">
        <v>64</v>
      </c>
      <c r="X113" s="32">
        <v>43831</v>
      </c>
      <c r="Y113" s="32">
        <v>45627</v>
      </c>
      <c r="Z113" s="30" t="s">
        <v>65</v>
      </c>
      <c r="AA113" s="28" t="s">
        <v>66</v>
      </c>
      <c r="AB113" s="28" t="s">
        <v>67</v>
      </c>
      <c r="AC113" s="29"/>
      <c r="AD113" s="28">
        <v>0</v>
      </c>
      <c r="AE113" s="29"/>
      <c r="AF113" s="31"/>
      <c r="AG113" s="30" t="s">
        <v>917</v>
      </c>
      <c r="AH113" s="28"/>
      <c r="AI113" s="28" t="s">
        <v>53</v>
      </c>
      <c r="AJ113" s="33">
        <v>37463</v>
      </c>
      <c r="AK113" s="28">
        <v>8</v>
      </c>
      <c r="AL113" s="28">
        <v>21</v>
      </c>
      <c r="AM113" s="21" t="s">
        <v>69</v>
      </c>
      <c r="AN113" s="27"/>
      <c r="AO113" s="27"/>
      <c r="AP113" s="27"/>
      <c r="AQ113" s="27"/>
    </row>
    <row r="114" spans="1:43" ht="15.75" customHeight="1">
      <c r="A114" s="28">
        <v>7</v>
      </c>
      <c r="B114" s="29" t="s">
        <v>971</v>
      </c>
      <c r="C114" s="30" t="s">
        <v>972</v>
      </c>
      <c r="D114" s="31" t="s">
        <v>973</v>
      </c>
      <c r="E114" s="30" t="s">
        <v>72</v>
      </c>
      <c r="F114" s="30" t="s">
        <v>50</v>
      </c>
      <c r="G114" s="30" t="s">
        <v>51</v>
      </c>
      <c r="H114" s="28" t="s">
        <v>52</v>
      </c>
      <c r="I114" s="30"/>
      <c r="J114" s="30" t="s">
        <v>53</v>
      </c>
      <c r="K114" s="30" t="s">
        <v>974</v>
      </c>
      <c r="L114" s="30" t="s">
        <v>55</v>
      </c>
      <c r="M114" s="30" t="s">
        <v>911</v>
      </c>
      <c r="N114" s="30" t="s">
        <v>975</v>
      </c>
      <c r="O114" s="30" t="s">
        <v>976</v>
      </c>
      <c r="P114" s="30" t="s">
        <v>977</v>
      </c>
      <c r="Q114" s="28" t="s">
        <v>978</v>
      </c>
      <c r="R114" s="30" t="s">
        <v>979</v>
      </c>
      <c r="S114" s="30" t="s">
        <v>53</v>
      </c>
      <c r="T114" s="30"/>
      <c r="U114" s="28" t="s">
        <v>980</v>
      </c>
      <c r="V114" s="30" t="s">
        <v>63</v>
      </c>
      <c r="W114" s="30" t="s">
        <v>64</v>
      </c>
      <c r="X114" s="32">
        <v>44197</v>
      </c>
      <c r="Y114" s="32">
        <v>45992</v>
      </c>
      <c r="Z114" s="30" t="s">
        <v>65</v>
      </c>
      <c r="AA114" s="28" t="s">
        <v>66</v>
      </c>
      <c r="AB114" s="28" t="s">
        <v>67</v>
      </c>
      <c r="AC114" s="29"/>
      <c r="AD114" s="28">
        <v>0</v>
      </c>
      <c r="AE114" s="29"/>
      <c r="AF114" s="31"/>
      <c r="AG114" s="30" t="s">
        <v>917</v>
      </c>
      <c r="AH114" s="28"/>
      <c r="AI114" s="28" t="s">
        <v>118</v>
      </c>
      <c r="AJ114" s="33">
        <v>38130</v>
      </c>
      <c r="AK114" s="28">
        <v>6</v>
      </c>
      <c r="AL114" s="28">
        <v>21</v>
      </c>
      <c r="AM114" s="21" t="s">
        <v>69</v>
      </c>
      <c r="AN114" s="27"/>
      <c r="AO114" s="27"/>
      <c r="AP114" s="27"/>
      <c r="AQ114" s="27"/>
    </row>
    <row r="115" spans="1:43" ht="15.75" customHeight="1">
      <c r="A115" s="28">
        <v>8</v>
      </c>
      <c r="B115" s="29" t="s">
        <v>981</v>
      </c>
      <c r="C115" s="30"/>
      <c r="D115" s="31" t="s">
        <v>982</v>
      </c>
      <c r="E115" s="30" t="s">
        <v>49</v>
      </c>
      <c r="F115" s="30" t="s">
        <v>50</v>
      </c>
      <c r="G115" s="30" t="s">
        <v>51</v>
      </c>
      <c r="H115" s="28" t="s">
        <v>601</v>
      </c>
      <c r="I115" s="30"/>
      <c r="J115" s="30" t="s">
        <v>53</v>
      </c>
      <c r="K115" s="30" t="s">
        <v>928</v>
      </c>
      <c r="L115" s="30" t="s">
        <v>55</v>
      </c>
      <c r="M115" s="30" t="s">
        <v>911</v>
      </c>
      <c r="N115" s="30" t="s">
        <v>983</v>
      </c>
      <c r="O115" s="30" t="s">
        <v>58</v>
      </c>
      <c r="P115" s="30" t="s">
        <v>984</v>
      </c>
      <c r="Q115" s="28" t="s">
        <v>985</v>
      </c>
      <c r="R115" s="30" t="s">
        <v>986</v>
      </c>
      <c r="S115" s="30" t="s">
        <v>53</v>
      </c>
      <c r="T115" s="30"/>
      <c r="U115" s="28" t="s">
        <v>987</v>
      </c>
      <c r="V115" s="30" t="s">
        <v>63</v>
      </c>
      <c r="W115" s="30" t="s">
        <v>64</v>
      </c>
      <c r="X115" s="32">
        <v>44197</v>
      </c>
      <c r="Y115" s="32">
        <v>45992</v>
      </c>
      <c r="Z115" s="30" t="s">
        <v>65</v>
      </c>
      <c r="AA115" s="28" t="s">
        <v>66</v>
      </c>
      <c r="AB115" s="28" t="s">
        <v>67</v>
      </c>
      <c r="AC115" s="29"/>
      <c r="AD115" s="28">
        <v>0</v>
      </c>
      <c r="AE115" s="29"/>
      <c r="AF115" s="31"/>
      <c r="AG115" s="30" t="s">
        <v>917</v>
      </c>
      <c r="AH115" s="28"/>
      <c r="AI115" s="28" t="s">
        <v>53</v>
      </c>
      <c r="AJ115" s="33">
        <v>36573</v>
      </c>
      <c r="AK115" s="28">
        <v>6</v>
      </c>
      <c r="AL115" s="28">
        <v>20</v>
      </c>
      <c r="AM115" s="21" t="s">
        <v>69</v>
      </c>
      <c r="AN115" s="27"/>
      <c r="AO115" s="27"/>
      <c r="AP115" s="27"/>
      <c r="AQ115" s="27"/>
    </row>
    <row r="116" spans="1:43" ht="15.75" customHeight="1">
      <c r="A116" s="28">
        <v>1</v>
      </c>
      <c r="B116" s="29" t="s">
        <v>988</v>
      </c>
      <c r="C116" s="30" t="s">
        <v>989</v>
      </c>
      <c r="D116" s="31" t="s">
        <v>990</v>
      </c>
      <c r="E116" s="30" t="s">
        <v>72</v>
      </c>
      <c r="F116" s="30" t="s">
        <v>50</v>
      </c>
      <c r="G116" s="30" t="s">
        <v>51</v>
      </c>
      <c r="H116" s="28" t="s">
        <v>85</v>
      </c>
      <c r="I116" s="30"/>
      <c r="J116" s="30" t="s">
        <v>53</v>
      </c>
      <c r="K116" s="30" t="s">
        <v>991</v>
      </c>
      <c r="L116" s="30" t="s">
        <v>55</v>
      </c>
      <c r="M116" s="30" t="s">
        <v>911</v>
      </c>
      <c r="N116" s="30" t="s">
        <v>992</v>
      </c>
      <c r="O116" s="30" t="s">
        <v>993</v>
      </c>
      <c r="P116" s="30" t="s">
        <v>994</v>
      </c>
      <c r="Q116" s="28"/>
      <c r="R116" s="30" t="s">
        <v>995</v>
      </c>
      <c r="S116" s="30" t="s">
        <v>53</v>
      </c>
      <c r="T116" s="30"/>
      <c r="U116" s="28" t="s">
        <v>996</v>
      </c>
      <c r="V116" s="30" t="s">
        <v>63</v>
      </c>
      <c r="W116" s="30" t="s">
        <v>204</v>
      </c>
      <c r="X116" s="32">
        <v>43831</v>
      </c>
      <c r="Y116" s="32">
        <v>45658</v>
      </c>
      <c r="Z116" s="30" t="s">
        <v>65</v>
      </c>
      <c r="AA116" s="28" t="s">
        <v>134</v>
      </c>
      <c r="AB116" s="28" t="s">
        <v>67</v>
      </c>
      <c r="AC116" s="29"/>
      <c r="AD116" s="28">
        <v>0</v>
      </c>
      <c r="AE116" s="29"/>
      <c r="AF116" s="31"/>
      <c r="AG116" s="30" t="s">
        <v>917</v>
      </c>
      <c r="AH116" s="28"/>
      <c r="AI116" s="28" t="s">
        <v>118</v>
      </c>
      <c r="AJ116" s="33">
        <v>36996</v>
      </c>
      <c r="AK116" s="28">
        <v>8</v>
      </c>
      <c r="AL116" s="28">
        <v>18</v>
      </c>
      <c r="AM116" s="21" t="s">
        <v>69</v>
      </c>
      <c r="AN116" s="27"/>
      <c r="AO116" s="27"/>
      <c r="AP116" s="27"/>
      <c r="AQ116" s="27"/>
    </row>
    <row r="117" spans="1:43" ht="15.75" customHeight="1">
      <c r="A117" s="28">
        <v>1</v>
      </c>
      <c r="B117" s="29" t="s">
        <v>997</v>
      </c>
      <c r="C117" s="30"/>
      <c r="D117" s="31" t="s">
        <v>998</v>
      </c>
      <c r="E117" s="30" t="s">
        <v>72</v>
      </c>
      <c r="F117" s="30" t="s">
        <v>50</v>
      </c>
      <c r="G117" s="30" t="s">
        <v>51</v>
      </c>
      <c r="H117" s="28" t="s">
        <v>85</v>
      </c>
      <c r="I117" s="30"/>
      <c r="J117" s="30" t="s">
        <v>53</v>
      </c>
      <c r="K117" s="30" t="s">
        <v>999</v>
      </c>
      <c r="L117" s="30" t="s">
        <v>55</v>
      </c>
      <c r="M117" s="30" t="s">
        <v>911</v>
      </c>
      <c r="N117" s="30" t="s">
        <v>1000</v>
      </c>
      <c r="O117" s="30" t="s">
        <v>930</v>
      </c>
      <c r="P117" s="30" t="s">
        <v>1001</v>
      </c>
      <c r="Q117" s="28" t="s">
        <v>1002</v>
      </c>
      <c r="R117" s="30" t="s">
        <v>1003</v>
      </c>
      <c r="S117" s="30" t="s">
        <v>53</v>
      </c>
      <c r="T117" s="30"/>
      <c r="U117" s="28" t="s">
        <v>1004</v>
      </c>
      <c r="V117" s="30" t="s">
        <v>63</v>
      </c>
      <c r="W117" s="30" t="s">
        <v>1005</v>
      </c>
      <c r="X117" s="32">
        <v>44044</v>
      </c>
      <c r="Y117" s="32">
        <v>46204</v>
      </c>
      <c r="Z117" s="30" t="s">
        <v>65</v>
      </c>
      <c r="AA117" s="28" t="s">
        <v>66</v>
      </c>
      <c r="AB117" s="28" t="s">
        <v>67</v>
      </c>
      <c r="AC117" s="29"/>
      <c r="AD117" s="28">
        <v>0</v>
      </c>
      <c r="AE117" s="29"/>
      <c r="AF117" s="31"/>
      <c r="AG117" s="30" t="s">
        <v>917</v>
      </c>
      <c r="AH117" s="28"/>
      <c r="AI117" s="28" t="s">
        <v>53</v>
      </c>
      <c r="AJ117" s="33">
        <v>37503</v>
      </c>
      <c r="AK117" s="28">
        <v>5</v>
      </c>
      <c r="AL117" s="28">
        <v>17</v>
      </c>
      <c r="AM117" s="21" t="s">
        <v>69</v>
      </c>
      <c r="AN117" s="27"/>
      <c r="AO117" s="27"/>
      <c r="AP117" s="27"/>
      <c r="AQ117" s="27"/>
    </row>
    <row r="118" spans="1:43" ht="15.75" customHeight="1">
      <c r="A118" s="28">
        <v>1</v>
      </c>
      <c r="B118" s="29" t="s">
        <v>1006</v>
      </c>
      <c r="C118" s="30"/>
      <c r="D118" s="31" t="s">
        <v>1007</v>
      </c>
      <c r="E118" s="30" t="s">
        <v>49</v>
      </c>
      <c r="F118" s="30" t="s">
        <v>50</v>
      </c>
      <c r="G118" s="30" t="s">
        <v>51</v>
      </c>
      <c r="H118" s="28" t="s">
        <v>191</v>
      </c>
      <c r="I118" s="30"/>
      <c r="J118" s="30" t="s">
        <v>53</v>
      </c>
      <c r="K118" s="30" t="s">
        <v>1008</v>
      </c>
      <c r="L118" s="30" t="s">
        <v>55</v>
      </c>
      <c r="M118" s="30" t="s">
        <v>1009</v>
      </c>
      <c r="N118" s="30" t="s">
        <v>1010</v>
      </c>
      <c r="O118" s="30" t="s">
        <v>58</v>
      </c>
      <c r="P118" s="30" t="s">
        <v>1011</v>
      </c>
      <c r="Q118" s="28" t="s">
        <v>412</v>
      </c>
      <c r="R118" s="30" t="s">
        <v>1012</v>
      </c>
      <c r="S118" s="30" t="s">
        <v>53</v>
      </c>
      <c r="T118" s="30"/>
      <c r="U118" s="28" t="s">
        <v>1013</v>
      </c>
      <c r="V118" s="30" t="s">
        <v>63</v>
      </c>
      <c r="W118" s="30" t="s">
        <v>64</v>
      </c>
      <c r="X118" s="32">
        <v>43891</v>
      </c>
      <c r="Y118" s="32">
        <v>45627</v>
      </c>
      <c r="Z118" s="30" t="s">
        <v>65</v>
      </c>
      <c r="AA118" s="28" t="s">
        <v>134</v>
      </c>
      <c r="AB118" s="28" t="s">
        <v>67</v>
      </c>
      <c r="AC118" s="29"/>
      <c r="AD118" s="28">
        <v>0</v>
      </c>
      <c r="AE118" s="29"/>
      <c r="AF118" s="31"/>
      <c r="AG118" s="30" t="s">
        <v>1014</v>
      </c>
      <c r="AH118" s="28" t="s">
        <v>431</v>
      </c>
      <c r="AI118" s="28" t="s">
        <v>53</v>
      </c>
      <c r="AJ118" s="33">
        <v>37271</v>
      </c>
      <c r="AK118" s="28">
        <v>8</v>
      </c>
      <c r="AL118" s="28">
        <v>25</v>
      </c>
      <c r="AM118" s="21" t="s">
        <v>69</v>
      </c>
      <c r="AN118" s="27"/>
      <c r="AO118" s="27"/>
      <c r="AP118" s="27"/>
      <c r="AQ118" s="27"/>
    </row>
    <row r="119" spans="1:43" ht="15.75" customHeight="1">
      <c r="A119" s="28">
        <v>2</v>
      </c>
      <c r="B119" s="29" t="s">
        <v>1015</v>
      </c>
      <c r="C119" s="30" t="s">
        <v>1016</v>
      </c>
      <c r="D119" s="31" t="s">
        <v>1017</v>
      </c>
      <c r="E119" s="30" t="s">
        <v>49</v>
      </c>
      <c r="F119" s="30" t="s">
        <v>50</v>
      </c>
      <c r="G119" s="30" t="s">
        <v>51</v>
      </c>
      <c r="H119" s="28" t="s">
        <v>52</v>
      </c>
      <c r="I119" s="30"/>
      <c r="J119" s="30" t="s">
        <v>53</v>
      </c>
      <c r="K119" s="30" t="s">
        <v>1018</v>
      </c>
      <c r="L119" s="30" t="s">
        <v>55</v>
      </c>
      <c r="M119" s="30" t="s">
        <v>1019</v>
      </c>
      <c r="N119" s="30" t="s">
        <v>1020</v>
      </c>
      <c r="O119" s="30" t="s">
        <v>1021</v>
      </c>
      <c r="P119" s="30" t="s">
        <v>1022</v>
      </c>
      <c r="Q119" s="28"/>
      <c r="R119" s="30" t="s">
        <v>1023</v>
      </c>
      <c r="S119" s="30" t="s">
        <v>53</v>
      </c>
      <c r="T119" s="30"/>
      <c r="U119" s="28" t="s">
        <v>255</v>
      </c>
      <c r="V119" s="30" t="s">
        <v>63</v>
      </c>
      <c r="W119" s="30" t="s">
        <v>64</v>
      </c>
      <c r="X119" s="32">
        <v>45078</v>
      </c>
      <c r="Y119" s="32">
        <v>47270</v>
      </c>
      <c r="Z119" s="30" t="s">
        <v>65</v>
      </c>
      <c r="AA119" s="28" t="s">
        <v>134</v>
      </c>
      <c r="AB119" s="28" t="s">
        <v>67</v>
      </c>
      <c r="AC119" s="29"/>
      <c r="AD119" s="28">
        <v>0</v>
      </c>
      <c r="AE119" s="29"/>
      <c r="AF119" s="31"/>
      <c r="AG119" s="30" t="s">
        <v>1014</v>
      </c>
      <c r="AH119" s="28"/>
      <c r="AI119" s="28" t="s">
        <v>53</v>
      </c>
      <c r="AJ119" s="33">
        <v>35122</v>
      </c>
      <c r="AK119" s="28">
        <v>5</v>
      </c>
      <c r="AL119" s="28">
        <v>21</v>
      </c>
      <c r="AM119" s="21" t="s">
        <v>69</v>
      </c>
      <c r="AN119" s="27"/>
      <c r="AO119" s="27"/>
      <c r="AP119" s="27"/>
      <c r="AQ119" s="27"/>
    </row>
    <row r="120" spans="1:43" ht="15.75" customHeight="1">
      <c r="A120" s="28">
        <v>3</v>
      </c>
      <c r="B120" s="29" t="s">
        <v>1024</v>
      </c>
      <c r="C120" s="30"/>
      <c r="D120" s="31" t="s">
        <v>1025</v>
      </c>
      <c r="E120" s="30" t="s">
        <v>72</v>
      </c>
      <c r="F120" s="30" t="s">
        <v>50</v>
      </c>
      <c r="G120" s="30" t="s">
        <v>51</v>
      </c>
      <c r="H120" s="28" t="s">
        <v>85</v>
      </c>
      <c r="I120" s="30"/>
      <c r="J120" s="30" t="s">
        <v>53</v>
      </c>
      <c r="K120" s="30" t="s">
        <v>1018</v>
      </c>
      <c r="L120" s="30" t="s">
        <v>55</v>
      </c>
      <c r="M120" s="30" t="s">
        <v>1019</v>
      </c>
      <c r="N120" s="30" t="s">
        <v>1026</v>
      </c>
      <c r="O120" s="30" t="s">
        <v>1027</v>
      </c>
      <c r="P120" s="30" t="s">
        <v>1028</v>
      </c>
      <c r="Q120" s="28"/>
      <c r="R120" s="30" t="s">
        <v>1029</v>
      </c>
      <c r="S120" s="30" t="s">
        <v>53</v>
      </c>
      <c r="T120" s="30"/>
      <c r="U120" s="28" t="s">
        <v>255</v>
      </c>
      <c r="V120" s="30" t="s">
        <v>63</v>
      </c>
      <c r="W120" s="30" t="s">
        <v>64</v>
      </c>
      <c r="X120" s="32">
        <v>44228</v>
      </c>
      <c r="Y120" s="32">
        <v>45992</v>
      </c>
      <c r="Z120" s="30" t="s">
        <v>65</v>
      </c>
      <c r="AA120" s="28" t="s">
        <v>134</v>
      </c>
      <c r="AB120" s="28" t="s">
        <v>67</v>
      </c>
      <c r="AC120" s="29"/>
      <c r="AD120" s="28">
        <v>0</v>
      </c>
      <c r="AE120" s="29"/>
      <c r="AF120" s="31"/>
      <c r="AG120" s="30" t="s">
        <v>1014</v>
      </c>
      <c r="AH120" s="28"/>
      <c r="AI120" s="28" t="s">
        <v>53</v>
      </c>
      <c r="AJ120" s="33">
        <v>37993</v>
      </c>
      <c r="AK120" s="28">
        <v>5</v>
      </c>
      <c r="AL120" s="28">
        <v>19</v>
      </c>
      <c r="AM120" s="21" t="s">
        <v>69</v>
      </c>
      <c r="AN120" s="27"/>
      <c r="AO120" s="27"/>
      <c r="AP120" s="27"/>
      <c r="AQ120" s="27"/>
    </row>
    <row r="121" spans="1:43" ht="15.75" customHeight="1">
      <c r="A121" s="28">
        <v>4</v>
      </c>
      <c r="B121" s="29" t="s">
        <v>1030</v>
      </c>
      <c r="C121" s="30"/>
      <c r="D121" s="31" t="s">
        <v>1031</v>
      </c>
      <c r="E121" s="30" t="s">
        <v>72</v>
      </c>
      <c r="F121" s="30" t="s">
        <v>50</v>
      </c>
      <c r="G121" s="30" t="s">
        <v>51</v>
      </c>
      <c r="H121" s="28" t="s">
        <v>85</v>
      </c>
      <c r="I121" s="30"/>
      <c r="J121" s="30" t="s">
        <v>53</v>
      </c>
      <c r="K121" s="30" t="s">
        <v>1018</v>
      </c>
      <c r="L121" s="30" t="s">
        <v>55</v>
      </c>
      <c r="M121" s="30" t="s">
        <v>1019</v>
      </c>
      <c r="N121" s="30" t="s">
        <v>1032</v>
      </c>
      <c r="O121" s="30" t="s">
        <v>1033</v>
      </c>
      <c r="P121" s="30" t="s">
        <v>1034</v>
      </c>
      <c r="Q121" s="28"/>
      <c r="R121" s="30" t="s">
        <v>1035</v>
      </c>
      <c r="S121" s="30" t="s">
        <v>53</v>
      </c>
      <c r="T121" s="30"/>
      <c r="U121" s="28" t="s">
        <v>255</v>
      </c>
      <c r="V121" s="30" t="s">
        <v>63</v>
      </c>
      <c r="W121" s="30" t="s">
        <v>64</v>
      </c>
      <c r="X121" s="32">
        <v>44348</v>
      </c>
      <c r="Y121" s="32">
        <v>46174</v>
      </c>
      <c r="Z121" s="30" t="s">
        <v>65</v>
      </c>
      <c r="AA121" s="28" t="s">
        <v>134</v>
      </c>
      <c r="AB121" s="28" t="s">
        <v>67</v>
      </c>
      <c r="AC121" s="29"/>
      <c r="AD121" s="28">
        <v>0</v>
      </c>
      <c r="AE121" s="29"/>
      <c r="AF121" s="31"/>
      <c r="AG121" s="30" t="s">
        <v>1014</v>
      </c>
      <c r="AH121" s="28"/>
      <c r="AI121" s="28" t="s">
        <v>53</v>
      </c>
      <c r="AJ121" s="33">
        <v>38028</v>
      </c>
      <c r="AK121" s="28">
        <v>5</v>
      </c>
      <c r="AL121" s="28">
        <v>18</v>
      </c>
      <c r="AM121" s="21" t="s">
        <v>69</v>
      </c>
      <c r="AN121" s="27"/>
      <c r="AO121" s="27"/>
      <c r="AP121" s="27"/>
      <c r="AQ121" s="27"/>
    </row>
    <row r="122" spans="1:43" ht="15.75" customHeight="1">
      <c r="A122" s="28">
        <v>1</v>
      </c>
      <c r="B122" s="29" t="s">
        <v>1036</v>
      </c>
      <c r="C122" s="30"/>
      <c r="D122" s="31" t="s">
        <v>1037</v>
      </c>
      <c r="E122" s="30" t="s">
        <v>72</v>
      </c>
      <c r="F122" s="30" t="s">
        <v>50</v>
      </c>
      <c r="G122" s="30" t="s">
        <v>51</v>
      </c>
      <c r="H122" s="28" t="s">
        <v>52</v>
      </c>
      <c r="I122" s="30"/>
      <c r="J122" s="30" t="s">
        <v>53</v>
      </c>
      <c r="K122" s="30" t="s">
        <v>1038</v>
      </c>
      <c r="L122" s="30" t="s">
        <v>55</v>
      </c>
      <c r="M122" s="30" t="s">
        <v>1039</v>
      </c>
      <c r="N122" s="30" t="s">
        <v>1040</v>
      </c>
      <c r="O122" s="30" t="s">
        <v>58</v>
      </c>
      <c r="P122" s="30" t="s">
        <v>1041</v>
      </c>
      <c r="Q122" s="28"/>
      <c r="R122" s="30" t="s">
        <v>1042</v>
      </c>
      <c r="S122" s="30" t="s">
        <v>53</v>
      </c>
      <c r="T122" s="30"/>
      <c r="U122" s="28" t="s">
        <v>1043</v>
      </c>
      <c r="V122" s="30" t="s">
        <v>63</v>
      </c>
      <c r="W122" s="30" t="s">
        <v>80</v>
      </c>
      <c r="X122" s="32">
        <v>44713</v>
      </c>
      <c r="Y122" s="32">
        <v>46174</v>
      </c>
      <c r="Z122" s="30" t="s">
        <v>65</v>
      </c>
      <c r="AA122" s="28" t="s">
        <v>66</v>
      </c>
      <c r="AB122" s="28" t="s">
        <v>67</v>
      </c>
      <c r="AC122" s="29"/>
      <c r="AD122" s="28">
        <v>0</v>
      </c>
      <c r="AE122" s="29"/>
      <c r="AF122" s="31"/>
      <c r="AG122" s="30" t="s">
        <v>1044</v>
      </c>
      <c r="AH122" s="28"/>
      <c r="AI122" s="28" t="s">
        <v>53</v>
      </c>
      <c r="AJ122" s="33">
        <v>35959</v>
      </c>
      <c r="AK122" s="28">
        <v>3</v>
      </c>
      <c r="AL122" s="28">
        <v>15</v>
      </c>
      <c r="AM122" s="21" t="s">
        <v>69</v>
      </c>
      <c r="AN122" s="27"/>
      <c r="AO122" s="27"/>
      <c r="AP122" s="27"/>
      <c r="AQ122" s="27"/>
    </row>
    <row r="123" spans="1:43" ht="15.75" customHeight="1">
      <c r="A123" s="28">
        <v>1</v>
      </c>
      <c r="B123" s="29" t="s">
        <v>1045</v>
      </c>
      <c r="C123" s="30"/>
      <c r="D123" s="31" t="s">
        <v>1046</v>
      </c>
      <c r="E123" s="30" t="s">
        <v>72</v>
      </c>
      <c r="F123" s="30" t="s">
        <v>50</v>
      </c>
      <c r="G123" s="30" t="s">
        <v>51</v>
      </c>
      <c r="H123" s="28" t="s">
        <v>52</v>
      </c>
      <c r="I123" s="30"/>
      <c r="J123" s="30" t="s">
        <v>53</v>
      </c>
      <c r="K123" s="30" t="s">
        <v>1038</v>
      </c>
      <c r="L123" s="30" t="s">
        <v>55</v>
      </c>
      <c r="M123" s="30" t="s">
        <v>1039</v>
      </c>
      <c r="N123" s="30" t="s">
        <v>1047</v>
      </c>
      <c r="O123" s="30" t="s">
        <v>1048</v>
      </c>
      <c r="P123" s="30" t="s">
        <v>1049</v>
      </c>
      <c r="Q123" s="28"/>
      <c r="R123" s="30" t="s">
        <v>1050</v>
      </c>
      <c r="S123" s="30" t="s">
        <v>53</v>
      </c>
      <c r="T123" s="30"/>
      <c r="U123" s="28" t="s">
        <v>1051</v>
      </c>
      <c r="V123" s="30" t="s">
        <v>63</v>
      </c>
      <c r="W123" s="30" t="s">
        <v>64</v>
      </c>
      <c r="X123" s="32">
        <v>44228</v>
      </c>
      <c r="Y123" s="32">
        <v>45992</v>
      </c>
      <c r="Z123" s="30" t="s">
        <v>65</v>
      </c>
      <c r="AA123" s="28" t="s">
        <v>66</v>
      </c>
      <c r="AB123" s="28" t="s">
        <v>67</v>
      </c>
      <c r="AC123" s="29"/>
      <c r="AD123" s="28">
        <v>0</v>
      </c>
      <c r="AE123" s="29"/>
      <c r="AF123" s="31"/>
      <c r="AG123" s="30" t="s">
        <v>1044</v>
      </c>
      <c r="AH123" s="28"/>
      <c r="AI123" s="28" t="s">
        <v>53</v>
      </c>
      <c r="AJ123" s="33">
        <v>37631</v>
      </c>
      <c r="AK123" s="28">
        <v>6</v>
      </c>
      <c r="AL123" s="28">
        <v>24</v>
      </c>
      <c r="AM123" s="21" t="s">
        <v>69</v>
      </c>
      <c r="AN123" s="27"/>
      <c r="AO123" s="27"/>
      <c r="AP123" s="27"/>
      <c r="AQ123" s="27"/>
    </row>
    <row r="124" spans="1:43" ht="15.75" customHeight="1">
      <c r="A124" s="28">
        <v>2</v>
      </c>
      <c r="B124" s="29" t="s">
        <v>1052</v>
      </c>
      <c r="C124" s="30"/>
      <c r="D124" s="31" t="s">
        <v>1053</v>
      </c>
      <c r="E124" s="30" t="s">
        <v>72</v>
      </c>
      <c r="F124" s="30" t="s">
        <v>50</v>
      </c>
      <c r="G124" s="30" t="s">
        <v>51</v>
      </c>
      <c r="H124" s="28" t="s">
        <v>52</v>
      </c>
      <c r="I124" s="30"/>
      <c r="J124" s="30" t="s">
        <v>53</v>
      </c>
      <c r="K124" s="30" t="s">
        <v>1038</v>
      </c>
      <c r="L124" s="30" t="s">
        <v>55</v>
      </c>
      <c r="M124" s="30" t="s">
        <v>1039</v>
      </c>
      <c r="N124" s="30" t="s">
        <v>1054</v>
      </c>
      <c r="O124" s="30" t="s">
        <v>1055</v>
      </c>
      <c r="P124" s="30" t="s">
        <v>1056</v>
      </c>
      <c r="Q124" s="28"/>
      <c r="R124" s="30" t="s">
        <v>1057</v>
      </c>
      <c r="S124" s="30" t="s">
        <v>53</v>
      </c>
      <c r="T124" s="30"/>
      <c r="U124" s="28" t="s">
        <v>1058</v>
      </c>
      <c r="V124" s="30" t="s">
        <v>63</v>
      </c>
      <c r="W124" s="30" t="s">
        <v>64</v>
      </c>
      <c r="X124" s="32">
        <v>44256</v>
      </c>
      <c r="Y124" s="32">
        <v>45992</v>
      </c>
      <c r="Z124" s="30" t="s">
        <v>65</v>
      </c>
      <c r="AA124" s="28" t="s">
        <v>66</v>
      </c>
      <c r="AB124" s="28" t="s">
        <v>67</v>
      </c>
      <c r="AC124" s="29"/>
      <c r="AD124" s="28">
        <v>0</v>
      </c>
      <c r="AE124" s="29"/>
      <c r="AF124" s="31"/>
      <c r="AG124" s="30" t="s">
        <v>1044</v>
      </c>
      <c r="AH124" s="28"/>
      <c r="AI124" s="28" t="s">
        <v>53</v>
      </c>
      <c r="AJ124" s="33">
        <v>37712</v>
      </c>
      <c r="AK124" s="28">
        <v>6</v>
      </c>
      <c r="AL124" s="28">
        <v>23</v>
      </c>
      <c r="AM124" s="21" t="s">
        <v>69</v>
      </c>
      <c r="AN124" s="27"/>
      <c r="AO124" s="27"/>
      <c r="AP124" s="27"/>
      <c r="AQ124" s="27"/>
    </row>
    <row r="125" spans="1:43" ht="15.75" customHeight="1">
      <c r="A125" s="28">
        <v>3</v>
      </c>
      <c r="B125" s="29" t="s">
        <v>1059</v>
      </c>
      <c r="C125" s="30"/>
      <c r="D125" s="31" t="s">
        <v>1060</v>
      </c>
      <c r="E125" s="30" t="s">
        <v>49</v>
      </c>
      <c r="F125" s="30" t="s">
        <v>50</v>
      </c>
      <c r="G125" s="30" t="s">
        <v>51</v>
      </c>
      <c r="H125" s="28" t="s">
        <v>52</v>
      </c>
      <c r="I125" s="30"/>
      <c r="J125" s="30" t="s">
        <v>53</v>
      </c>
      <c r="K125" s="30" t="s">
        <v>1061</v>
      </c>
      <c r="L125" s="30" t="s">
        <v>55</v>
      </c>
      <c r="M125" s="30" t="s">
        <v>1062</v>
      </c>
      <c r="N125" s="30" t="s">
        <v>1063</v>
      </c>
      <c r="O125" s="30" t="s">
        <v>1064</v>
      </c>
      <c r="P125" s="30" t="s">
        <v>1065</v>
      </c>
      <c r="Q125" s="28" t="s">
        <v>1066</v>
      </c>
      <c r="R125" s="30" t="s">
        <v>1067</v>
      </c>
      <c r="S125" s="30" t="s">
        <v>53</v>
      </c>
      <c r="T125" s="30"/>
      <c r="U125" s="28" t="s">
        <v>1051</v>
      </c>
      <c r="V125" s="30" t="s">
        <v>63</v>
      </c>
      <c r="W125" s="30" t="s">
        <v>64</v>
      </c>
      <c r="X125" s="32">
        <v>43831</v>
      </c>
      <c r="Y125" s="32">
        <v>45627</v>
      </c>
      <c r="Z125" s="30" t="s">
        <v>65</v>
      </c>
      <c r="AA125" s="28" t="s">
        <v>66</v>
      </c>
      <c r="AB125" s="28" t="s">
        <v>67</v>
      </c>
      <c r="AC125" s="29"/>
      <c r="AD125" s="28">
        <v>0</v>
      </c>
      <c r="AE125" s="29"/>
      <c r="AF125" s="31"/>
      <c r="AG125" s="30" t="s">
        <v>1044</v>
      </c>
      <c r="AH125" s="28"/>
      <c r="AI125" s="28" t="s">
        <v>53</v>
      </c>
      <c r="AJ125" s="33">
        <v>35558</v>
      </c>
      <c r="AK125" s="28">
        <v>8</v>
      </c>
      <c r="AL125" s="28">
        <v>22</v>
      </c>
      <c r="AM125" s="21" t="s">
        <v>69</v>
      </c>
      <c r="AN125" s="27"/>
      <c r="AO125" s="27"/>
      <c r="AP125" s="27"/>
      <c r="AQ125" s="27"/>
    </row>
    <row r="126" spans="1:43" ht="15.75" customHeight="1">
      <c r="A126" s="28">
        <v>4</v>
      </c>
      <c r="B126" s="29" t="s">
        <v>1068</v>
      </c>
      <c r="C126" s="30" t="s">
        <v>1069</v>
      </c>
      <c r="D126" s="31" t="s">
        <v>1070</v>
      </c>
      <c r="E126" s="30" t="s">
        <v>72</v>
      </c>
      <c r="F126" s="30" t="s">
        <v>50</v>
      </c>
      <c r="G126" s="30" t="s">
        <v>51</v>
      </c>
      <c r="H126" s="28" t="s">
        <v>191</v>
      </c>
      <c r="I126" s="30"/>
      <c r="J126" s="30" t="s">
        <v>53</v>
      </c>
      <c r="K126" s="30" t="s">
        <v>1038</v>
      </c>
      <c r="L126" s="30" t="s">
        <v>55</v>
      </c>
      <c r="M126" s="30" t="s">
        <v>1039</v>
      </c>
      <c r="N126" s="30" t="s">
        <v>1071</v>
      </c>
      <c r="O126" s="30" t="s">
        <v>1072</v>
      </c>
      <c r="P126" s="30" t="s">
        <v>1073</v>
      </c>
      <c r="Q126" s="28"/>
      <c r="R126" s="30" t="s">
        <v>1074</v>
      </c>
      <c r="S126" s="30" t="s">
        <v>53</v>
      </c>
      <c r="T126" s="30"/>
      <c r="U126" s="28" t="s">
        <v>1051</v>
      </c>
      <c r="V126" s="30" t="s">
        <v>63</v>
      </c>
      <c r="W126" s="30" t="s">
        <v>64</v>
      </c>
      <c r="X126" s="32">
        <v>43891</v>
      </c>
      <c r="Y126" s="32">
        <v>45627</v>
      </c>
      <c r="Z126" s="30" t="s">
        <v>65</v>
      </c>
      <c r="AA126" s="28" t="s">
        <v>66</v>
      </c>
      <c r="AB126" s="28" t="s">
        <v>67</v>
      </c>
      <c r="AC126" s="29"/>
      <c r="AD126" s="28">
        <v>0</v>
      </c>
      <c r="AE126" s="29"/>
      <c r="AF126" s="31"/>
      <c r="AG126" s="30" t="s">
        <v>1044</v>
      </c>
      <c r="AH126" s="28"/>
      <c r="AI126" s="28" t="s">
        <v>53</v>
      </c>
      <c r="AJ126" s="33">
        <v>37580</v>
      </c>
      <c r="AK126" s="28">
        <v>8</v>
      </c>
      <c r="AL126" s="28">
        <v>21</v>
      </c>
      <c r="AM126" s="21" t="s">
        <v>69</v>
      </c>
      <c r="AN126" s="27"/>
      <c r="AO126" s="27"/>
      <c r="AP126" s="27"/>
      <c r="AQ126" s="27"/>
    </row>
    <row r="127" spans="1:43" ht="15.75" customHeight="1">
      <c r="A127" s="28">
        <v>5</v>
      </c>
      <c r="B127" s="29" t="s">
        <v>1075</v>
      </c>
      <c r="C127" s="30"/>
      <c r="D127" s="31" t="s">
        <v>1076</v>
      </c>
      <c r="E127" s="30" t="s">
        <v>72</v>
      </c>
      <c r="F127" s="30" t="s">
        <v>50</v>
      </c>
      <c r="G127" s="30" t="s">
        <v>51</v>
      </c>
      <c r="H127" s="28" t="s">
        <v>52</v>
      </c>
      <c r="I127" s="30"/>
      <c r="J127" s="30" t="s">
        <v>53</v>
      </c>
      <c r="K127" s="30" t="s">
        <v>1077</v>
      </c>
      <c r="L127" s="30" t="s">
        <v>1078</v>
      </c>
      <c r="M127" s="30" t="s">
        <v>1079</v>
      </c>
      <c r="N127" s="30" t="s">
        <v>1080</v>
      </c>
      <c r="O127" s="30" t="s">
        <v>58</v>
      </c>
      <c r="P127" s="30" t="s">
        <v>1081</v>
      </c>
      <c r="Q127" s="28" t="s">
        <v>1082</v>
      </c>
      <c r="R127" s="30" t="s">
        <v>1083</v>
      </c>
      <c r="S127" s="30" t="s">
        <v>53</v>
      </c>
      <c r="T127" s="30"/>
      <c r="U127" s="28" t="s">
        <v>1051</v>
      </c>
      <c r="V127" s="30" t="s">
        <v>63</v>
      </c>
      <c r="W127" s="30" t="s">
        <v>64</v>
      </c>
      <c r="X127" s="32">
        <v>44621</v>
      </c>
      <c r="Y127" s="32">
        <v>46357</v>
      </c>
      <c r="Z127" s="30" t="s">
        <v>65</v>
      </c>
      <c r="AA127" s="28" t="s">
        <v>66</v>
      </c>
      <c r="AB127" s="28" t="s">
        <v>67</v>
      </c>
      <c r="AC127" s="29"/>
      <c r="AD127" s="28">
        <v>0</v>
      </c>
      <c r="AE127" s="29"/>
      <c r="AF127" s="31"/>
      <c r="AG127" s="30" t="s">
        <v>1044</v>
      </c>
      <c r="AH127" s="28"/>
      <c r="AI127" s="28" t="s">
        <v>53</v>
      </c>
      <c r="AJ127" s="33">
        <v>38425</v>
      </c>
      <c r="AK127" s="28">
        <v>5</v>
      </c>
      <c r="AL127" s="28">
        <v>21</v>
      </c>
      <c r="AM127" s="21" t="s">
        <v>69</v>
      </c>
      <c r="AN127" s="27"/>
      <c r="AO127" s="27"/>
      <c r="AP127" s="27"/>
      <c r="AQ127" s="27"/>
    </row>
    <row r="128" spans="1:43" ht="15.75" customHeight="1">
      <c r="A128" s="28">
        <v>6</v>
      </c>
      <c r="B128" s="29" t="s">
        <v>1084</v>
      </c>
      <c r="C128" s="30"/>
      <c r="D128" s="31" t="s">
        <v>1085</v>
      </c>
      <c r="E128" s="30" t="s">
        <v>72</v>
      </c>
      <c r="F128" s="30" t="s">
        <v>50</v>
      </c>
      <c r="G128" s="30" t="s">
        <v>51</v>
      </c>
      <c r="H128" s="28" t="s">
        <v>52</v>
      </c>
      <c r="I128" s="30"/>
      <c r="J128" s="30" t="s">
        <v>53</v>
      </c>
      <c r="K128" s="30" t="s">
        <v>1038</v>
      </c>
      <c r="L128" s="30" t="s">
        <v>55</v>
      </c>
      <c r="M128" s="30" t="s">
        <v>1039</v>
      </c>
      <c r="N128" s="30" t="s">
        <v>1086</v>
      </c>
      <c r="O128" s="30" t="s">
        <v>1087</v>
      </c>
      <c r="P128" s="30" t="s">
        <v>1088</v>
      </c>
      <c r="Q128" s="28" t="s">
        <v>1089</v>
      </c>
      <c r="R128" s="30" t="s">
        <v>1090</v>
      </c>
      <c r="S128" s="30" t="s">
        <v>53</v>
      </c>
      <c r="T128" s="30"/>
      <c r="U128" s="28" t="s">
        <v>1091</v>
      </c>
      <c r="V128" s="30" t="s">
        <v>63</v>
      </c>
      <c r="W128" s="30" t="s">
        <v>64</v>
      </c>
      <c r="X128" s="32">
        <v>43891</v>
      </c>
      <c r="Y128" s="32">
        <v>45717</v>
      </c>
      <c r="Z128" s="30" t="s">
        <v>65</v>
      </c>
      <c r="AA128" s="28" t="s">
        <v>66</v>
      </c>
      <c r="AB128" s="28" t="s">
        <v>67</v>
      </c>
      <c r="AC128" s="29"/>
      <c r="AD128" s="28">
        <v>0</v>
      </c>
      <c r="AE128" s="29"/>
      <c r="AF128" s="31"/>
      <c r="AG128" s="30" t="s">
        <v>1044</v>
      </c>
      <c r="AH128" s="28"/>
      <c r="AI128" s="28" t="s">
        <v>53</v>
      </c>
      <c r="AJ128" s="33">
        <v>37162</v>
      </c>
      <c r="AK128" s="28">
        <v>8</v>
      </c>
      <c r="AL128" s="28">
        <v>20</v>
      </c>
      <c r="AM128" s="21" t="s">
        <v>69</v>
      </c>
      <c r="AN128" s="27"/>
      <c r="AO128" s="27"/>
      <c r="AP128" s="27"/>
      <c r="AQ128" s="27"/>
    </row>
    <row r="129" spans="1:43" ht="15.75" customHeight="1">
      <c r="A129" s="28">
        <v>1</v>
      </c>
      <c r="B129" s="29" t="s">
        <v>1092</v>
      </c>
      <c r="C129" s="30"/>
      <c r="D129" s="31" t="s">
        <v>1093</v>
      </c>
      <c r="E129" s="30" t="s">
        <v>72</v>
      </c>
      <c r="F129" s="30" t="s">
        <v>616</v>
      </c>
      <c r="G129" s="30" t="s">
        <v>51</v>
      </c>
      <c r="H129" s="28" t="s">
        <v>85</v>
      </c>
      <c r="I129" s="30"/>
      <c r="J129" s="30" t="s">
        <v>53</v>
      </c>
      <c r="K129" s="30" t="s">
        <v>1094</v>
      </c>
      <c r="L129" s="30" t="s">
        <v>55</v>
      </c>
      <c r="M129" s="30" t="s">
        <v>1095</v>
      </c>
      <c r="N129" s="30" t="s">
        <v>1096</v>
      </c>
      <c r="O129" s="30" t="s">
        <v>1097</v>
      </c>
      <c r="P129" s="30" t="s">
        <v>1098</v>
      </c>
      <c r="Q129" s="28"/>
      <c r="R129" s="30" t="s">
        <v>1099</v>
      </c>
      <c r="S129" s="30" t="s">
        <v>53</v>
      </c>
      <c r="T129" s="30"/>
      <c r="U129" s="28" t="s">
        <v>1100</v>
      </c>
      <c r="V129" s="30" t="s">
        <v>63</v>
      </c>
      <c r="W129" s="30" t="s">
        <v>64</v>
      </c>
      <c r="X129" s="32">
        <v>44228</v>
      </c>
      <c r="Y129" s="32">
        <v>46204</v>
      </c>
      <c r="Z129" s="30" t="s">
        <v>65</v>
      </c>
      <c r="AA129" s="28" t="s">
        <v>66</v>
      </c>
      <c r="AB129" s="28" t="s">
        <v>67</v>
      </c>
      <c r="AC129" s="29"/>
      <c r="AD129" s="28">
        <v>0</v>
      </c>
      <c r="AE129" s="29"/>
      <c r="AF129" s="31"/>
      <c r="AG129" s="30" t="s">
        <v>1101</v>
      </c>
      <c r="AH129" s="28"/>
      <c r="AI129" s="28" t="s">
        <v>53</v>
      </c>
      <c r="AJ129" s="33">
        <v>31822</v>
      </c>
      <c r="AK129" s="28">
        <v>5</v>
      </c>
      <c r="AL129" s="28">
        <v>22</v>
      </c>
      <c r="AM129" s="21" t="s">
        <v>69</v>
      </c>
      <c r="AN129" s="27"/>
      <c r="AO129" s="27"/>
      <c r="AP129" s="27"/>
      <c r="AQ129" s="27"/>
    </row>
    <row r="130" spans="1:43" ht="15.75" customHeight="1">
      <c r="A130" s="28">
        <v>2</v>
      </c>
      <c r="B130" s="29" t="s">
        <v>1102</v>
      </c>
      <c r="C130" s="30"/>
      <c r="D130" s="31" t="s">
        <v>1103</v>
      </c>
      <c r="E130" s="30" t="s">
        <v>72</v>
      </c>
      <c r="F130" s="30" t="s">
        <v>84</v>
      </c>
      <c r="G130" s="30" t="s">
        <v>51</v>
      </c>
      <c r="H130" s="28" t="s">
        <v>52</v>
      </c>
      <c r="I130" s="30"/>
      <c r="J130" s="30" t="s">
        <v>53</v>
      </c>
      <c r="K130" s="30" t="s">
        <v>1104</v>
      </c>
      <c r="L130" s="30" t="s">
        <v>55</v>
      </c>
      <c r="M130" s="30" t="s">
        <v>1095</v>
      </c>
      <c r="N130" s="30" t="s">
        <v>1105</v>
      </c>
      <c r="O130" s="30" t="s">
        <v>1106</v>
      </c>
      <c r="P130" s="30" t="s">
        <v>1107</v>
      </c>
      <c r="Q130" s="28"/>
      <c r="R130" s="30" t="s">
        <v>1108</v>
      </c>
      <c r="S130" s="30" t="s">
        <v>53</v>
      </c>
      <c r="T130" s="30"/>
      <c r="U130" s="28" t="s">
        <v>1004</v>
      </c>
      <c r="V130" s="30" t="s">
        <v>63</v>
      </c>
      <c r="W130" s="30" t="s">
        <v>64</v>
      </c>
      <c r="X130" s="32">
        <v>44256</v>
      </c>
      <c r="Y130" s="32">
        <v>45992</v>
      </c>
      <c r="Z130" s="30" t="s">
        <v>65</v>
      </c>
      <c r="AA130" s="28" t="s">
        <v>66</v>
      </c>
      <c r="AB130" s="28" t="s">
        <v>67</v>
      </c>
      <c r="AC130" s="29"/>
      <c r="AD130" s="28">
        <v>0</v>
      </c>
      <c r="AE130" s="29"/>
      <c r="AF130" s="31"/>
      <c r="AG130" s="30" t="s">
        <v>1101</v>
      </c>
      <c r="AH130" s="28"/>
      <c r="AI130" s="28" t="s">
        <v>118</v>
      </c>
      <c r="AJ130" s="33">
        <v>34132</v>
      </c>
      <c r="AK130" s="28">
        <v>6</v>
      </c>
      <c r="AL130" s="28">
        <v>20</v>
      </c>
      <c r="AM130" s="21" t="s">
        <v>69</v>
      </c>
      <c r="AN130" s="27"/>
      <c r="AO130" s="27"/>
      <c r="AP130" s="27"/>
      <c r="AQ130" s="27"/>
    </row>
    <row r="131" spans="1:43" ht="15.75" customHeight="1">
      <c r="A131" s="28">
        <v>3</v>
      </c>
      <c r="B131" s="29" t="s">
        <v>1109</v>
      </c>
      <c r="C131" s="30"/>
      <c r="D131" s="31" t="s">
        <v>1110</v>
      </c>
      <c r="E131" s="30" t="s">
        <v>49</v>
      </c>
      <c r="F131" s="30" t="s">
        <v>50</v>
      </c>
      <c r="G131" s="30" t="s">
        <v>51</v>
      </c>
      <c r="H131" s="28" t="s">
        <v>52</v>
      </c>
      <c r="I131" s="30"/>
      <c r="J131" s="30" t="s">
        <v>53</v>
      </c>
      <c r="K131" s="30" t="s">
        <v>1111</v>
      </c>
      <c r="L131" s="30" t="s">
        <v>1112</v>
      </c>
      <c r="M131" s="30" t="s">
        <v>1113</v>
      </c>
      <c r="N131" s="30" t="s">
        <v>1114</v>
      </c>
      <c r="O131" s="30" t="s">
        <v>58</v>
      </c>
      <c r="P131" s="30" t="s">
        <v>1115</v>
      </c>
      <c r="Q131" s="28" t="s">
        <v>1116</v>
      </c>
      <c r="R131" s="30" t="s">
        <v>1117</v>
      </c>
      <c r="S131" s="30" t="s">
        <v>53</v>
      </c>
      <c r="T131" s="30"/>
      <c r="U131" s="28" t="s">
        <v>1118</v>
      </c>
      <c r="V131" s="30" t="s">
        <v>63</v>
      </c>
      <c r="W131" s="30" t="s">
        <v>64</v>
      </c>
      <c r="X131" s="32">
        <v>44562</v>
      </c>
      <c r="Y131" s="32">
        <v>46722</v>
      </c>
      <c r="Z131" s="30" t="s">
        <v>65</v>
      </c>
      <c r="AA131" s="28" t="s">
        <v>66</v>
      </c>
      <c r="AB131" s="28" t="s">
        <v>67</v>
      </c>
      <c r="AC131" s="29"/>
      <c r="AD131" s="28">
        <v>0</v>
      </c>
      <c r="AE131" s="29"/>
      <c r="AF131" s="31"/>
      <c r="AG131" s="30" t="s">
        <v>1101</v>
      </c>
      <c r="AH131" s="28" t="s">
        <v>431</v>
      </c>
      <c r="AI131" s="28" t="s">
        <v>53</v>
      </c>
      <c r="AJ131" s="33">
        <v>37184</v>
      </c>
      <c r="AK131" s="28">
        <v>5</v>
      </c>
      <c r="AL131" s="28">
        <v>18</v>
      </c>
      <c r="AM131" s="21" t="s">
        <v>69</v>
      </c>
      <c r="AN131" s="27"/>
      <c r="AO131" s="27"/>
      <c r="AP131" s="27"/>
      <c r="AQ131" s="27"/>
    </row>
    <row r="132" spans="1:43" ht="15.75" customHeight="1">
      <c r="A132" s="28">
        <v>4</v>
      </c>
      <c r="B132" s="29" t="s">
        <v>1119</v>
      </c>
      <c r="C132" s="30"/>
      <c r="D132" s="31" t="s">
        <v>1120</v>
      </c>
      <c r="E132" s="30" t="s">
        <v>72</v>
      </c>
      <c r="F132" s="30" t="s">
        <v>50</v>
      </c>
      <c r="G132" s="30" t="s">
        <v>51</v>
      </c>
      <c r="H132" s="28" t="s">
        <v>1121</v>
      </c>
      <c r="I132" s="30"/>
      <c r="J132" s="30" t="s">
        <v>53</v>
      </c>
      <c r="K132" s="30" t="s">
        <v>1122</v>
      </c>
      <c r="L132" s="30" t="s">
        <v>55</v>
      </c>
      <c r="M132" s="30" t="s">
        <v>1095</v>
      </c>
      <c r="N132" s="30" t="s">
        <v>1123</v>
      </c>
      <c r="O132" s="30" t="s">
        <v>1124</v>
      </c>
      <c r="P132" s="30" t="s">
        <v>1125</v>
      </c>
      <c r="Q132" s="28"/>
      <c r="R132" s="30" t="s">
        <v>1126</v>
      </c>
      <c r="S132" s="30" t="s">
        <v>53</v>
      </c>
      <c r="T132" s="30"/>
      <c r="U132" s="28" t="s">
        <v>1127</v>
      </c>
      <c r="V132" s="30" t="s">
        <v>63</v>
      </c>
      <c r="W132" s="30" t="s">
        <v>64</v>
      </c>
      <c r="X132" s="32">
        <v>43862</v>
      </c>
      <c r="Y132" s="32">
        <v>45627</v>
      </c>
      <c r="Z132" s="30" t="s">
        <v>65</v>
      </c>
      <c r="AA132" s="28" t="s">
        <v>66</v>
      </c>
      <c r="AB132" s="28" t="s">
        <v>67</v>
      </c>
      <c r="AC132" s="29"/>
      <c r="AD132" s="28">
        <v>0</v>
      </c>
      <c r="AE132" s="29"/>
      <c r="AF132" s="31"/>
      <c r="AG132" s="30" t="s">
        <v>1101</v>
      </c>
      <c r="AH132" s="28"/>
      <c r="AI132" s="28" t="s">
        <v>53</v>
      </c>
      <c r="AJ132" s="33">
        <v>37324</v>
      </c>
      <c r="AK132" s="28">
        <v>8</v>
      </c>
      <c r="AL132" s="28">
        <v>17</v>
      </c>
      <c r="AM132" s="21" t="s">
        <v>69</v>
      </c>
      <c r="AN132" s="27"/>
      <c r="AO132" s="27"/>
      <c r="AP132" s="27"/>
      <c r="AQ132" s="27"/>
    </row>
    <row r="133" spans="1:43" ht="15.75" customHeight="1">
      <c r="A133" s="28">
        <v>5</v>
      </c>
      <c r="B133" s="29" t="s">
        <v>1128</v>
      </c>
      <c r="C133" s="30"/>
      <c r="D133" s="31" t="s">
        <v>1129</v>
      </c>
      <c r="E133" s="30" t="s">
        <v>72</v>
      </c>
      <c r="F133" s="30" t="s">
        <v>50</v>
      </c>
      <c r="G133" s="30" t="s">
        <v>51</v>
      </c>
      <c r="H133" s="28" t="s">
        <v>85</v>
      </c>
      <c r="I133" s="30"/>
      <c r="J133" s="30" t="s">
        <v>53</v>
      </c>
      <c r="K133" s="30" t="s">
        <v>1130</v>
      </c>
      <c r="L133" s="30" t="s">
        <v>55</v>
      </c>
      <c r="M133" s="30" t="s">
        <v>1131</v>
      </c>
      <c r="N133" s="30" t="s">
        <v>1132</v>
      </c>
      <c r="O133" s="30" t="s">
        <v>58</v>
      </c>
      <c r="P133" s="30" t="s">
        <v>1133</v>
      </c>
      <c r="Q133" s="28"/>
      <c r="R133" s="30" t="s">
        <v>1134</v>
      </c>
      <c r="S133" s="30" t="s">
        <v>53</v>
      </c>
      <c r="T133" s="30"/>
      <c r="U133" s="28" t="s">
        <v>1135</v>
      </c>
      <c r="V133" s="30" t="s">
        <v>63</v>
      </c>
      <c r="W133" s="30" t="s">
        <v>64</v>
      </c>
      <c r="X133" s="32">
        <v>44256</v>
      </c>
      <c r="Y133" s="32">
        <v>45992</v>
      </c>
      <c r="Z133" s="30" t="s">
        <v>65</v>
      </c>
      <c r="AA133" s="28" t="s">
        <v>66</v>
      </c>
      <c r="AB133" s="28" t="s">
        <v>67</v>
      </c>
      <c r="AC133" s="29"/>
      <c r="AD133" s="28">
        <v>0</v>
      </c>
      <c r="AE133" s="29"/>
      <c r="AF133" s="31"/>
      <c r="AG133" s="30" t="s">
        <v>1101</v>
      </c>
      <c r="AH133" s="28"/>
      <c r="AI133" s="28" t="s">
        <v>53</v>
      </c>
      <c r="AJ133" s="33">
        <v>37635</v>
      </c>
      <c r="AK133" s="28">
        <v>6</v>
      </c>
      <c r="AL133" s="28">
        <v>16</v>
      </c>
      <c r="AM133" s="21" t="s">
        <v>69</v>
      </c>
      <c r="AN133" s="27"/>
      <c r="AO133" s="27"/>
      <c r="AP133" s="27"/>
      <c r="AQ133" s="27"/>
    </row>
    <row r="134" spans="1:43" ht="15.75" customHeight="1">
      <c r="A134" s="28">
        <v>6</v>
      </c>
      <c r="B134" s="29" t="s">
        <v>1136</v>
      </c>
      <c r="C134" s="30"/>
      <c r="D134" s="31" t="s">
        <v>1137</v>
      </c>
      <c r="E134" s="30" t="s">
        <v>49</v>
      </c>
      <c r="F134" s="30" t="s">
        <v>50</v>
      </c>
      <c r="G134" s="30" t="s">
        <v>51</v>
      </c>
      <c r="H134" s="28" t="s">
        <v>85</v>
      </c>
      <c r="I134" s="30"/>
      <c r="J134" s="30" t="s">
        <v>53</v>
      </c>
      <c r="K134" s="30" t="s">
        <v>1138</v>
      </c>
      <c r="L134" s="30" t="s">
        <v>55</v>
      </c>
      <c r="M134" s="30" t="s">
        <v>1095</v>
      </c>
      <c r="N134" s="30" t="s">
        <v>1139</v>
      </c>
      <c r="O134" s="30" t="s">
        <v>1140</v>
      </c>
      <c r="P134" s="30" t="s">
        <v>1141</v>
      </c>
      <c r="Q134" s="28" t="s">
        <v>1142</v>
      </c>
      <c r="R134" s="30" t="s">
        <v>1143</v>
      </c>
      <c r="S134" s="30" t="s">
        <v>53</v>
      </c>
      <c r="T134" s="30"/>
      <c r="U134" s="28" t="s">
        <v>1144</v>
      </c>
      <c r="V134" s="30" t="s">
        <v>63</v>
      </c>
      <c r="W134" s="30" t="s">
        <v>64</v>
      </c>
      <c r="X134" s="32">
        <v>44197</v>
      </c>
      <c r="Y134" s="32">
        <v>46023</v>
      </c>
      <c r="Z134" s="30" t="s">
        <v>65</v>
      </c>
      <c r="AA134" s="28" t="s">
        <v>66</v>
      </c>
      <c r="AB134" s="28" t="s">
        <v>67</v>
      </c>
      <c r="AC134" s="29"/>
      <c r="AD134" s="28">
        <v>0</v>
      </c>
      <c r="AE134" s="29"/>
      <c r="AF134" s="31"/>
      <c r="AG134" s="30" t="s">
        <v>1101</v>
      </c>
      <c r="AH134" s="28"/>
      <c r="AI134" s="28" t="s">
        <v>53</v>
      </c>
      <c r="AJ134" s="33">
        <v>37448</v>
      </c>
      <c r="AK134" s="28">
        <v>5</v>
      </c>
      <c r="AL134" s="28">
        <v>15</v>
      </c>
      <c r="AM134" s="21" t="s">
        <v>69</v>
      </c>
      <c r="AN134" s="27"/>
      <c r="AO134" s="27"/>
      <c r="AP134" s="27"/>
      <c r="AQ134" s="27"/>
    </row>
    <row r="135" spans="1:43" ht="15.75" customHeight="1">
      <c r="A135" s="28">
        <v>7</v>
      </c>
      <c r="B135" s="29" t="s">
        <v>1145</v>
      </c>
      <c r="C135" s="30" t="s">
        <v>1146</v>
      </c>
      <c r="D135" s="31" t="s">
        <v>1147</v>
      </c>
      <c r="E135" s="30" t="s">
        <v>49</v>
      </c>
      <c r="F135" s="30" t="s">
        <v>50</v>
      </c>
      <c r="G135" s="30" t="s">
        <v>51</v>
      </c>
      <c r="H135" s="28" t="s">
        <v>191</v>
      </c>
      <c r="I135" s="30"/>
      <c r="J135" s="30" t="s">
        <v>53</v>
      </c>
      <c r="K135" s="30" t="s">
        <v>1148</v>
      </c>
      <c r="L135" s="30" t="s">
        <v>55</v>
      </c>
      <c r="M135" s="30" t="s">
        <v>1095</v>
      </c>
      <c r="N135" s="30" t="s">
        <v>1149</v>
      </c>
      <c r="O135" s="30" t="s">
        <v>1150</v>
      </c>
      <c r="P135" s="30" t="s">
        <v>1151</v>
      </c>
      <c r="Q135" s="28"/>
      <c r="R135" s="30" t="s">
        <v>1152</v>
      </c>
      <c r="S135" s="30" t="s">
        <v>53</v>
      </c>
      <c r="T135" s="30"/>
      <c r="U135" s="28" t="s">
        <v>1153</v>
      </c>
      <c r="V135" s="30" t="s">
        <v>63</v>
      </c>
      <c r="W135" s="30" t="s">
        <v>64</v>
      </c>
      <c r="X135" s="32">
        <v>44256</v>
      </c>
      <c r="Y135" s="32">
        <v>45992</v>
      </c>
      <c r="Z135" s="30" t="s">
        <v>65</v>
      </c>
      <c r="AA135" s="28" t="s">
        <v>66</v>
      </c>
      <c r="AB135" s="28" t="s">
        <v>67</v>
      </c>
      <c r="AC135" s="29"/>
      <c r="AD135" s="28">
        <v>0</v>
      </c>
      <c r="AE135" s="29"/>
      <c r="AF135" s="31"/>
      <c r="AG135" s="30" t="s">
        <v>1101</v>
      </c>
      <c r="AH135" s="28"/>
      <c r="AI135" s="28" t="s">
        <v>53</v>
      </c>
      <c r="AJ135" s="33">
        <v>33706</v>
      </c>
      <c r="AK135" s="28">
        <v>6</v>
      </c>
      <c r="AL135" s="28">
        <v>15</v>
      </c>
      <c r="AM135" s="21" t="s">
        <v>69</v>
      </c>
      <c r="AN135" s="27"/>
      <c r="AO135" s="27"/>
      <c r="AP135" s="27"/>
      <c r="AQ135" s="27"/>
    </row>
    <row r="136" spans="1:43" ht="15.75" customHeight="1">
      <c r="A136" s="28">
        <v>1</v>
      </c>
      <c r="B136" s="29" t="s">
        <v>1154</v>
      </c>
      <c r="C136" s="30"/>
      <c r="D136" s="31" t="s">
        <v>1155</v>
      </c>
      <c r="E136" s="30" t="s">
        <v>72</v>
      </c>
      <c r="F136" s="30" t="s">
        <v>84</v>
      </c>
      <c r="G136" s="30" t="s">
        <v>51</v>
      </c>
      <c r="H136" s="28" t="s">
        <v>52</v>
      </c>
      <c r="I136" s="30"/>
      <c r="J136" s="30" t="s">
        <v>53</v>
      </c>
      <c r="K136" s="30" t="s">
        <v>1156</v>
      </c>
      <c r="L136" s="30" t="s">
        <v>55</v>
      </c>
      <c r="M136" s="30" t="s">
        <v>1157</v>
      </c>
      <c r="N136" s="30" t="s">
        <v>1158</v>
      </c>
      <c r="O136" s="30" t="s">
        <v>1159</v>
      </c>
      <c r="P136" s="30" t="s">
        <v>1160</v>
      </c>
      <c r="Q136" s="28"/>
      <c r="R136" s="30" t="s">
        <v>1161</v>
      </c>
      <c r="S136" s="30" t="s">
        <v>53</v>
      </c>
      <c r="T136" s="30"/>
      <c r="U136" s="28" t="s">
        <v>1162</v>
      </c>
      <c r="V136" s="30" t="s">
        <v>63</v>
      </c>
      <c r="W136" s="30" t="s">
        <v>80</v>
      </c>
      <c r="X136" s="32">
        <v>44621</v>
      </c>
      <c r="Y136" s="32">
        <v>45717</v>
      </c>
      <c r="Z136" s="30" t="s">
        <v>65</v>
      </c>
      <c r="AA136" s="28" t="s">
        <v>66</v>
      </c>
      <c r="AB136" s="28" t="s">
        <v>67</v>
      </c>
      <c r="AC136" s="29"/>
      <c r="AD136" s="28">
        <v>0</v>
      </c>
      <c r="AE136" s="29"/>
      <c r="AF136" s="31"/>
      <c r="AG136" s="30" t="s">
        <v>1163</v>
      </c>
      <c r="AH136" s="28"/>
      <c r="AI136" s="28" t="s">
        <v>118</v>
      </c>
      <c r="AJ136" s="33">
        <v>28443</v>
      </c>
      <c r="AK136" s="28">
        <v>4</v>
      </c>
      <c r="AL136" s="28">
        <v>22</v>
      </c>
      <c r="AM136" s="21" t="s">
        <v>69</v>
      </c>
      <c r="AN136" s="27"/>
      <c r="AO136" s="27"/>
      <c r="AP136" s="27"/>
      <c r="AQ136" s="27"/>
    </row>
    <row r="137" spans="1:43" ht="15.75" customHeight="1">
      <c r="A137" s="28">
        <v>1</v>
      </c>
      <c r="B137" s="29" t="s">
        <v>1164</v>
      </c>
      <c r="C137" s="30" t="s">
        <v>1165</v>
      </c>
      <c r="D137" s="31" t="s">
        <v>1166</v>
      </c>
      <c r="E137" s="30" t="s">
        <v>72</v>
      </c>
      <c r="F137" s="30" t="s">
        <v>84</v>
      </c>
      <c r="G137" s="30" t="s">
        <v>51</v>
      </c>
      <c r="H137" s="28" t="s">
        <v>52</v>
      </c>
      <c r="I137" s="30"/>
      <c r="J137" s="30" t="s">
        <v>53</v>
      </c>
      <c r="K137" s="30" t="s">
        <v>1167</v>
      </c>
      <c r="L137" s="30" t="s">
        <v>55</v>
      </c>
      <c r="M137" s="30" t="s">
        <v>1168</v>
      </c>
      <c r="N137" s="30" t="s">
        <v>1169</v>
      </c>
      <c r="O137" s="30" t="s">
        <v>1170</v>
      </c>
      <c r="P137" s="30" t="s">
        <v>1171</v>
      </c>
      <c r="Q137" s="28" t="s">
        <v>1172</v>
      </c>
      <c r="R137" s="30" t="s">
        <v>1173</v>
      </c>
      <c r="S137" s="30" t="s">
        <v>53</v>
      </c>
      <c r="T137" s="30"/>
      <c r="U137" s="28" t="s">
        <v>1174</v>
      </c>
      <c r="V137" s="30" t="s">
        <v>63</v>
      </c>
      <c r="W137" s="30" t="s">
        <v>64</v>
      </c>
      <c r="X137" s="32">
        <v>43831</v>
      </c>
      <c r="Y137" s="32">
        <v>45627</v>
      </c>
      <c r="Z137" s="30" t="s">
        <v>65</v>
      </c>
      <c r="AA137" s="28" t="s">
        <v>66</v>
      </c>
      <c r="AB137" s="28" t="s">
        <v>67</v>
      </c>
      <c r="AC137" s="29"/>
      <c r="AD137" s="28">
        <v>0</v>
      </c>
      <c r="AE137" s="29"/>
      <c r="AF137" s="31"/>
      <c r="AG137" s="30" t="s">
        <v>1163</v>
      </c>
      <c r="AH137" s="28"/>
      <c r="AI137" s="28" t="s">
        <v>53</v>
      </c>
      <c r="AJ137" s="33">
        <v>33990</v>
      </c>
      <c r="AK137" s="28">
        <v>8</v>
      </c>
      <c r="AL137" s="28">
        <v>28</v>
      </c>
      <c r="AM137" s="21" t="s">
        <v>69</v>
      </c>
      <c r="AN137" s="27"/>
      <c r="AO137" s="27"/>
      <c r="AP137" s="27"/>
      <c r="AQ137" s="27"/>
    </row>
    <row r="138" spans="1:43" ht="15.75" customHeight="1">
      <c r="A138" s="28">
        <v>2</v>
      </c>
      <c r="B138" s="29" t="s">
        <v>1175</v>
      </c>
      <c r="C138" s="30" t="s">
        <v>1176</v>
      </c>
      <c r="D138" s="31" t="s">
        <v>1177</v>
      </c>
      <c r="E138" s="30" t="s">
        <v>72</v>
      </c>
      <c r="F138" s="30" t="s">
        <v>50</v>
      </c>
      <c r="G138" s="30" t="s">
        <v>51</v>
      </c>
      <c r="H138" s="28" t="s">
        <v>191</v>
      </c>
      <c r="I138" s="30"/>
      <c r="J138" s="30" t="s">
        <v>53</v>
      </c>
      <c r="K138" s="30" t="s">
        <v>1156</v>
      </c>
      <c r="L138" s="30" t="s">
        <v>55</v>
      </c>
      <c r="M138" s="30" t="s">
        <v>1157</v>
      </c>
      <c r="N138" s="30" t="s">
        <v>1178</v>
      </c>
      <c r="O138" s="30" t="s">
        <v>1179</v>
      </c>
      <c r="P138" s="30" t="s">
        <v>1180</v>
      </c>
      <c r="Q138" s="28" t="s">
        <v>1181</v>
      </c>
      <c r="R138" s="30" t="s">
        <v>1182</v>
      </c>
      <c r="S138" s="30" t="s">
        <v>53</v>
      </c>
      <c r="T138" s="30"/>
      <c r="U138" s="28" t="s">
        <v>1183</v>
      </c>
      <c r="V138" s="30" t="s">
        <v>63</v>
      </c>
      <c r="W138" s="30" t="s">
        <v>64</v>
      </c>
      <c r="X138" s="32">
        <v>44409</v>
      </c>
      <c r="Y138" s="32">
        <v>46204</v>
      </c>
      <c r="Z138" s="30" t="s">
        <v>65</v>
      </c>
      <c r="AA138" s="28" t="s">
        <v>66</v>
      </c>
      <c r="AB138" s="28" t="s">
        <v>67</v>
      </c>
      <c r="AC138" s="29"/>
      <c r="AD138" s="28">
        <v>0</v>
      </c>
      <c r="AE138" s="29"/>
      <c r="AF138" s="31"/>
      <c r="AG138" s="30" t="s">
        <v>1163</v>
      </c>
      <c r="AH138" s="28" t="s">
        <v>431</v>
      </c>
      <c r="AI138" s="28" t="s">
        <v>53</v>
      </c>
      <c r="AJ138" s="33">
        <v>37482</v>
      </c>
      <c r="AK138" s="28">
        <v>5</v>
      </c>
      <c r="AL138" s="28">
        <v>24</v>
      </c>
      <c r="AM138" s="21" t="s">
        <v>69</v>
      </c>
      <c r="AN138" s="27"/>
      <c r="AO138" s="27"/>
      <c r="AP138" s="27"/>
      <c r="AQ138" s="27"/>
    </row>
    <row r="139" spans="1:43" ht="15.75" customHeight="1">
      <c r="A139" s="28">
        <v>3</v>
      </c>
      <c r="B139" s="29" t="s">
        <v>1184</v>
      </c>
      <c r="C139" s="30"/>
      <c r="D139" s="31" t="s">
        <v>1185</v>
      </c>
      <c r="E139" s="30" t="s">
        <v>72</v>
      </c>
      <c r="F139" s="30" t="s">
        <v>50</v>
      </c>
      <c r="G139" s="30" t="s">
        <v>51</v>
      </c>
      <c r="H139" s="28" t="s">
        <v>85</v>
      </c>
      <c r="I139" s="30"/>
      <c r="J139" s="30" t="s">
        <v>53</v>
      </c>
      <c r="K139" s="30" t="s">
        <v>1156</v>
      </c>
      <c r="L139" s="30" t="s">
        <v>55</v>
      </c>
      <c r="M139" s="30" t="s">
        <v>1157</v>
      </c>
      <c r="N139" s="30" t="s">
        <v>1186</v>
      </c>
      <c r="O139" s="30" t="s">
        <v>1187</v>
      </c>
      <c r="P139" s="30" t="s">
        <v>1188</v>
      </c>
      <c r="Q139" s="28"/>
      <c r="R139" s="30" t="s">
        <v>1189</v>
      </c>
      <c r="S139" s="30" t="s">
        <v>53</v>
      </c>
      <c r="T139" s="30"/>
      <c r="U139" s="28" t="s">
        <v>62</v>
      </c>
      <c r="V139" s="30" t="s">
        <v>63</v>
      </c>
      <c r="W139" s="30" t="s">
        <v>64</v>
      </c>
      <c r="X139" s="32">
        <v>44562</v>
      </c>
      <c r="Y139" s="32">
        <v>46357</v>
      </c>
      <c r="Z139" s="30" t="s">
        <v>65</v>
      </c>
      <c r="AA139" s="28" t="s">
        <v>66</v>
      </c>
      <c r="AB139" s="28" t="s">
        <v>67</v>
      </c>
      <c r="AC139" s="29"/>
      <c r="AD139" s="28">
        <v>0</v>
      </c>
      <c r="AE139" s="29"/>
      <c r="AF139" s="31"/>
      <c r="AG139" s="30" t="s">
        <v>1163</v>
      </c>
      <c r="AH139" s="28"/>
      <c r="AI139" s="28" t="s">
        <v>53</v>
      </c>
      <c r="AJ139" s="33">
        <v>37908</v>
      </c>
      <c r="AK139" s="28">
        <v>5</v>
      </c>
      <c r="AL139" s="28">
        <v>23</v>
      </c>
      <c r="AM139" s="21" t="s">
        <v>69</v>
      </c>
      <c r="AN139" s="27"/>
      <c r="AO139" s="27"/>
      <c r="AP139" s="27"/>
      <c r="AQ139" s="27"/>
    </row>
    <row r="140" spans="1:43" ht="15.75" customHeight="1">
      <c r="A140" s="28">
        <v>4</v>
      </c>
      <c r="B140" s="29" t="s">
        <v>1190</v>
      </c>
      <c r="C140" s="30"/>
      <c r="D140" s="31" t="s">
        <v>1191</v>
      </c>
      <c r="E140" s="30" t="s">
        <v>49</v>
      </c>
      <c r="F140" s="30" t="s">
        <v>50</v>
      </c>
      <c r="G140" s="30" t="s">
        <v>51</v>
      </c>
      <c r="H140" s="28" t="s">
        <v>85</v>
      </c>
      <c r="I140" s="30"/>
      <c r="J140" s="30" t="s">
        <v>53</v>
      </c>
      <c r="K140" s="30" t="s">
        <v>1156</v>
      </c>
      <c r="L140" s="30" t="s">
        <v>55</v>
      </c>
      <c r="M140" s="30" t="s">
        <v>1157</v>
      </c>
      <c r="N140" s="30" t="s">
        <v>1192</v>
      </c>
      <c r="O140" s="30" t="s">
        <v>1193</v>
      </c>
      <c r="P140" s="30" t="s">
        <v>1194</v>
      </c>
      <c r="Q140" s="28"/>
      <c r="R140" s="30" t="s">
        <v>1195</v>
      </c>
      <c r="S140" s="30" t="s">
        <v>53</v>
      </c>
      <c r="T140" s="30"/>
      <c r="U140" s="28" t="s">
        <v>612</v>
      </c>
      <c r="V140" s="30" t="s">
        <v>63</v>
      </c>
      <c r="W140" s="30" t="s">
        <v>64</v>
      </c>
      <c r="X140" s="32">
        <v>43831</v>
      </c>
      <c r="Y140" s="32">
        <v>45992</v>
      </c>
      <c r="Z140" s="30" t="s">
        <v>65</v>
      </c>
      <c r="AA140" s="28" t="s">
        <v>66</v>
      </c>
      <c r="AB140" s="28" t="s">
        <v>67</v>
      </c>
      <c r="AC140" s="29"/>
      <c r="AD140" s="28">
        <v>0</v>
      </c>
      <c r="AE140" s="29"/>
      <c r="AF140" s="31"/>
      <c r="AG140" s="30" t="s">
        <v>1163</v>
      </c>
      <c r="AH140" s="28"/>
      <c r="AI140" s="28" t="s">
        <v>53</v>
      </c>
      <c r="AJ140" s="33">
        <v>31525</v>
      </c>
      <c r="AK140" s="28">
        <v>6</v>
      </c>
      <c r="AL140" s="28">
        <v>19</v>
      </c>
      <c r="AM140" s="21" t="s">
        <v>69</v>
      </c>
      <c r="AN140" s="27"/>
      <c r="AO140" s="27"/>
      <c r="AP140" s="27"/>
      <c r="AQ140" s="27"/>
    </row>
    <row r="141" spans="1:43" ht="15.75" customHeight="1">
      <c r="A141" s="28">
        <v>1</v>
      </c>
      <c r="B141" s="29" t="s">
        <v>1196</v>
      </c>
      <c r="C141" s="30"/>
      <c r="D141" s="31" t="s">
        <v>1197</v>
      </c>
      <c r="E141" s="30" t="s">
        <v>49</v>
      </c>
      <c r="F141" s="30" t="s">
        <v>50</v>
      </c>
      <c r="G141" s="30" t="s">
        <v>51</v>
      </c>
      <c r="H141" s="28" t="s">
        <v>52</v>
      </c>
      <c r="I141" s="30"/>
      <c r="J141" s="30" t="s">
        <v>53</v>
      </c>
      <c r="K141" s="30" t="s">
        <v>1198</v>
      </c>
      <c r="L141" s="30" t="s">
        <v>55</v>
      </c>
      <c r="M141" s="30" t="s">
        <v>1199</v>
      </c>
      <c r="N141" s="30" t="s">
        <v>1200</v>
      </c>
      <c r="O141" s="30" t="s">
        <v>58</v>
      </c>
      <c r="P141" s="30" t="s">
        <v>1201</v>
      </c>
      <c r="Q141" s="28" t="s">
        <v>1202</v>
      </c>
      <c r="R141" s="30" t="s">
        <v>1203</v>
      </c>
      <c r="S141" s="30" t="s">
        <v>53</v>
      </c>
      <c r="T141" s="30"/>
      <c r="U141" s="28" t="s">
        <v>1204</v>
      </c>
      <c r="V141" s="30" t="s">
        <v>63</v>
      </c>
      <c r="W141" s="30" t="s">
        <v>80</v>
      </c>
      <c r="X141" s="32">
        <v>44228</v>
      </c>
      <c r="Y141" s="32">
        <v>45627</v>
      </c>
      <c r="Z141" s="30" t="s">
        <v>65</v>
      </c>
      <c r="AA141" s="28" t="s">
        <v>66</v>
      </c>
      <c r="AB141" s="28" t="s">
        <v>67</v>
      </c>
      <c r="AC141" s="29"/>
      <c r="AD141" s="28">
        <v>0</v>
      </c>
      <c r="AE141" s="29"/>
      <c r="AF141" s="31"/>
      <c r="AG141" s="30" t="s">
        <v>1205</v>
      </c>
      <c r="AH141" s="28"/>
      <c r="AI141" s="28" t="s">
        <v>53</v>
      </c>
      <c r="AJ141" s="33">
        <v>37394</v>
      </c>
      <c r="AK141" s="28">
        <v>6</v>
      </c>
      <c r="AL141" s="28">
        <v>17</v>
      </c>
      <c r="AM141" s="21" t="s">
        <v>69</v>
      </c>
      <c r="AN141" s="27"/>
      <c r="AO141" s="27"/>
      <c r="AP141" s="27"/>
      <c r="AQ141" s="27"/>
    </row>
    <row r="142" spans="1:43" ht="15.75" customHeight="1">
      <c r="A142" s="28">
        <v>2</v>
      </c>
      <c r="B142" s="29" t="s">
        <v>1206</v>
      </c>
      <c r="C142" s="30" t="s">
        <v>1207</v>
      </c>
      <c r="D142" s="31" t="s">
        <v>1208</v>
      </c>
      <c r="E142" s="30" t="s">
        <v>72</v>
      </c>
      <c r="F142" s="30" t="s">
        <v>50</v>
      </c>
      <c r="G142" s="30" t="s">
        <v>51</v>
      </c>
      <c r="H142" s="28" t="s">
        <v>52</v>
      </c>
      <c r="I142" s="30"/>
      <c r="J142" s="30" t="s">
        <v>53</v>
      </c>
      <c r="K142" s="30" t="s">
        <v>1209</v>
      </c>
      <c r="L142" s="30" t="s">
        <v>55</v>
      </c>
      <c r="M142" s="30" t="s">
        <v>1199</v>
      </c>
      <c r="N142" s="30" t="s">
        <v>1210</v>
      </c>
      <c r="O142" s="30" t="s">
        <v>58</v>
      </c>
      <c r="P142" s="30" t="s">
        <v>1211</v>
      </c>
      <c r="Q142" s="28"/>
      <c r="R142" s="30" t="s">
        <v>1212</v>
      </c>
      <c r="S142" s="30" t="s">
        <v>53</v>
      </c>
      <c r="T142" s="30"/>
      <c r="U142" s="28" t="s">
        <v>1213</v>
      </c>
      <c r="V142" s="30" t="s">
        <v>63</v>
      </c>
      <c r="W142" s="30" t="s">
        <v>80</v>
      </c>
      <c r="X142" s="32">
        <v>45139</v>
      </c>
      <c r="Y142" s="32">
        <v>46600</v>
      </c>
      <c r="Z142" s="30" t="s">
        <v>65</v>
      </c>
      <c r="AA142" s="28" t="s">
        <v>802</v>
      </c>
      <c r="AB142" s="28" t="s">
        <v>67</v>
      </c>
      <c r="AC142" s="29"/>
      <c r="AD142" s="28">
        <v>0</v>
      </c>
      <c r="AE142" s="29"/>
      <c r="AF142" s="31"/>
      <c r="AG142" s="30" t="s">
        <v>1205</v>
      </c>
      <c r="AH142" s="28"/>
      <c r="AI142" s="28" t="s">
        <v>53</v>
      </c>
      <c r="AJ142" s="33">
        <v>29897</v>
      </c>
      <c r="AK142" s="28">
        <v>3</v>
      </c>
      <c r="AL142" s="28">
        <v>16</v>
      </c>
      <c r="AM142" s="21" t="s">
        <v>69</v>
      </c>
      <c r="AN142" s="27"/>
      <c r="AO142" s="27"/>
      <c r="AP142" s="27"/>
      <c r="AQ142" s="27"/>
    </row>
    <row r="143" spans="1:43" ht="15.75" customHeight="1">
      <c r="A143" s="28">
        <v>1</v>
      </c>
      <c r="B143" s="29" t="s">
        <v>1214</v>
      </c>
      <c r="C143" s="30" t="s">
        <v>1215</v>
      </c>
      <c r="D143" s="31" t="s">
        <v>1216</v>
      </c>
      <c r="E143" s="30" t="s">
        <v>49</v>
      </c>
      <c r="F143" s="30" t="s">
        <v>50</v>
      </c>
      <c r="G143" s="30" t="s">
        <v>51</v>
      </c>
      <c r="H143" s="28" t="s">
        <v>191</v>
      </c>
      <c r="I143" s="30"/>
      <c r="J143" s="30" t="s">
        <v>53</v>
      </c>
      <c r="K143" s="30" t="s">
        <v>1217</v>
      </c>
      <c r="L143" s="30" t="s">
        <v>55</v>
      </c>
      <c r="M143" s="30" t="s">
        <v>1199</v>
      </c>
      <c r="N143" s="30" t="s">
        <v>1218</v>
      </c>
      <c r="O143" s="30" t="s">
        <v>58</v>
      </c>
      <c r="P143" s="30" t="s">
        <v>1219</v>
      </c>
      <c r="Q143" s="28"/>
      <c r="R143" s="30" t="s">
        <v>1220</v>
      </c>
      <c r="S143" s="30" t="s">
        <v>53</v>
      </c>
      <c r="T143" s="30"/>
      <c r="U143" s="28" t="s">
        <v>1221</v>
      </c>
      <c r="V143" s="30" t="s">
        <v>63</v>
      </c>
      <c r="W143" s="30" t="s">
        <v>64</v>
      </c>
      <c r="X143" s="32">
        <v>44927</v>
      </c>
      <c r="Y143" s="32">
        <v>47088</v>
      </c>
      <c r="Z143" s="30" t="s">
        <v>65</v>
      </c>
      <c r="AA143" s="28" t="s">
        <v>66</v>
      </c>
      <c r="AB143" s="28" t="s">
        <v>67</v>
      </c>
      <c r="AC143" s="29"/>
      <c r="AD143" s="28">
        <v>0</v>
      </c>
      <c r="AE143" s="29"/>
      <c r="AF143" s="31"/>
      <c r="AG143" s="30" t="s">
        <v>1205</v>
      </c>
      <c r="AH143" s="28"/>
      <c r="AI143" s="28" t="s">
        <v>53</v>
      </c>
      <c r="AJ143" s="33">
        <v>38186</v>
      </c>
      <c r="AK143" s="28">
        <v>5</v>
      </c>
      <c r="AL143" s="28">
        <v>23</v>
      </c>
      <c r="AM143" s="21" t="s">
        <v>69</v>
      </c>
      <c r="AN143" s="27"/>
      <c r="AO143" s="27"/>
      <c r="AP143" s="27"/>
      <c r="AQ143" s="27"/>
    </row>
    <row r="144" spans="1:43" ht="15.75" customHeight="1">
      <c r="A144" s="28">
        <v>2</v>
      </c>
      <c r="B144" s="29" t="s">
        <v>1222</v>
      </c>
      <c r="C144" s="30"/>
      <c r="D144" s="31" t="s">
        <v>1223</v>
      </c>
      <c r="E144" s="30" t="s">
        <v>72</v>
      </c>
      <c r="F144" s="30" t="s">
        <v>84</v>
      </c>
      <c r="G144" s="30" t="s">
        <v>51</v>
      </c>
      <c r="H144" s="28" t="s">
        <v>191</v>
      </c>
      <c r="I144" s="30"/>
      <c r="J144" s="30" t="s">
        <v>53</v>
      </c>
      <c r="K144" s="30" t="s">
        <v>1224</v>
      </c>
      <c r="L144" s="30" t="s">
        <v>55</v>
      </c>
      <c r="M144" s="30" t="s">
        <v>1199</v>
      </c>
      <c r="N144" s="30" t="s">
        <v>1225</v>
      </c>
      <c r="O144" s="30" t="s">
        <v>1226</v>
      </c>
      <c r="P144" s="30" t="s">
        <v>1227</v>
      </c>
      <c r="Q144" s="28" t="s">
        <v>1228</v>
      </c>
      <c r="R144" s="30" t="s">
        <v>1229</v>
      </c>
      <c r="S144" s="30" t="s">
        <v>53</v>
      </c>
      <c r="T144" s="30"/>
      <c r="U144" s="28" t="s">
        <v>1221</v>
      </c>
      <c r="V144" s="30" t="s">
        <v>63</v>
      </c>
      <c r="W144" s="30" t="s">
        <v>64</v>
      </c>
      <c r="X144" s="32">
        <v>43862</v>
      </c>
      <c r="Y144" s="32">
        <v>45627</v>
      </c>
      <c r="Z144" s="30" t="s">
        <v>65</v>
      </c>
      <c r="AA144" s="28" t="s">
        <v>66</v>
      </c>
      <c r="AB144" s="28" t="s">
        <v>67</v>
      </c>
      <c r="AC144" s="29"/>
      <c r="AD144" s="28">
        <v>0</v>
      </c>
      <c r="AE144" s="29"/>
      <c r="AF144" s="31"/>
      <c r="AG144" s="30" t="s">
        <v>1205</v>
      </c>
      <c r="AH144" s="28"/>
      <c r="AI144" s="28" t="s">
        <v>53</v>
      </c>
      <c r="AJ144" s="33">
        <v>29390</v>
      </c>
      <c r="AK144" s="28">
        <v>8</v>
      </c>
      <c r="AL144" s="28">
        <v>18</v>
      </c>
      <c r="AM144" s="21" t="s">
        <v>69</v>
      </c>
      <c r="AN144" s="27"/>
      <c r="AO144" s="27"/>
      <c r="AP144" s="27"/>
      <c r="AQ144" s="27"/>
    </row>
    <row r="145" spans="1:43" ht="15.75" customHeight="1">
      <c r="A145" s="28">
        <v>3</v>
      </c>
      <c r="B145" s="29" t="s">
        <v>1230</v>
      </c>
      <c r="C145" s="30" t="s">
        <v>1231</v>
      </c>
      <c r="D145" s="31" t="s">
        <v>1232</v>
      </c>
      <c r="E145" s="30" t="s">
        <v>72</v>
      </c>
      <c r="F145" s="30" t="s">
        <v>50</v>
      </c>
      <c r="G145" s="30" t="s">
        <v>51</v>
      </c>
      <c r="H145" s="28" t="s">
        <v>85</v>
      </c>
      <c r="I145" s="30"/>
      <c r="J145" s="30" t="s">
        <v>53</v>
      </c>
      <c r="K145" s="30" t="s">
        <v>1233</v>
      </c>
      <c r="L145" s="30" t="s">
        <v>112</v>
      </c>
      <c r="M145" s="30" t="s">
        <v>113</v>
      </c>
      <c r="N145" s="30" t="s">
        <v>1234</v>
      </c>
      <c r="O145" s="30" t="s">
        <v>1235</v>
      </c>
      <c r="P145" s="30" t="s">
        <v>1236</v>
      </c>
      <c r="Q145" s="28" t="s">
        <v>1237</v>
      </c>
      <c r="R145" s="30" t="s">
        <v>1238</v>
      </c>
      <c r="S145" s="30" t="s">
        <v>53</v>
      </c>
      <c r="T145" s="30"/>
      <c r="U145" s="28" t="s">
        <v>1239</v>
      </c>
      <c r="V145" s="30" t="s">
        <v>63</v>
      </c>
      <c r="W145" s="30" t="s">
        <v>64</v>
      </c>
      <c r="X145" s="32">
        <v>44958</v>
      </c>
      <c r="Y145" s="32">
        <v>46054</v>
      </c>
      <c r="Z145" s="30" t="s">
        <v>65</v>
      </c>
      <c r="AA145" s="28" t="s">
        <v>134</v>
      </c>
      <c r="AB145" s="28" t="s">
        <v>67</v>
      </c>
      <c r="AC145" s="29"/>
      <c r="AD145" s="28">
        <v>0</v>
      </c>
      <c r="AE145" s="29"/>
      <c r="AF145" s="31"/>
      <c r="AG145" s="30" t="s">
        <v>1205</v>
      </c>
      <c r="AH145" s="28"/>
      <c r="AI145" s="28" t="s">
        <v>53</v>
      </c>
      <c r="AJ145" s="33">
        <v>28910</v>
      </c>
      <c r="AK145" s="28">
        <v>5</v>
      </c>
      <c r="AL145" s="28">
        <v>15</v>
      </c>
      <c r="AM145" s="21" t="s">
        <v>69</v>
      </c>
      <c r="AN145" s="27"/>
      <c r="AO145" s="27"/>
      <c r="AP145" s="27"/>
      <c r="AQ145" s="27"/>
    </row>
    <row r="146" spans="1:43" ht="15.75" customHeight="1">
      <c r="A146" s="28">
        <v>4</v>
      </c>
      <c r="B146" s="29" t="s">
        <v>1240</v>
      </c>
      <c r="C146" s="30" t="s">
        <v>1241</v>
      </c>
      <c r="D146" s="31" t="s">
        <v>1242</v>
      </c>
      <c r="E146" s="30" t="s">
        <v>49</v>
      </c>
      <c r="F146" s="30" t="s">
        <v>50</v>
      </c>
      <c r="G146" s="30" t="s">
        <v>51</v>
      </c>
      <c r="H146" s="28" t="s">
        <v>85</v>
      </c>
      <c r="I146" s="30"/>
      <c r="J146" s="30" t="s">
        <v>53</v>
      </c>
      <c r="K146" s="30" t="s">
        <v>1243</v>
      </c>
      <c r="L146" s="30" t="s">
        <v>55</v>
      </c>
      <c r="M146" s="30" t="s">
        <v>1199</v>
      </c>
      <c r="N146" s="30" t="s">
        <v>1244</v>
      </c>
      <c r="O146" s="30" t="s">
        <v>58</v>
      </c>
      <c r="P146" s="30" t="s">
        <v>1245</v>
      </c>
      <c r="Q146" s="28"/>
      <c r="R146" s="30" t="s">
        <v>1246</v>
      </c>
      <c r="S146" s="30" t="s">
        <v>53</v>
      </c>
      <c r="T146" s="30"/>
      <c r="U146" s="28" t="s">
        <v>1247</v>
      </c>
      <c r="V146" s="30" t="s">
        <v>63</v>
      </c>
      <c r="W146" s="30" t="s">
        <v>64</v>
      </c>
      <c r="X146" s="32">
        <v>44044</v>
      </c>
      <c r="Y146" s="32">
        <v>45870</v>
      </c>
      <c r="Z146" s="30" t="s">
        <v>65</v>
      </c>
      <c r="AA146" s="28" t="s">
        <v>66</v>
      </c>
      <c r="AB146" s="28" t="s">
        <v>67</v>
      </c>
      <c r="AC146" s="29"/>
      <c r="AD146" s="28">
        <v>0</v>
      </c>
      <c r="AE146" s="29"/>
      <c r="AF146" s="31"/>
      <c r="AG146" s="30" t="s">
        <v>1205</v>
      </c>
      <c r="AH146" s="28"/>
      <c r="AI146" s="28" t="s">
        <v>53</v>
      </c>
      <c r="AJ146" s="33">
        <v>37031</v>
      </c>
      <c r="AK146" s="28">
        <v>7</v>
      </c>
      <c r="AL146" s="28">
        <v>15</v>
      </c>
      <c r="AM146" s="21" t="s">
        <v>69</v>
      </c>
      <c r="AN146" s="27"/>
      <c r="AO146" s="27"/>
      <c r="AP146" s="27"/>
      <c r="AQ146" s="27"/>
    </row>
    <row r="147" spans="1:43" ht="15.75" customHeight="1">
      <c r="A147" s="28">
        <v>1</v>
      </c>
      <c r="B147" s="29" t="s">
        <v>1248</v>
      </c>
      <c r="C147" s="30" t="s">
        <v>1249</v>
      </c>
      <c r="D147" s="31" t="s">
        <v>1250</v>
      </c>
      <c r="E147" s="30" t="s">
        <v>49</v>
      </c>
      <c r="F147" s="30" t="s">
        <v>50</v>
      </c>
      <c r="G147" s="30" t="s">
        <v>51</v>
      </c>
      <c r="H147" s="28" t="s">
        <v>85</v>
      </c>
      <c r="I147" s="30"/>
      <c r="J147" s="30" t="s">
        <v>53</v>
      </c>
      <c r="K147" s="30" t="s">
        <v>269</v>
      </c>
      <c r="L147" s="30" t="s">
        <v>55</v>
      </c>
      <c r="M147" s="30" t="s">
        <v>270</v>
      </c>
      <c r="N147" s="30" t="s">
        <v>1251</v>
      </c>
      <c r="O147" s="30" t="s">
        <v>1252</v>
      </c>
      <c r="P147" s="30" t="s">
        <v>1253</v>
      </c>
      <c r="Q147" s="28" t="s">
        <v>1254</v>
      </c>
      <c r="R147" s="30" t="s">
        <v>1255</v>
      </c>
      <c r="S147" s="30" t="s">
        <v>53</v>
      </c>
      <c r="T147" s="30"/>
      <c r="U147" s="28" t="s">
        <v>1256</v>
      </c>
      <c r="V147" s="30" t="s">
        <v>63</v>
      </c>
      <c r="W147" s="30" t="s">
        <v>266</v>
      </c>
      <c r="X147" s="32">
        <v>43466</v>
      </c>
      <c r="Y147" s="32">
        <v>45474</v>
      </c>
      <c r="Z147" s="30" t="s">
        <v>65</v>
      </c>
      <c r="AA147" s="28" t="s">
        <v>66</v>
      </c>
      <c r="AB147" s="28" t="s">
        <v>67</v>
      </c>
      <c r="AC147" s="29"/>
      <c r="AD147" s="28">
        <v>0</v>
      </c>
      <c r="AE147" s="29"/>
      <c r="AF147" s="31"/>
      <c r="AG147" s="30" t="s">
        <v>1257</v>
      </c>
      <c r="AH147" s="28"/>
      <c r="AI147" s="28" t="s">
        <v>53</v>
      </c>
      <c r="AJ147" s="33">
        <v>37258</v>
      </c>
      <c r="AK147" s="28">
        <v>7</v>
      </c>
      <c r="AL147" s="28">
        <v>19</v>
      </c>
      <c r="AM147" s="21" t="s">
        <v>69</v>
      </c>
      <c r="AN147" s="27"/>
      <c r="AO147" s="27"/>
      <c r="AP147" s="27"/>
      <c r="AQ147" s="27"/>
    </row>
    <row r="148" spans="1:43" ht="15.75" customHeight="1">
      <c r="A148" s="28">
        <v>1</v>
      </c>
      <c r="B148" s="29" t="s">
        <v>1258</v>
      </c>
      <c r="C148" s="30"/>
      <c r="D148" s="31" t="s">
        <v>1259</v>
      </c>
      <c r="E148" s="30" t="s">
        <v>72</v>
      </c>
      <c r="F148" s="30" t="s">
        <v>50</v>
      </c>
      <c r="G148" s="30" t="s">
        <v>51</v>
      </c>
      <c r="H148" s="28" t="s">
        <v>85</v>
      </c>
      <c r="I148" s="30"/>
      <c r="J148" s="30" t="s">
        <v>53</v>
      </c>
      <c r="K148" s="30" t="s">
        <v>269</v>
      </c>
      <c r="L148" s="30" t="s">
        <v>55</v>
      </c>
      <c r="M148" s="30" t="s">
        <v>270</v>
      </c>
      <c r="N148" s="30" t="s">
        <v>1260</v>
      </c>
      <c r="O148" s="30" t="s">
        <v>1261</v>
      </c>
      <c r="P148" s="30" t="s">
        <v>1262</v>
      </c>
      <c r="Q148" s="28" t="s">
        <v>1263</v>
      </c>
      <c r="R148" s="30" t="s">
        <v>1264</v>
      </c>
      <c r="S148" s="30" t="s">
        <v>53</v>
      </c>
      <c r="T148" s="30"/>
      <c r="U148" s="28" t="s">
        <v>276</v>
      </c>
      <c r="V148" s="30" t="s">
        <v>63</v>
      </c>
      <c r="W148" s="30" t="s">
        <v>64</v>
      </c>
      <c r="X148" s="32">
        <v>44228</v>
      </c>
      <c r="Y148" s="32">
        <v>45992</v>
      </c>
      <c r="Z148" s="30" t="s">
        <v>65</v>
      </c>
      <c r="AA148" s="28" t="s">
        <v>66</v>
      </c>
      <c r="AB148" s="28" t="s">
        <v>67</v>
      </c>
      <c r="AC148" s="29"/>
      <c r="AD148" s="28">
        <v>0</v>
      </c>
      <c r="AE148" s="29"/>
      <c r="AF148" s="31"/>
      <c r="AG148" s="30" t="s">
        <v>1265</v>
      </c>
      <c r="AH148" s="28"/>
      <c r="AI148" s="28" t="s">
        <v>53</v>
      </c>
      <c r="AJ148" s="33">
        <v>37088</v>
      </c>
      <c r="AK148" s="28">
        <v>6</v>
      </c>
      <c r="AL148" s="28">
        <v>24</v>
      </c>
      <c r="AM148" s="21" t="s">
        <v>69</v>
      </c>
      <c r="AN148" s="27"/>
      <c r="AO148" s="27"/>
      <c r="AP148" s="27"/>
      <c r="AQ148" s="27"/>
    </row>
    <row r="149" spans="1:43" ht="15.75" customHeight="1">
      <c r="A149" s="28">
        <v>2</v>
      </c>
      <c r="B149" s="29" t="s">
        <v>1266</v>
      </c>
      <c r="C149" s="30"/>
      <c r="D149" s="31" t="s">
        <v>1267</v>
      </c>
      <c r="E149" s="30" t="s">
        <v>72</v>
      </c>
      <c r="F149" s="30" t="s">
        <v>616</v>
      </c>
      <c r="G149" s="30" t="s">
        <v>51</v>
      </c>
      <c r="H149" s="28" t="s">
        <v>191</v>
      </c>
      <c r="I149" s="30"/>
      <c r="J149" s="30" t="s">
        <v>53</v>
      </c>
      <c r="K149" s="30" t="s">
        <v>269</v>
      </c>
      <c r="L149" s="30" t="s">
        <v>55</v>
      </c>
      <c r="M149" s="30" t="s">
        <v>270</v>
      </c>
      <c r="N149" s="30" t="s">
        <v>1268</v>
      </c>
      <c r="O149" s="30" t="s">
        <v>1269</v>
      </c>
      <c r="P149" s="30" t="s">
        <v>1270</v>
      </c>
      <c r="Q149" s="28"/>
      <c r="R149" s="30" t="s">
        <v>1271</v>
      </c>
      <c r="S149" s="30" t="s">
        <v>53</v>
      </c>
      <c r="T149" s="30"/>
      <c r="U149" s="28" t="s">
        <v>284</v>
      </c>
      <c r="V149" s="30" t="s">
        <v>63</v>
      </c>
      <c r="W149" s="30" t="s">
        <v>64</v>
      </c>
      <c r="X149" s="32">
        <v>44409</v>
      </c>
      <c r="Y149" s="32">
        <v>45139</v>
      </c>
      <c r="Z149" s="30" t="s">
        <v>65</v>
      </c>
      <c r="AA149" s="28" t="s">
        <v>66</v>
      </c>
      <c r="AB149" s="28" t="s">
        <v>67</v>
      </c>
      <c r="AC149" s="29"/>
      <c r="AD149" s="28">
        <v>0</v>
      </c>
      <c r="AE149" s="29"/>
      <c r="AF149" s="31"/>
      <c r="AG149" s="30" t="s">
        <v>1265</v>
      </c>
      <c r="AH149" s="28"/>
      <c r="AI149" s="28" t="s">
        <v>118</v>
      </c>
      <c r="AJ149" s="33">
        <v>36380</v>
      </c>
      <c r="AK149" s="28">
        <v>5</v>
      </c>
      <c r="AL149" s="28">
        <v>19</v>
      </c>
      <c r="AM149" s="21" t="s">
        <v>69</v>
      </c>
      <c r="AN149" s="27"/>
      <c r="AO149" s="27"/>
      <c r="AP149" s="27"/>
      <c r="AQ149" s="27"/>
    </row>
    <row r="150" spans="1:43" ht="15.75" customHeight="1">
      <c r="A150" s="28">
        <v>3</v>
      </c>
      <c r="B150" s="29" t="s">
        <v>1272</v>
      </c>
      <c r="C150" s="30"/>
      <c r="D150" s="31" t="s">
        <v>1273</v>
      </c>
      <c r="E150" s="30" t="s">
        <v>72</v>
      </c>
      <c r="F150" s="30" t="s">
        <v>50</v>
      </c>
      <c r="G150" s="30" t="s">
        <v>51</v>
      </c>
      <c r="H150" s="28" t="s">
        <v>85</v>
      </c>
      <c r="I150" s="30"/>
      <c r="J150" s="30" t="s">
        <v>53</v>
      </c>
      <c r="K150" s="30" t="s">
        <v>269</v>
      </c>
      <c r="L150" s="30" t="s">
        <v>55</v>
      </c>
      <c r="M150" s="30" t="s">
        <v>270</v>
      </c>
      <c r="N150" s="30" t="s">
        <v>1274</v>
      </c>
      <c r="O150" s="30" t="s">
        <v>58</v>
      </c>
      <c r="P150" s="30" t="s">
        <v>1275</v>
      </c>
      <c r="Q150" s="28"/>
      <c r="R150" s="30" t="s">
        <v>1276</v>
      </c>
      <c r="S150" s="30" t="s">
        <v>53</v>
      </c>
      <c r="T150" s="30"/>
      <c r="U150" s="28" t="s">
        <v>348</v>
      </c>
      <c r="V150" s="30" t="s">
        <v>63</v>
      </c>
      <c r="W150" s="30" t="s">
        <v>64</v>
      </c>
      <c r="X150" s="32">
        <v>44409</v>
      </c>
      <c r="Y150" s="32">
        <v>46174</v>
      </c>
      <c r="Z150" s="30" t="s">
        <v>65</v>
      </c>
      <c r="AA150" s="28" t="s">
        <v>66</v>
      </c>
      <c r="AB150" s="28" t="s">
        <v>67</v>
      </c>
      <c r="AC150" s="29"/>
      <c r="AD150" s="28">
        <v>0</v>
      </c>
      <c r="AE150" s="29"/>
      <c r="AF150" s="31"/>
      <c r="AG150" s="30" t="s">
        <v>1265</v>
      </c>
      <c r="AH150" s="28"/>
      <c r="AI150" s="28" t="s">
        <v>118</v>
      </c>
      <c r="AJ150" s="33">
        <v>37605</v>
      </c>
      <c r="AK150" s="28">
        <v>5</v>
      </c>
      <c r="AL150" s="28">
        <v>18</v>
      </c>
      <c r="AM150" s="21" t="s">
        <v>69</v>
      </c>
      <c r="AN150" s="27"/>
      <c r="AO150" s="27"/>
      <c r="AP150" s="27"/>
      <c r="AQ150" s="27"/>
    </row>
    <row r="151" spans="1:43" ht="15.75" customHeight="1">
      <c r="A151" s="28">
        <v>4</v>
      </c>
      <c r="B151" s="29" t="s">
        <v>1277</v>
      </c>
      <c r="C151" s="30" t="s">
        <v>1278</v>
      </c>
      <c r="D151" s="31" t="s">
        <v>1279</v>
      </c>
      <c r="E151" s="30" t="s">
        <v>72</v>
      </c>
      <c r="F151" s="30" t="s">
        <v>50</v>
      </c>
      <c r="G151" s="30" t="s">
        <v>51</v>
      </c>
      <c r="H151" s="28" t="s">
        <v>85</v>
      </c>
      <c r="I151" s="30"/>
      <c r="J151" s="30" t="s">
        <v>53</v>
      </c>
      <c r="K151" s="30" t="s">
        <v>269</v>
      </c>
      <c r="L151" s="30" t="s">
        <v>55</v>
      </c>
      <c r="M151" s="30" t="s">
        <v>270</v>
      </c>
      <c r="N151" s="30" t="s">
        <v>1280</v>
      </c>
      <c r="O151" s="30" t="s">
        <v>1281</v>
      </c>
      <c r="P151" s="30" t="s">
        <v>1282</v>
      </c>
      <c r="Q151" s="28"/>
      <c r="R151" s="30" t="s">
        <v>1283</v>
      </c>
      <c r="S151" s="30" t="s">
        <v>53</v>
      </c>
      <c r="T151" s="30"/>
      <c r="U151" s="28" t="s">
        <v>308</v>
      </c>
      <c r="V151" s="30" t="s">
        <v>63</v>
      </c>
      <c r="W151" s="30" t="s">
        <v>64</v>
      </c>
      <c r="X151" s="32">
        <v>44197</v>
      </c>
      <c r="Y151" s="32">
        <v>45992</v>
      </c>
      <c r="Z151" s="30" t="s">
        <v>65</v>
      </c>
      <c r="AA151" s="28" t="s">
        <v>66</v>
      </c>
      <c r="AB151" s="28" t="s">
        <v>67</v>
      </c>
      <c r="AC151" s="29"/>
      <c r="AD151" s="28">
        <v>0</v>
      </c>
      <c r="AE151" s="29"/>
      <c r="AF151" s="31"/>
      <c r="AG151" s="30" t="s">
        <v>1265</v>
      </c>
      <c r="AH151" s="28"/>
      <c r="AI151" s="28" t="s">
        <v>53</v>
      </c>
      <c r="AJ151" s="33">
        <v>37582</v>
      </c>
      <c r="AK151" s="28">
        <v>6</v>
      </c>
      <c r="AL151" s="28">
        <v>17</v>
      </c>
      <c r="AM151" s="21" t="s">
        <v>69</v>
      </c>
      <c r="AN151" s="27"/>
      <c r="AO151" s="27"/>
      <c r="AP151" s="27"/>
      <c r="AQ151" s="27"/>
    </row>
    <row r="152" spans="1:43" ht="15.75" customHeight="1">
      <c r="A152" s="28">
        <v>1</v>
      </c>
      <c r="B152" s="29" t="s">
        <v>1284</v>
      </c>
      <c r="C152" s="30"/>
      <c r="D152" s="31" t="s">
        <v>1285</v>
      </c>
      <c r="E152" s="30" t="s">
        <v>72</v>
      </c>
      <c r="F152" s="30" t="s">
        <v>84</v>
      </c>
      <c r="G152" s="30" t="s">
        <v>51</v>
      </c>
      <c r="H152" s="28" t="s">
        <v>85</v>
      </c>
      <c r="I152" s="30"/>
      <c r="J152" s="30" t="s">
        <v>53</v>
      </c>
      <c r="K152" s="30" t="s">
        <v>1286</v>
      </c>
      <c r="L152" s="30" t="s">
        <v>55</v>
      </c>
      <c r="M152" s="30" t="s">
        <v>1287</v>
      </c>
      <c r="N152" s="30" t="s">
        <v>1288</v>
      </c>
      <c r="O152" s="30" t="s">
        <v>1289</v>
      </c>
      <c r="P152" s="30" t="s">
        <v>1290</v>
      </c>
      <c r="Q152" s="28" t="s">
        <v>1291</v>
      </c>
      <c r="R152" s="30" t="s">
        <v>1292</v>
      </c>
      <c r="S152" s="30" t="s">
        <v>53</v>
      </c>
      <c r="T152" s="30"/>
      <c r="U152" s="28" t="s">
        <v>1153</v>
      </c>
      <c r="V152" s="30" t="s">
        <v>63</v>
      </c>
      <c r="W152" s="30" t="s">
        <v>64</v>
      </c>
      <c r="X152" s="32">
        <v>42370</v>
      </c>
      <c r="Y152" s="32">
        <v>45627</v>
      </c>
      <c r="Z152" s="30" t="s">
        <v>65</v>
      </c>
      <c r="AA152" s="28" t="s">
        <v>66</v>
      </c>
      <c r="AB152" s="28" t="s">
        <v>67</v>
      </c>
      <c r="AC152" s="29"/>
      <c r="AD152" s="28">
        <v>0</v>
      </c>
      <c r="AE152" s="29"/>
      <c r="AF152" s="31"/>
      <c r="AG152" s="30" t="s">
        <v>1293</v>
      </c>
      <c r="AH152" s="28"/>
      <c r="AI152" s="28" t="s">
        <v>53</v>
      </c>
      <c r="AJ152" s="33">
        <v>34077</v>
      </c>
      <c r="AK152" s="28">
        <v>9</v>
      </c>
      <c r="AL152" s="28">
        <v>23</v>
      </c>
      <c r="AM152" s="21" t="s">
        <v>69</v>
      </c>
      <c r="AN152" s="27"/>
      <c r="AO152" s="27"/>
      <c r="AP152" s="27"/>
      <c r="AQ152" s="27"/>
    </row>
    <row r="153" spans="1:43" ht="15.75" customHeight="1">
      <c r="A153" s="28">
        <v>2</v>
      </c>
      <c r="B153" s="29" t="s">
        <v>1294</v>
      </c>
      <c r="C153" s="30"/>
      <c r="D153" s="31" t="s">
        <v>1295</v>
      </c>
      <c r="E153" s="30" t="s">
        <v>72</v>
      </c>
      <c r="F153" s="30" t="s">
        <v>50</v>
      </c>
      <c r="G153" s="30" t="s">
        <v>51</v>
      </c>
      <c r="H153" s="28" t="s">
        <v>52</v>
      </c>
      <c r="I153" s="30"/>
      <c r="J153" s="30" t="s">
        <v>53</v>
      </c>
      <c r="K153" s="30" t="s">
        <v>1286</v>
      </c>
      <c r="L153" s="30" t="s">
        <v>55</v>
      </c>
      <c r="M153" s="30" t="s">
        <v>1287</v>
      </c>
      <c r="N153" s="30" t="s">
        <v>1296</v>
      </c>
      <c r="O153" s="30" t="s">
        <v>1297</v>
      </c>
      <c r="P153" s="30" t="s">
        <v>1298</v>
      </c>
      <c r="Q153" s="28" t="s">
        <v>1299</v>
      </c>
      <c r="R153" s="30" t="s">
        <v>1300</v>
      </c>
      <c r="S153" s="30" t="s">
        <v>53</v>
      </c>
      <c r="T153" s="30"/>
      <c r="U153" s="28" t="s">
        <v>1301</v>
      </c>
      <c r="V153" s="30" t="s">
        <v>63</v>
      </c>
      <c r="W153" s="30" t="s">
        <v>64</v>
      </c>
      <c r="X153" s="32">
        <v>44197</v>
      </c>
      <c r="Y153" s="32">
        <v>45992</v>
      </c>
      <c r="Z153" s="30" t="s">
        <v>65</v>
      </c>
      <c r="AA153" s="28" t="s">
        <v>66</v>
      </c>
      <c r="AB153" s="28" t="s">
        <v>67</v>
      </c>
      <c r="AC153" s="29"/>
      <c r="AD153" s="28">
        <v>0</v>
      </c>
      <c r="AE153" s="29"/>
      <c r="AF153" s="31"/>
      <c r="AG153" s="30" t="s">
        <v>1293</v>
      </c>
      <c r="AH153" s="28"/>
      <c r="AI153" s="28" t="s">
        <v>53</v>
      </c>
      <c r="AJ153" s="33">
        <v>37703</v>
      </c>
      <c r="AK153" s="28">
        <v>6</v>
      </c>
      <c r="AL153" s="28">
        <v>16</v>
      </c>
      <c r="AM153" s="21" t="s">
        <v>69</v>
      </c>
      <c r="AN153" s="27"/>
      <c r="AO153" s="27"/>
      <c r="AP153" s="27"/>
      <c r="AQ153" s="27"/>
    </row>
    <row r="154" spans="1:43" ht="15.75" customHeight="1">
      <c r="A154" s="28">
        <v>1</v>
      </c>
      <c r="B154" s="29" t="s">
        <v>1302</v>
      </c>
      <c r="C154" s="30"/>
      <c r="D154" s="31" t="s">
        <v>1303</v>
      </c>
      <c r="E154" s="30" t="s">
        <v>72</v>
      </c>
      <c r="F154" s="30" t="s">
        <v>50</v>
      </c>
      <c r="G154" s="30" t="s">
        <v>51</v>
      </c>
      <c r="H154" s="28" t="s">
        <v>52</v>
      </c>
      <c r="I154" s="30"/>
      <c r="J154" s="30" t="s">
        <v>53</v>
      </c>
      <c r="K154" s="30" t="s">
        <v>1304</v>
      </c>
      <c r="L154" s="30" t="s">
        <v>55</v>
      </c>
      <c r="M154" s="30" t="s">
        <v>1305</v>
      </c>
      <c r="N154" s="30" t="s">
        <v>1306</v>
      </c>
      <c r="O154" s="30" t="s">
        <v>1307</v>
      </c>
      <c r="P154" s="30" t="s">
        <v>1308</v>
      </c>
      <c r="Q154" s="28"/>
      <c r="R154" s="30" t="s">
        <v>1309</v>
      </c>
      <c r="S154" s="30" t="s">
        <v>53</v>
      </c>
      <c r="T154" s="30"/>
      <c r="U154" s="28" t="s">
        <v>1310</v>
      </c>
      <c r="V154" s="30" t="s">
        <v>63</v>
      </c>
      <c r="W154" s="30" t="s">
        <v>64</v>
      </c>
      <c r="X154" s="32">
        <v>44593</v>
      </c>
      <c r="Y154" s="32">
        <v>46692</v>
      </c>
      <c r="Z154" s="30" t="s">
        <v>65</v>
      </c>
      <c r="AA154" s="28" t="s">
        <v>66</v>
      </c>
      <c r="AB154" s="28" t="s">
        <v>67</v>
      </c>
      <c r="AC154" s="29"/>
      <c r="AD154" s="28">
        <v>0</v>
      </c>
      <c r="AE154" s="29"/>
      <c r="AF154" s="31"/>
      <c r="AG154" s="30" t="s">
        <v>1311</v>
      </c>
      <c r="AH154" s="28"/>
      <c r="AI154" s="28" t="s">
        <v>53</v>
      </c>
      <c r="AJ154" s="33">
        <v>35879</v>
      </c>
      <c r="AK154" s="28">
        <v>5</v>
      </c>
      <c r="AL154" s="28">
        <v>19</v>
      </c>
      <c r="AM154" s="21" t="s">
        <v>69</v>
      </c>
      <c r="AN154" s="27"/>
      <c r="AO154" s="27"/>
      <c r="AP154" s="27"/>
      <c r="AQ154" s="27"/>
    </row>
    <row r="155" spans="1:43" ht="15.75" customHeight="1">
      <c r="A155" s="28">
        <v>2</v>
      </c>
      <c r="B155" s="29" t="s">
        <v>1312</v>
      </c>
      <c r="C155" s="30"/>
      <c r="D155" s="31" t="s">
        <v>1313</v>
      </c>
      <c r="E155" s="30" t="s">
        <v>49</v>
      </c>
      <c r="F155" s="30" t="s">
        <v>50</v>
      </c>
      <c r="G155" s="30" t="s">
        <v>51</v>
      </c>
      <c r="H155" s="28" t="s">
        <v>85</v>
      </c>
      <c r="I155" s="30"/>
      <c r="J155" s="30" t="s">
        <v>53</v>
      </c>
      <c r="K155" s="30" t="s">
        <v>1304</v>
      </c>
      <c r="L155" s="30" t="s">
        <v>55</v>
      </c>
      <c r="M155" s="30" t="s">
        <v>1305</v>
      </c>
      <c r="N155" s="30" t="s">
        <v>1314</v>
      </c>
      <c r="O155" s="30" t="s">
        <v>1315</v>
      </c>
      <c r="P155" s="30" t="s">
        <v>1316</v>
      </c>
      <c r="Q155" s="28" t="s">
        <v>1317</v>
      </c>
      <c r="R155" s="30" t="s">
        <v>1318</v>
      </c>
      <c r="S155" s="30" t="s">
        <v>53</v>
      </c>
      <c r="T155" s="30"/>
      <c r="U155" s="28" t="s">
        <v>1319</v>
      </c>
      <c r="V155" s="30" t="s">
        <v>63</v>
      </c>
      <c r="W155" s="30" t="s">
        <v>64</v>
      </c>
      <c r="X155" s="32">
        <v>44562</v>
      </c>
      <c r="Y155" s="32">
        <v>46023</v>
      </c>
      <c r="Z155" s="30" t="s">
        <v>65</v>
      </c>
      <c r="AA155" s="28" t="s">
        <v>66</v>
      </c>
      <c r="AB155" s="28" t="s">
        <v>67</v>
      </c>
      <c r="AC155" s="29"/>
      <c r="AD155" s="28">
        <v>0</v>
      </c>
      <c r="AE155" s="29"/>
      <c r="AF155" s="31"/>
      <c r="AG155" s="30" t="s">
        <v>1311</v>
      </c>
      <c r="AH155" s="28"/>
      <c r="AI155" s="28" t="s">
        <v>53</v>
      </c>
      <c r="AJ155" s="33">
        <v>37075</v>
      </c>
      <c r="AK155" s="28">
        <v>5</v>
      </c>
      <c r="AL155" s="28">
        <v>18</v>
      </c>
      <c r="AM155" s="21" t="s">
        <v>69</v>
      </c>
      <c r="AN155" s="27"/>
      <c r="AO155" s="27"/>
      <c r="AP155" s="27"/>
      <c r="AQ155" s="27"/>
    </row>
    <row r="156" spans="1:43" ht="15.75" customHeight="1">
      <c r="A156" s="28">
        <v>1</v>
      </c>
      <c r="B156" s="29" t="s">
        <v>1320</v>
      </c>
      <c r="C156" s="30"/>
      <c r="D156" s="31" t="s">
        <v>1321</v>
      </c>
      <c r="E156" s="30" t="s">
        <v>72</v>
      </c>
      <c r="F156" s="30" t="s">
        <v>50</v>
      </c>
      <c r="G156" s="30" t="s">
        <v>51</v>
      </c>
      <c r="H156" s="28" t="s">
        <v>85</v>
      </c>
      <c r="I156" s="30"/>
      <c r="J156" s="30" t="s">
        <v>53</v>
      </c>
      <c r="K156" s="30" t="s">
        <v>1322</v>
      </c>
      <c r="L156" s="30" t="s">
        <v>55</v>
      </c>
      <c r="M156" s="30" t="s">
        <v>1323</v>
      </c>
      <c r="N156" s="30" t="s">
        <v>1324</v>
      </c>
      <c r="O156" s="30" t="s">
        <v>1325</v>
      </c>
      <c r="P156" s="30" t="s">
        <v>1326</v>
      </c>
      <c r="Q156" s="28" t="s">
        <v>1327</v>
      </c>
      <c r="R156" s="30" t="s">
        <v>1328</v>
      </c>
      <c r="S156" s="30" t="s">
        <v>53</v>
      </c>
      <c r="T156" s="30"/>
      <c r="U156" s="28" t="s">
        <v>1329</v>
      </c>
      <c r="V156" s="30" t="s">
        <v>63</v>
      </c>
      <c r="W156" s="30" t="s">
        <v>64</v>
      </c>
      <c r="X156" s="32">
        <v>43831</v>
      </c>
      <c r="Y156" s="32">
        <v>45627</v>
      </c>
      <c r="Z156" s="30" t="s">
        <v>65</v>
      </c>
      <c r="AA156" s="28" t="s">
        <v>66</v>
      </c>
      <c r="AB156" s="28" t="s">
        <v>67</v>
      </c>
      <c r="AC156" s="29"/>
      <c r="AD156" s="28">
        <v>0</v>
      </c>
      <c r="AE156" s="29"/>
      <c r="AF156" s="31"/>
      <c r="AG156" s="30" t="s">
        <v>1330</v>
      </c>
      <c r="AH156" s="28"/>
      <c r="AI156" s="28" t="s">
        <v>118</v>
      </c>
      <c r="AJ156" s="33">
        <v>36434</v>
      </c>
      <c r="AK156" s="28">
        <v>8</v>
      </c>
      <c r="AL156" s="28">
        <v>16</v>
      </c>
      <c r="AM156" s="21" t="s">
        <v>69</v>
      </c>
      <c r="AN156" s="27"/>
      <c r="AO156" s="27"/>
      <c r="AP156" s="27"/>
      <c r="AQ156" s="27"/>
    </row>
    <row r="157" spans="1:43" ht="15.75" customHeight="1">
      <c r="A157" s="28">
        <v>1</v>
      </c>
      <c r="B157" s="29" t="s">
        <v>1331</v>
      </c>
      <c r="C157" s="30"/>
      <c r="D157" s="31" t="s">
        <v>1332</v>
      </c>
      <c r="E157" s="30" t="s">
        <v>49</v>
      </c>
      <c r="F157" s="30" t="s">
        <v>50</v>
      </c>
      <c r="G157" s="30" t="s">
        <v>51</v>
      </c>
      <c r="H157" s="28" t="s">
        <v>52</v>
      </c>
      <c r="I157" s="30"/>
      <c r="J157" s="30" t="s">
        <v>53</v>
      </c>
      <c r="K157" s="30" t="s">
        <v>1333</v>
      </c>
      <c r="L157" s="30" t="s">
        <v>55</v>
      </c>
      <c r="M157" s="30" t="s">
        <v>1334</v>
      </c>
      <c r="N157" s="30" t="s">
        <v>1335</v>
      </c>
      <c r="O157" s="30" t="s">
        <v>58</v>
      </c>
      <c r="P157" s="30" t="s">
        <v>1336</v>
      </c>
      <c r="Q157" s="28"/>
      <c r="R157" s="30" t="s">
        <v>1337</v>
      </c>
      <c r="S157" s="30" t="s">
        <v>53</v>
      </c>
      <c r="T157" s="30"/>
      <c r="U157" s="28" t="s">
        <v>1004</v>
      </c>
      <c r="V157" s="30" t="s">
        <v>63</v>
      </c>
      <c r="W157" s="30" t="s">
        <v>64</v>
      </c>
      <c r="X157" s="32">
        <v>43891</v>
      </c>
      <c r="Y157" s="32">
        <v>45627</v>
      </c>
      <c r="Z157" s="30" t="s">
        <v>65</v>
      </c>
      <c r="AA157" s="28" t="s">
        <v>66</v>
      </c>
      <c r="AB157" s="28" t="s">
        <v>67</v>
      </c>
      <c r="AC157" s="29"/>
      <c r="AD157" s="28">
        <v>0</v>
      </c>
      <c r="AE157" s="29"/>
      <c r="AF157" s="31"/>
      <c r="AG157" s="30" t="s">
        <v>1338</v>
      </c>
      <c r="AH157" s="28"/>
      <c r="AI157" s="28" t="s">
        <v>53</v>
      </c>
      <c r="AJ157" s="33">
        <v>37296</v>
      </c>
      <c r="AK157" s="28">
        <v>8</v>
      </c>
      <c r="AL157" s="28">
        <v>23</v>
      </c>
      <c r="AM157" s="21" t="s">
        <v>69</v>
      </c>
      <c r="AN157" s="27"/>
      <c r="AO157" s="27"/>
      <c r="AP157" s="27"/>
      <c r="AQ157" s="27"/>
    </row>
    <row r="158" spans="1:43" ht="15.75" customHeight="1">
      <c r="A158" s="28">
        <v>1</v>
      </c>
      <c r="B158" s="29" t="s">
        <v>1339</v>
      </c>
      <c r="C158" s="30"/>
      <c r="D158" s="31" t="s">
        <v>1340</v>
      </c>
      <c r="E158" s="30" t="s">
        <v>72</v>
      </c>
      <c r="F158" s="30" t="s">
        <v>50</v>
      </c>
      <c r="G158" s="30" t="s">
        <v>51</v>
      </c>
      <c r="H158" s="28" t="s">
        <v>85</v>
      </c>
      <c r="I158" s="30"/>
      <c r="J158" s="30" t="s">
        <v>53</v>
      </c>
      <c r="K158" s="30" t="s">
        <v>1341</v>
      </c>
      <c r="L158" s="30" t="s">
        <v>55</v>
      </c>
      <c r="M158" s="30" t="s">
        <v>1342</v>
      </c>
      <c r="N158" s="30" t="s">
        <v>1343</v>
      </c>
      <c r="O158" s="30" t="s">
        <v>58</v>
      </c>
      <c r="P158" s="30" t="s">
        <v>1344</v>
      </c>
      <c r="Q158" s="28" t="s">
        <v>1345</v>
      </c>
      <c r="R158" s="30" t="s">
        <v>1346</v>
      </c>
      <c r="S158" s="30" t="s">
        <v>53</v>
      </c>
      <c r="T158" s="30"/>
      <c r="U158" s="28" t="s">
        <v>1347</v>
      </c>
      <c r="V158" s="30" t="s">
        <v>63</v>
      </c>
      <c r="W158" s="30" t="s">
        <v>64</v>
      </c>
      <c r="X158" s="32">
        <v>44256</v>
      </c>
      <c r="Y158" s="32">
        <v>45962</v>
      </c>
      <c r="Z158" s="30" t="s">
        <v>65</v>
      </c>
      <c r="AA158" s="28" t="s">
        <v>66</v>
      </c>
      <c r="AB158" s="28" t="s">
        <v>67</v>
      </c>
      <c r="AC158" s="29"/>
      <c r="AD158" s="28">
        <v>0</v>
      </c>
      <c r="AE158" s="29"/>
      <c r="AF158" s="31"/>
      <c r="AG158" s="30" t="s">
        <v>1348</v>
      </c>
      <c r="AH158" s="28"/>
      <c r="AI158" s="28" t="s">
        <v>53</v>
      </c>
      <c r="AJ158" s="33">
        <v>37874</v>
      </c>
      <c r="AK158" s="28">
        <v>6</v>
      </c>
      <c r="AL158" s="28">
        <v>22</v>
      </c>
      <c r="AM158" s="21" t="s">
        <v>69</v>
      </c>
      <c r="AN158" s="27"/>
      <c r="AO158" s="27"/>
      <c r="AP158" s="27"/>
      <c r="AQ158" s="27"/>
    </row>
    <row r="159" spans="1:43" ht="15.75" customHeight="1">
      <c r="A159" s="28">
        <v>2</v>
      </c>
      <c r="B159" s="29" t="s">
        <v>1349</v>
      </c>
      <c r="C159" s="30"/>
      <c r="D159" s="31" t="s">
        <v>1350</v>
      </c>
      <c r="E159" s="30" t="s">
        <v>49</v>
      </c>
      <c r="F159" s="30" t="s">
        <v>50</v>
      </c>
      <c r="G159" s="30" t="s">
        <v>51</v>
      </c>
      <c r="H159" s="28" t="s">
        <v>52</v>
      </c>
      <c r="I159" s="30"/>
      <c r="J159" s="30" t="s">
        <v>53</v>
      </c>
      <c r="K159" s="30" t="s">
        <v>1341</v>
      </c>
      <c r="L159" s="30" t="s">
        <v>55</v>
      </c>
      <c r="M159" s="30" t="s">
        <v>1342</v>
      </c>
      <c r="N159" s="30" t="s">
        <v>1351</v>
      </c>
      <c r="O159" s="30" t="s">
        <v>1352</v>
      </c>
      <c r="P159" s="30" t="s">
        <v>1353</v>
      </c>
      <c r="Q159" s="28"/>
      <c r="R159" s="30" t="s">
        <v>1354</v>
      </c>
      <c r="S159" s="30" t="s">
        <v>53</v>
      </c>
      <c r="T159" s="30"/>
      <c r="U159" s="28" t="s">
        <v>765</v>
      </c>
      <c r="V159" s="30" t="s">
        <v>63</v>
      </c>
      <c r="W159" s="30" t="s">
        <v>64</v>
      </c>
      <c r="X159" s="32">
        <v>44593</v>
      </c>
      <c r="Y159" s="32">
        <v>46357</v>
      </c>
      <c r="Z159" s="30" t="s">
        <v>65</v>
      </c>
      <c r="AA159" s="28" t="s">
        <v>66</v>
      </c>
      <c r="AB159" s="28" t="s">
        <v>67</v>
      </c>
      <c r="AC159" s="29"/>
      <c r="AD159" s="28">
        <v>0</v>
      </c>
      <c r="AE159" s="29"/>
      <c r="AF159" s="31"/>
      <c r="AG159" s="30" t="s">
        <v>1348</v>
      </c>
      <c r="AH159" s="28"/>
      <c r="AI159" s="28" t="s">
        <v>118</v>
      </c>
      <c r="AJ159" s="33">
        <v>38098</v>
      </c>
      <c r="AK159" s="28">
        <v>5</v>
      </c>
      <c r="AL159" s="28">
        <v>18</v>
      </c>
      <c r="AM159" s="21" t="s">
        <v>69</v>
      </c>
      <c r="AN159" s="27"/>
      <c r="AO159" s="27"/>
      <c r="AP159" s="27"/>
      <c r="AQ159" s="27"/>
    </row>
    <row r="160" spans="1:43" ht="15.75" customHeight="1">
      <c r="A160" s="28">
        <v>1</v>
      </c>
      <c r="B160" s="29" t="s">
        <v>1355</v>
      </c>
      <c r="C160" s="30"/>
      <c r="D160" s="31" t="s">
        <v>1356</v>
      </c>
      <c r="E160" s="30" t="s">
        <v>72</v>
      </c>
      <c r="F160" s="30" t="s">
        <v>50</v>
      </c>
      <c r="G160" s="30" t="s">
        <v>51</v>
      </c>
      <c r="H160" s="28" t="s">
        <v>52</v>
      </c>
      <c r="I160" s="30"/>
      <c r="J160" s="30" t="s">
        <v>53</v>
      </c>
      <c r="K160" s="30" t="s">
        <v>1357</v>
      </c>
      <c r="L160" s="30" t="s">
        <v>55</v>
      </c>
      <c r="M160" s="30" t="s">
        <v>1358</v>
      </c>
      <c r="N160" s="30" t="s">
        <v>1359</v>
      </c>
      <c r="O160" s="30" t="s">
        <v>58</v>
      </c>
      <c r="P160" s="30" t="s">
        <v>1360</v>
      </c>
      <c r="Q160" s="28"/>
      <c r="R160" s="30" t="s">
        <v>1361</v>
      </c>
      <c r="S160" s="30" t="s">
        <v>53</v>
      </c>
      <c r="T160" s="30"/>
      <c r="U160" s="28" t="s">
        <v>1362</v>
      </c>
      <c r="V160" s="30" t="s">
        <v>63</v>
      </c>
      <c r="W160" s="30" t="s">
        <v>64</v>
      </c>
      <c r="X160" s="32">
        <v>44256</v>
      </c>
      <c r="Y160" s="32">
        <v>45992</v>
      </c>
      <c r="Z160" s="30" t="s">
        <v>65</v>
      </c>
      <c r="AA160" s="28" t="s">
        <v>66</v>
      </c>
      <c r="AB160" s="28" t="s">
        <v>67</v>
      </c>
      <c r="AC160" s="29"/>
      <c r="AD160" s="28">
        <v>0</v>
      </c>
      <c r="AE160" s="29"/>
      <c r="AF160" s="31"/>
      <c r="AG160" s="30" t="s">
        <v>1363</v>
      </c>
      <c r="AH160" s="28"/>
      <c r="AI160" s="28" t="s">
        <v>118</v>
      </c>
      <c r="AJ160" s="33">
        <v>37660</v>
      </c>
      <c r="AK160" s="28">
        <v>6</v>
      </c>
      <c r="AL160" s="28">
        <v>18</v>
      </c>
      <c r="AM160" s="21" t="s">
        <v>69</v>
      </c>
      <c r="AN160" s="27"/>
      <c r="AO160" s="27"/>
      <c r="AP160" s="27"/>
      <c r="AQ160" s="27"/>
    </row>
    <row r="161" spans="1:43" ht="15.75" customHeight="1">
      <c r="A161" s="28">
        <v>1</v>
      </c>
      <c r="B161" s="29" t="s">
        <v>1364</v>
      </c>
      <c r="C161" s="30"/>
      <c r="D161" s="31" t="s">
        <v>1365</v>
      </c>
      <c r="E161" s="30" t="s">
        <v>72</v>
      </c>
      <c r="F161" s="30" t="s">
        <v>50</v>
      </c>
      <c r="G161" s="30" t="s">
        <v>51</v>
      </c>
      <c r="H161" s="28" t="s">
        <v>85</v>
      </c>
      <c r="I161" s="30"/>
      <c r="J161" s="30" t="s">
        <v>53</v>
      </c>
      <c r="K161" s="30" t="s">
        <v>1366</v>
      </c>
      <c r="L161" s="30" t="s">
        <v>55</v>
      </c>
      <c r="M161" s="30" t="s">
        <v>1367</v>
      </c>
      <c r="N161" s="30" t="s">
        <v>1368</v>
      </c>
      <c r="O161" s="30" t="s">
        <v>58</v>
      </c>
      <c r="P161" s="30" t="s">
        <v>1369</v>
      </c>
      <c r="Q161" s="28"/>
      <c r="R161" s="30" t="s">
        <v>1370</v>
      </c>
      <c r="S161" s="30" t="s">
        <v>53</v>
      </c>
      <c r="T161" s="30"/>
      <c r="U161" s="28" t="s">
        <v>1347</v>
      </c>
      <c r="V161" s="30" t="s">
        <v>63</v>
      </c>
      <c r="W161" s="30" t="s">
        <v>64</v>
      </c>
      <c r="X161" s="32">
        <v>44228</v>
      </c>
      <c r="Y161" s="32">
        <v>45992</v>
      </c>
      <c r="Z161" s="30" t="s">
        <v>65</v>
      </c>
      <c r="AA161" s="28" t="s">
        <v>134</v>
      </c>
      <c r="AB161" s="28" t="s">
        <v>67</v>
      </c>
      <c r="AC161" s="29"/>
      <c r="AD161" s="28">
        <v>0</v>
      </c>
      <c r="AE161" s="29"/>
      <c r="AF161" s="31"/>
      <c r="AG161" s="30" t="s">
        <v>1371</v>
      </c>
      <c r="AH161" s="28"/>
      <c r="AI161" s="28" t="s">
        <v>53</v>
      </c>
      <c r="AJ161" s="33">
        <v>37676</v>
      </c>
      <c r="AK161" s="28">
        <v>6</v>
      </c>
      <c r="AL161" s="28">
        <v>19</v>
      </c>
      <c r="AM161" s="21" t="s">
        <v>69</v>
      </c>
      <c r="AN161" s="27"/>
      <c r="AO161" s="27"/>
      <c r="AP161" s="27"/>
      <c r="AQ161" s="27"/>
    </row>
    <row r="162" spans="1:43" ht="15.75" customHeight="1">
      <c r="A162" s="28">
        <v>1</v>
      </c>
      <c r="B162" s="29" t="s">
        <v>1372</v>
      </c>
      <c r="C162" s="30" t="s">
        <v>1373</v>
      </c>
      <c r="D162" s="31" t="s">
        <v>1374</v>
      </c>
      <c r="E162" s="30" t="s">
        <v>72</v>
      </c>
      <c r="F162" s="30" t="s">
        <v>50</v>
      </c>
      <c r="G162" s="30" t="s">
        <v>51</v>
      </c>
      <c r="H162" s="28" t="s">
        <v>52</v>
      </c>
      <c r="I162" s="30"/>
      <c r="J162" s="30" t="s">
        <v>53</v>
      </c>
      <c r="K162" s="30" t="s">
        <v>1375</v>
      </c>
      <c r="L162" s="30" t="s">
        <v>55</v>
      </c>
      <c r="M162" s="30" t="s">
        <v>1376</v>
      </c>
      <c r="N162" s="30" t="s">
        <v>1377</v>
      </c>
      <c r="O162" s="30" t="s">
        <v>1378</v>
      </c>
      <c r="P162" s="30" t="s">
        <v>1379</v>
      </c>
      <c r="Q162" s="28" t="s">
        <v>1380</v>
      </c>
      <c r="R162" s="30" t="s">
        <v>1381</v>
      </c>
      <c r="S162" s="30" t="s">
        <v>53</v>
      </c>
      <c r="T162" s="30"/>
      <c r="U162" s="28" t="s">
        <v>1382</v>
      </c>
      <c r="V162" s="30" t="s">
        <v>63</v>
      </c>
      <c r="W162" s="30" t="s">
        <v>64</v>
      </c>
      <c r="X162" s="32">
        <v>44197</v>
      </c>
      <c r="Y162" s="32">
        <v>46023</v>
      </c>
      <c r="Z162" s="30" t="s">
        <v>65</v>
      </c>
      <c r="AA162" s="28" t="s">
        <v>66</v>
      </c>
      <c r="AB162" s="28" t="s">
        <v>67</v>
      </c>
      <c r="AC162" s="29"/>
      <c r="AD162" s="28">
        <v>0</v>
      </c>
      <c r="AE162" s="29"/>
      <c r="AF162" s="31"/>
      <c r="AG162" s="30" t="s">
        <v>1383</v>
      </c>
      <c r="AH162" s="28"/>
      <c r="AI162" s="28" t="s">
        <v>53</v>
      </c>
      <c r="AJ162" s="33">
        <v>37102</v>
      </c>
      <c r="AK162" s="28">
        <v>5</v>
      </c>
      <c r="AL162" s="28">
        <v>25</v>
      </c>
      <c r="AM162" s="21" t="s">
        <v>69</v>
      </c>
      <c r="AN162" s="27"/>
      <c r="AO162" s="27"/>
      <c r="AP162" s="27"/>
      <c r="AQ162" s="27"/>
    </row>
    <row r="163" spans="1:43" ht="15.75" customHeight="1">
      <c r="A163" s="28">
        <v>2</v>
      </c>
      <c r="B163" s="29" t="s">
        <v>1384</v>
      </c>
      <c r="C163" s="30"/>
      <c r="D163" s="31" t="s">
        <v>1385</v>
      </c>
      <c r="E163" s="30" t="s">
        <v>49</v>
      </c>
      <c r="F163" s="30" t="s">
        <v>50</v>
      </c>
      <c r="G163" s="30" t="s">
        <v>51</v>
      </c>
      <c r="H163" s="28" t="s">
        <v>601</v>
      </c>
      <c r="I163" s="30"/>
      <c r="J163" s="30" t="s">
        <v>53</v>
      </c>
      <c r="K163" s="30" t="s">
        <v>1386</v>
      </c>
      <c r="L163" s="30" t="s">
        <v>55</v>
      </c>
      <c r="M163" s="30" t="s">
        <v>1376</v>
      </c>
      <c r="N163" s="30" t="s">
        <v>1387</v>
      </c>
      <c r="O163" s="30" t="s">
        <v>1388</v>
      </c>
      <c r="P163" s="30" t="s">
        <v>1389</v>
      </c>
      <c r="Q163" s="28"/>
      <c r="R163" s="30" t="s">
        <v>1390</v>
      </c>
      <c r="S163" s="30" t="s">
        <v>53</v>
      </c>
      <c r="T163" s="30"/>
      <c r="U163" s="28" t="s">
        <v>1391</v>
      </c>
      <c r="V163" s="30" t="s">
        <v>63</v>
      </c>
      <c r="W163" s="30" t="s">
        <v>64</v>
      </c>
      <c r="X163" s="32">
        <v>44228</v>
      </c>
      <c r="Y163" s="32">
        <v>46357</v>
      </c>
      <c r="Z163" s="30" t="s">
        <v>65</v>
      </c>
      <c r="AA163" s="28" t="s">
        <v>66</v>
      </c>
      <c r="AB163" s="28" t="s">
        <v>67</v>
      </c>
      <c r="AC163" s="29"/>
      <c r="AD163" s="28">
        <v>0</v>
      </c>
      <c r="AE163" s="29"/>
      <c r="AF163" s="31"/>
      <c r="AG163" s="30" t="s">
        <v>1383</v>
      </c>
      <c r="AH163" s="28"/>
      <c r="AI163" s="28" t="s">
        <v>53</v>
      </c>
      <c r="AJ163" s="33">
        <v>37965</v>
      </c>
      <c r="AK163" s="28">
        <v>5</v>
      </c>
      <c r="AL163" s="28">
        <v>24</v>
      </c>
      <c r="AM163" s="21" t="s">
        <v>69</v>
      </c>
      <c r="AN163" s="27"/>
      <c r="AO163" s="27"/>
      <c r="AP163" s="27"/>
      <c r="AQ163" s="27"/>
    </row>
    <row r="164" spans="1:43" ht="15.75" customHeight="1">
      <c r="A164" s="28">
        <v>3</v>
      </c>
      <c r="B164" s="29" t="s">
        <v>1392</v>
      </c>
      <c r="C164" s="30"/>
      <c r="D164" s="31" t="s">
        <v>1393</v>
      </c>
      <c r="E164" s="30" t="s">
        <v>72</v>
      </c>
      <c r="F164" s="30" t="s">
        <v>50</v>
      </c>
      <c r="G164" s="30" t="s">
        <v>51</v>
      </c>
      <c r="H164" s="28" t="s">
        <v>52</v>
      </c>
      <c r="I164" s="30"/>
      <c r="J164" s="30" t="s">
        <v>53</v>
      </c>
      <c r="K164" s="30" t="s">
        <v>1394</v>
      </c>
      <c r="L164" s="30" t="s">
        <v>55</v>
      </c>
      <c r="M164" s="30" t="s">
        <v>1376</v>
      </c>
      <c r="N164" s="30" t="s">
        <v>1395</v>
      </c>
      <c r="O164" s="30" t="s">
        <v>1396</v>
      </c>
      <c r="P164" s="30" t="s">
        <v>1397</v>
      </c>
      <c r="Q164" s="28" t="s">
        <v>1398</v>
      </c>
      <c r="R164" s="30" t="s">
        <v>1399</v>
      </c>
      <c r="S164" s="30" t="s">
        <v>53</v>
      </c>
      <c r="T164" s="30"/>
      <c r="U164" s="28" t="s">
        <v>1391</v>
      </c>
      <c r="V164" s="30" t="s">
        <v>63</v>
      </c>
      <c r="W164" s="30" t="s">
        <v>64</v>
      </c>
      <c r="X164" s="32">
        <v>44562</v>
      </c>
      <c r="Y164" s="32">
        <v>46357</v>
      </c>
      <c r="Z164" s="30" t="s">
        <v>65</v>
      </c>
      <c r="AA164" s="28" t="s">
        <v>66</v>
      </c>
      <c r="AB164" s="28" t="s">
        <v>67</v>
      </c>
      <c r="AC164" s="29"/>
      <c r="AD164" s="28">
        <v>0</v>
      </c>
      <c r="AE164" s="29"/>
      <c r="AF164" s="31"/>
      <c r="AG164" s="30" t="s">
        <v>1383</v>
      </c>
      <c r="AH164" s="28"/>
      <c r="AI164" s="28" t="s">
        <v>53</v>
      </c>
      <c r="AJ164" s="33">
        <v>37869</v>
      </c>
      <c r="AK164" s="28">
        <v>5</v>
      </c>
      <c r="AL164" s="28">
        <v>23</v>
      </c>
      <c r="AM164" s="21" t="s">
        <v>69</v>
      </c>
      <c r="AN164" s="27"/>
      <c r="AO164" s="27"/>
      <c r="AP164" s="27"/>
      <c r="AQ164" s="27"/>
    </row>
    <row r="165" spans="1:43" ht="15.75" customHeight="1">
      <c r="A165" s="28">
        <v>4</v>
      </c>
      <c r="B165" s="29" t="s">
        <v>1400</v>
      </c>
      <c r="C165" s="30"/>
      <c r="D165" s="31" t="s">
        <v>1401</v>
      </c>
      <c r="E165" s="30" t="s">
        <v>72</v>
      </c>
      <c r="F165" s="30" t="s">
        <v>50</v>
      </c>
      <c r="G165" s="30" t="s">
        <v>51</v>
      </c>
      <c r="H165" s="28" t="s">
        <v>52</v>
      </c>
      <c r="I165" s="30"/>
      <c r="J165" s="30" t="s">
        <v>53</v>
      </c>
      <c r="K165" s="30" t="s">
        <v>1402</v>
      </c>
      <c r="L165" s="30" t="s">
        <v>55</v>
      </c>
      <c r="M165" s="30" t="s">
        <v>1376</v>
      </c>
      <c r="N165" s="30" t="s">
        <v>1403</v>
      </c>
      <c r="O165" s="30" t="s">
        <v>58</v>
      </c>
      <c r="P165" s="30" t="s">
        <v>1404</v>
      </c>
      <c r="Q165" s="28" t="s">
        <v>1405</v>
      </c>
      <c r="R165" s="30" t="s">
        <v>1406</v>
      </c>
      <c r="S165" s="30" t="s">
        <v>53</v>
      </c>
      <c r="T165" s="30"/>
      <c r="U165" s="28" t="s">
        <v>1382</v>
      </c>
      <c r="V165" s="30" t="s">
        <v>63</v>
      </c>
      <c r="W165" s="30" t="s">
        <v>64</v>
      </c>
      <c r="X165" s="32">
        <v>43831</v>
      </c>
      <c r="Y165" s="32">
        <v>45627</v>
      </c>
      <c r="Z165" s="30" t="s">
        <v>65</v>
      </c>
      <c r="AA165" s="28" t="s">
        <v>66</v>
      </c>
      <c r="AB165" s="28" t="s">
        <v>67</v>
      </c>
      <c r="AC165" s="29"/>
      <c r="AD165" s="28">
        <v>0</v>
      </c>
      <c r="AE165" s="29"/>
      <c r="AF165" s="31"/>
      <c r="AG165" s="30" t="s">
        <v>1383</v>
      </c>
      <c r="AH165" s="28"/>
      <c r="AI165" s="28" t="s">
        <v>53</v>
      </c>
      <c r="AJ165" s="33">
        <v>36054</v>
      </c>
      <c r="AK165" s="28">
        <v>8</v>
      </c>
      <c r="AL165" s="28">
        <v>22</v>
      </c>
      <c r="AM165" s="21" t="s">
        <v>69</v>
      </c>
      <c r="AN165" s="27"/>
      <c r="AO165" s="27"/>
      <c r="AP165" s="27"/>
      <c r="AQ165" s="27"/>
    </row>
    <row r="166" spans="1:43" ht="15.75" customHeight="1">
      <c r="A166" s="28">
        <v>5</v>
      </c>
      <c r="B166" s="29" t="s">
        <v>1407</v>
      </c>
      <c r="C166" s="30" t="s">
        <v>1408</v>
      </c>
      <c r="D166" s="31" t="s">
        <v>1409</v>
      </c>
      <c r="E166" s="30" t="s">
        <v>72</v>
      </c>
      <c r="F166" s="30" t="s">
        <v>50</v>
      </c>
      <c r="G166" s="30" t="s">
        <v>51</v>
      </c>
      <c r="H166" s="28" t="s">
        <v>52</v>
      </c>
      <c r="I166" s="30"/>
      <c r="J166" s="30" t="s">
        <v>53</v>
      </c>
      <c r="K166" s="30" t="s">
        <v>1410</v>
      </c>
      <c r="L166" s="30" t="s">
        <v>55</v>
      </c>
      <c r="M166" s="30" t="s">
        <v>1376</v>
      </c>
      <c r="N166" s="30" t="s">
        <v>1411</v>
      </c>
      <c r="O166" s="30" t="s">
        <v>1412</v>
      </c>
      <c r="P166" s="30" t="s">
        <v>1413</v>
      </c>
      <c r="Q166" s="28" t="s">
        <v>1414</v>
      </c>
      <c r="R166" s="30" t="s">
        <v>1415</v>
      </c>
      <c r="S166" s="30" t="s">
        <v>53</v>
      </c>
      <c r="T166" s="30"/>
      <c r="U166" s="28" t="s">
        <v>1416</v>
      </c>
      <c r="V166" s="30" t="s">
        <v>63</v>
      </c>
      <c r="W166" s="30" t="s">
        <v>64</v>
      </c>
      <c r="X166" s="32">
        <v>44562</v>
      </c>
      <c r="Y166" s="32">
        <v>46327</v>
      </c>
      <c r="Z166" s="30" t="s">
        <v>65</v>
      </c>
      <c r="AA166" s="28" t="s">
        <v>66</v>
      </c>
      <c r="AB166" s="28" t="s">
        <v>67</v>
      </c>
      <c r="AC166" s="29"/>
      <c r="AD166" s="28">
        <v>0</v>
      </c>
      <c r="AE166" s="29"/>
      <c r="AF166" s="31"/>
      <c r="AG166" s="30" t="s">
        <v>1383</v>
      </c>
      <c r="AH166" s="28"/>
      <c r="AI166" s="28" t="s">
        <v>118</v>
      </c>
      <c r="AJ166" s="33">
        <v>32219</v>
      </c>
      <c r="AK166" s="28">
        <v>5</v>
      </c>
      <c r="AL166" s="28">
        <v>21</v>
      </c>
      <c r="AM166" s="21" t="s">
        <v>69</v>
      </c>
      <c r="AN166" s="27"/>
      <c r="AO166" s="27"/>
      <c r="AP166" s="27"/>
      <c r="AQ166" s="27"/>
    </row>
    <row r="167" spans="1:43" ht="15.75" customHeight="1">
      <c r="A167" s="28">
        <v>6</v>
      </c>
      <c r="B167" s="29" t="s">
        <v>1417</v>
      </c>
      <c r="C167" s="30" t="s">
        <v>1418</v>
      </c>
      <c r="D167" s="31" t="s">
        <v>1419</v>
      </c>
      <c r="E167" s="30" t="s">
        <v>49</v>
      </c>
      <c r="F167" s="30" t="s">
        <v>50</v>
      </c>
      <c r="G167" s="30" t="s">
        <v>51</v>
      </c>
      <c r="H167" s="28" t="s">
        <v>85</v>
      </c>
      <c r="I167" s="30"/>
      <c r="J167" s="30" t="s">
        <v>53</v>
      </c>
      <c r="K167" s="30" t="s">
        <v>1420</v>
      </c>
      <c r="L167" s="30" t="s">
        <v>55</v>
      </c>
      <c r="M167" s="30" t="s">
        <v>1376</v>
      </c>
      <c r="N167" s="30" t="s">
        <v>1421</v>
      </c>
      <c r="O167" s="30" t="s">
        <v>1422</v>
      </c>
      <c r="P167" s="30" t="s">
        <v>1423</v>
      </c>
      <c r="Q167" s="28" t="s">
        <v>1424</v>
      </c>
      <c r="R167" s="30" t="s">
        <v>1425</v>
      </c>
      <c r="S167" s="30" t="s">
        <v>53</v>
      </c>
      <c r="T167" s="30"/>
      <c r="U167" s="28" t="s">
        <v>1416</v>
      </c>
      <c r="V167" s="30" t="s">
        <v>63</v>
      </c>
      <c r="W167" s="30" t="s">
        <v>64</v>
      </c>
      <c r="X167" s="32">
        <v>43497</v>
      </c>
      <c r="Y167" s="32">
        <v>45627</v>
      </c>
      <c r="Z167" s="30" t="s">
        <v>65</v>
      </c>
      <c r="AA167" s="28" t="s">
        <v>66</v>
      </c>
      <c r="AB167" s="28" t="s">
        <v>67</v>
      </c>
      <c r="AC167" s="29"/>
      <c r="AD167" s="28">
        <v>0</v>
      </c>
      <c r="AE167" s="29"/>
      <c r="AF167" s="31"/>
      <c r="AG167" s="30" t="s">
        <v>1383</v>
      </c>
      <c r="AH167" s="28"/>
      <c r="AI167" s="28" t="s">
        <v>53</v>
      </c>
      <c r="AJ167" s="33">
        <v>34804</v>
      </c>
      <c r="AK167" s="28">
        <v>9</v>
      </c>
      <c r="AL167" s="28">
        <v>21</v>
      </c>
      <c r="AM167" s="21" t="s">
        <v>69</v>
      </c>
      <c r="AN167" s="27"/>
      <c r="AO167" s="27"/>
      <c r="AP167" s="27"/>
      <c r="AQ167" s="27"/>
    </row>
    <row r="168" spans="1:43" ht="15.75" customHeight="1">
      <c r="A168" s="28">
        <v>7</v>
      </c>
      <c r="B168" s="29" t="s">
        <v>1426</v>
      </c>
      <c r="C168" s="30" t="s">
        <v>1427</v>
      </c>
      <c r="D168" s="31" t="s">
        <v>1428</v>
      </c>
      <c r="E168" s="30" t="s">
        <v>49</v>
      </c>
      <c r="F168" s="30" t="s">
        <v>84</v>
      </c>
      <c r="G168" s="30" t="s">
        <v>51</v>
      </c>
      <c r="H168" s="28" t="s">
        <v>52</v>
      </c>
      <c r="I168" s="30"/>
      <c r="J168" s="30" t="s">
        <v>53</v>
      </c>
      <c r="K168" s="30" t="s">
        <v>1429</v>
      </c>
      <c r="L168" s="30" t="s">
        <v>55</v>
      </c>
      <c r="M168" s="30" t="s">
        <v>1430</v>
      </c>
      <c r="N168" s="30" t="s">
        <v>1431</v>
      </c>
      <c r="O168" s="30" t="s">
        <v>1432</v>
      </c>
      <c r="P168" s="30" t="s">
        <v>1433</v>
      </c>
      <c r="Q168" s="28"/>
      <c r="R168" s="30" t="s">
        <v>1434</v>
      </c>
      <c r="S168" s="30" t="s">
        <v>53</v>
      </c>
      <c r="T168" s="30"/>
      <c r="U168" s="28" t="s">
        <v>1382</v>
      </c>
      <c r="V168" s="30" t="s">
        <v>63</v>
      </c>
      <c r="W168" s="30" t="s">
        <v>64</v>
      </c>
      <c r="X168" s="32">
        <v>43647</v>
      </c>
      <c r="Y168" s="32">
        <v>45444</v>
      </c>
      <c r="Z168" s="30" t="s">
        <v>65</v>
      </c>
      <c r="AA168" s="28" t="s">
        <v>66</v>
      </c>
      <c r="AB168" s="28" t="s">
        <v>67</v>
      </c>
      <c r="AC168" s="29"/>
      <c r="AD168" s="28">
        <v>0</v>
      </c>
      <c r="AE168" s="29"/>
      <c r="AF168" s="31"/>
      <c r="AG168" s="30" t="s">
        <v>1383</v>
      </c>
      <c r="AH168" s="28"/>
      <c r="AI168" s="28" t="s">
        <v>53</v>
      </c>
      <c r="AJ168" s="33">
        <v>33130</v>
      </c>
      <c r="AK168" s="28">
        <v>9</v>
      </c>
      <c r="AL168" s="28">
        <v>20</v>
      </c>
      <c r="AM168" s="21" t="s">
        <v>69</v>
      </c>
      <c r="AN168" s="27"/>
      <c r="AO168" s="27"/>
      <c r="AP168" s="27"/>
      <c r="AQ168" s="27"/>
    </row>
    <row r="169" spans="1:43" ht="15.75" customHeight="1">
      <c r="A169" s="28">
        <v>8</v>
      </c>
      <c r="B169" s="29" t="s">
        <v>1435</v>
      </c>
      <c r="C169" s="30" t="s">
        <v>1436</v>
      </c>
      <c r="D169" s="31" t="s">
        <v>1437</v>
      </c>
      <c r="E169" s="30" t="s">
        <v>49</v>
      </c>
      <c r="F169" s="30" t="s">
        <v>50</v>
      </c>
      <c r="G169" s="30" t="s">
        <v>51</v>
      </c>
      <c r="H169" s="28" t="s">
        <v>601</v>
      </c>
      <c r="I169" s="30"/>
      <c r="J169" s="30" t="s">
        <v>53</v>
      </c>
      <c r="K169" s="30" t="s">
        <v>1438</v>
      </c>
      <c r="L169" s="30" t="s">
        <v>55</v>
      </c>
      <c r="M169" s="30" t="s">
        <v>1376</v>
      </c>
      <c r="N169" s="30" t="s">
        <v>1439</v>
      </c>
      <c r="O169" s="30" t="s">
        <v>1440</v>
      </c>
      <c r="P169" s="30" t="s">
        <v>1441</v>
      </c>
      <c r="Q169" s="28" t="s">
        <v>1442</v>
      </c>
      <c r="R169" s="30" t="s">
        <v>1443</v>
      </c>
      <c r="S169" s="30" t="s">
        <v>53</v>
      </c>
      <c r="T169" s="30"/>
      <c r="U169" s="28" t="s">
        <v>1391</v>
      </c>
      <c r="V169" s="30" t="s">
        <v>63</v>
      </c>
      <c r="W169" s="30" t="s">
        <v>64</v>
      </c>
      <c r="X169" s="32">
        <v>43862</v>
      </c>
      <c r="Y169" s="32">
        <v>45809</v>
      </c>
      <c r="Z169" s="30" t="s">
        <v>65</v>
      </c>
      <c r="AA169" s="28" t="s">
        <v>66</v>
      </c>
      <c r="AB169" s="28" t="s">
        <v>67</v>
      </c>
      <c r="AC169" s="29"/>
      <c r="AD169" s="28">
        <v>0</v>
      </c>
      <c r="AE169" s="29"/>
      <c r="AF169" s="31"/>
      <c r="AG169" s="30" t="s">
        <v>1383</v>
      </c>
      <c r="AH169" s="28"/>
      <c r="AI169" s="28" t="s">
        <v>53</v>
      </c>
      <c r="AJ169" s="33">
        <v>37274</v>
      </c>
      <c r="AK169" s="28">
        <v>8</v>
      </c>
      <c r="AL169" s="28">
        <v>20</v>
      </c>
      <c r="AM169" s="21" t="s">
        <v>69</v>
      </c>
      <c r="AN169" s="27"/>
      <c r="AO169" s="27"/>
      <c r="AP169" s="27"/>
      <c r="AQ169" s="27"/>
    </row>
    <row r="170" spans="1:43" ht="15.75" customHeight="1">
      <c r="A170" s="28">
        <v>9</v>
      </c>
      <c r="B170" s="29" t="s">
        <v>1444</v>
      </c>
      <c r="C170" s="30"/>
      <c r="D170" s="31" t="s">
        <v>1445</v>
      </c>
      <c r="E170" s="30" t="s">
        <v>72</v>
      </c>
      <c r="F170" s="30" t="s">
        <v>50</v>
      </c>
      <c r="G170" s="30" t="s">
        <v>51</v>
      </c>
      <c r="H170" s="28" t="s">
        <v>52</v>
      </c>
      <c r="I170" s="30"/>
      <c r="J170" s="30" t="s">
        <v>53</v>
      </c>
      <c r="K170" s="30" t="s">
        <v>1446</v>
      </c>
      <c r="L170" s="30" t="s">
        <v>55</v>
      </c>
      <c r="M170" s="30" t="s">
        <v>1376</v>
      </c>
      <c r="N170" s="30" t="s">
        <v>1447</v>
      </c>
      <c r="O170" s="30" t="s">
        <v>1448</v>
      </c>
      <c r="P170" s="30" t="s">
        <v>1449</v>
      </c>
      <c r="Q170" s="28" t="s">
        <v>1450</v>
      </c>
      <c r="R170" s="30" t="s">
        <v>1451</v>
      </c>
      <c r="S170" s="30" t="s">
        <v>53</v>
      </c>
      <c r="T170" s="30"/>
      <c r="U170" s="28" t="s">
        <v>1416</v>
      </c>
      <c r="V170" s="30" t="s">
        <v>63</v>
      </c>
      <c r="W170" s="30" t="s">
        <v>64</v>
      </c>
      <c r="X170" s="32">
        <v>44562</v>
      </c>
      <c r="Y170" s="32">
        <v>46357</v>
      </c>
      <c r="Z170" s="30" t="s">
        <v>65</v>
      </c>
      <c r="AA170" s="28" t="s">
        <v>66</v>
      </c>
      <c r="AB170" s="28" t="s">
        <v>67</v>
      </c>
      <c r="AC170" s="29"/>
      <c r="AD170" s="28">
        <v>0</v>
      </c>
      <c r="AE170" s="29"/>
      <c r="AF170" s="31"/>
      <c r="AG170" s="30" t="s">
        <v>1383</v>
      </c>
      <c r="AH170" s="28"/>
      <c r="AI170" s="28" t="s">
        <v>53</v>
      </c>
      <c r="AJ170" s="33">
        <v>38006</v>
      </c>
      <c r="AK170" s="28">
        <v>5</v>
      </c>
      <c r="AL170" s="28">
        <v>18</v>
      </c>
      <c r="AM170" s="21" t="s">
        <v>69</v>
      </c>
      <c r="AN170" s="27"/>
      <c r="AO170" s="27"/>
      <c r="AP170" s="27"/>
      <c r="AQ170" s="27"/>
    </row>
    <row r="171" spans="1:43" ht="15.75" customHeight="1">
      <c r="A171" s="28">
        <v>10</v>
      </c>
      <c r="B171" s="29" t="s">
        <v>1452</v>
      </c>
      <c r="C171" s="30"/>
      <c r="D171" s="31" t="s">
        <v>1453</v>
      </c>
      <c r="E171" s="30" t="s">
        <v>72</v>
      </c>
      <c r="F171" s="30" t="s">
        <v>50</v>
      </c>
      <c r="G171" s="30" t="s">
        <v>51</v>
      </c>
      <c r="H171" s="28" t="s">
        <v>52</v>
      </c>
      <c r="I171" s="30"/>
      <c r="J171" s="30" t="s">
        <v>53</v>
      </c>
      <c r="K171" s="30" t="s">
        <v>1454</v>
      </c>
      <c r="L171" s="30" t="s">
        <v>55</v>
      </c>
      <c r="M171" s="30" t="s">
        <v>1376</v>
      </c>
      <c r="N171" s="30" t="s">
        <v>1455</v>
      </c>
      <c r="O171" s="30" t="s">
        <v>1456</v>
      </c>
      <c r="P171" s="30" t="s">
        <v>1457</v>
      </c>
      <c r="Q171" s="28"/>
      <c r="R171" s="30" t="s">
        <v>1458</v>
      </c>
      <c r="S171" s="30" t="s">
        <v>53</v>
      </c>
      <c r="T171" s="30"/>
      <c r="U171" s="28" t="s">
        <v>1391</v>
      </c>
      <c r="V171" s="30" t="s">
        <v>63</v>
      </c>
      <c r="W171" s="30" t="s">
        <v>64</v>
      </c>
      <c r="X171" s="32">
        <v>44348</v>
      </c>
      <c r="Y171" s="32">
        <v>46174</v>
      </c>
      <c r="Z171" s="30" t="s">
        <v>65</v>
      </c>
      <c r="AA171" s="28" t="s">
        <v>66</v>
      </c>
      <c r="AB171" s="28" t="s">
        <v>67</v>
      </c>
      <c r="AC171" s="29"/>
      <c r="AD171" s="28">
        <v>0</v>
      </c>
      <c r="AE171" s="29"/>
      <c r="AF171" s="31"/>
      <c r="AG171" s="30" t="s">
        <v>1383</v>
      </c>
      <c r="AH171" s="28"/>
      <c r="AI171" s="28" t="s">
        <v>118</v>
      </c>
      <c r="AJ171" s="33">
        <v>37780</v>
      </c>
      <c r="AK171" s="28">
        <v>6</v>
      </c>
      <c r="AL171" s="28">
        <v>17</v>
      </c>
      <c r="AM171" s="21" t="s">
        <v>69</v>
      </c>
      <c r="AN171" s="27"/>
      <c r="AO171" s="27"/>
      <c r="AP171" s="27"/>
      <c r="AQ171" s="27"/>
    </row>
    <row r="172" spans="1:43" ht="15.75" customHeight="1">
      <c r="A172" s="28">
        <v>11</v>
      </c>
      <c r="B172" s="29" t="s">
        <v>1459</v>
      </c>
      <c r="C172" s="30" t="s">
        <v>1460</v>
      </c>
      <c r="D172" s="31" t="s">
        <v>1461</v>
      </c>
      <c r="E172" s="30" t="s">
        <v>49</v>
      </c>
      <c r="F172" s="30" t="s">
        <v>50</v>
      </c>
      <c r="G172" s="30" t="s">
        <v>51</v>
      </c>
      <c r="H172" s="28" t="s">
        <v>52</v>
      </c>
      <c r="I172" s="30"/>
      <c r="J172" s="30" t="s">
        <v>53</v>
      </c>
      <c r="K172" s="30" t="s">
        <v>1462</v>
      </c>
      <c r="L172" s="30" t="s">
        <v>55</v>
      </c>
      <c r="M172" s="30" t="s">
        <v>1376</v>
      </c>
      <c r="N172" s="30" t="s">
        <v>1463</v>
      </c>
      <c r="O172" s="30" t="s">
        <v>58</v>
      </c>
      <c r="P172" s="30" t="s">
        <v>1464</v>
      </c>
      <c r="Q172" s="28"/>
      <c r="R172" s="30" t="s">
        <v>1465</v>
      </c>
      <c r="S172" s="30" t="s">
        <v>53</v>
      </c>
      <c r="T172" s="30"/>
      <c r="U172" s="28" t="s">
        <v>1382</v>
      </c>
      <c r="V172" s="30" t="s">
        <v>63</v>
      </c>
      <c r="W172" s="30" t="s">
        <v>64</v>
      </c>
      <c r="X172" s="32">
        <v>43497</v>
      </c>
      <c r="Y172" s="32">
        <v>45139</v>
      </c>
      <c r="Z172" s="30" t="s">
        <v>65</v>
      </c>
      <c r="AA172" s="28" t="s">
        <v>66</v>
      </c>
      <c r="AB172" s="28" t="s">
        <v>67</v>
      </c>
      <c r="AC172" s="29"/>
      <c r="AD172" s="28">
        <v>0</v>
      </c>
      <c r="AE172" s="29"/>
      <c r="AF172" s="31"/>
      <c r="AG172" s="30" t="s">
        <v>1383</v>
      </c>
      <c r="AH172" s="28"/>
      <c r="AI172" s="28" t="s">
        <v>53</v>
      </c>
      <c r="AJ172" s="33">
        <v>36529</v>
      </c>
      <c r="AK172" s="28">
        <v>8</v>
      </c>
      <c r="AL172" s="28">
        <v>17</v>
      </c>
      <c r="AM172" s="21" t="s">
        <v>69</v>
      </c>
      <c r="AN172" s="27"/>
      <c r="AO172" s="27"/>
      <c r="AP172" s="27"/>
      <c r="AQ172" s="27"/>
    </row>
    <row r="173" spans="1:43" ht="15.75" customHeight="1">
      <c r="A173" s="28">
        <v>12</v>
      </c>
      <c r="B173" s="29" t="s">
        <v>1466</v>
      </c>
      <c r="C173" s="30"/>
      <c r="D173" s="31" t="s">
        <v>1467</v>
      </c>
      <c r="E173" s="30" t="s">
        <v>72</v>
      </c>
      <c r="F173" s="30" t="s">
        <v>50</v>
      </c>
      <c r="G173" s="30" t="s">
        <v>51</v>
      </c>
      <c r="H173" s="28" t="s">
        <v>85</v>
      </c>
      <c r="I173" s="30"/>
      <c r="J173" s="30" t="s">
        <v>53</v>
      </c>
      <c r="K173" s="30" t="s">
        <v>1468</v>
      </c>
      <c r="L173" s="30" t="s">
        <v>55</v>
      </c>
      <c r="M173" s="30" t="s">
        <v>1376</v>
      </c>
      <c r="N173" s="30" t="s">
        <v>1469</v>
      </c>
      <c r="O173" s="30" t="s">
        <v>1470</v>
      </c>
      <c r="P173" s="30" t="s">
        <v>1471</v>
      </c>
      <c r="Q173" s="28" t="s">
        <v>1472</v>
      </c>
      <c r="R173" s="30" t="s">
        <v>1473</v>
      </c>
      <c r="S173" s="30" t="s">
        <v>53</v>
      </c>
      <c r="T173" s="30"/>
      <c r="U173" s="28" t="s">
        <v>1474</v>
      </c>
      <c r="V173" s="30" t="s">
        <v>63</v>
      </c>
      <c r="W173" s="30" t="s">
        <v>64</v>
      </c>
      <c r="X173" s="32">
        <v>44197</v>
      </c>
      <c r="Y173" s="32">
        <v>46023</v>
      </c>
      <c r="Z173" s="30" t="s">
        <v>65</v>
      </c>
      <c r="AA173" s="28" t="s">
        <v>66</v>
      </c>
      <c r="AB173" s="28" t="s">
        <v>67</v>
      </c>
      <c r="AC173" s="29"/>
      <c r="AD173" s="28">
        <v>0</v>
      </c>
      <c r="AE173" s="29"/>
      <c r="AF173" s="31"/>
      <c r="AG173" s="30" t="s">
        <v>1383</v>
      </c>
      <c r="AH173" s="28"/>
      <c r="AI173" s="28" t="s">
        <v>53</v>
      </c>
      <c r="AJ173" s="33">
        <v>37876</v>
      </c>
      <c r="AK173" s="28">
        <v>5</v>
      </c>
      <c r="AL173" s="28">
        <v>16</v>
      </c>
      <c r="AM173" s="21" t="s">
        <v>69</v>
      </c>
      <c r="AN173" s="27"/>
      <c r="AO173" s="27"/>
      <c r="AP173" s="27"/>
      <c r="AQ173" s="27"/>
    </row>
    <row r="174" spans="1:43" ht="15.75" customHeight="1">
      <c r="A174" s="28">
        <v>13</v>
      </c>
      <c r="B174" s="29" t="s">
        <v>1475</v>
      </c>
      <c r="C174" s="30" t="s">
        <v>1476</v>
      </c>
      <c r="D174" s="31" t="s">
        <v>1477</v>
      </c>
      <c r="E174" s="30" t="s">
        <v>72</v>
      </c>
      <c r="F174" s="30" t="s">
        <v>50</v>
      </c>
      <c r="G174" s="30" t="s">
        <v>51</v>
      </c>
      <c r="H174" s="28" t="s">
        <v>52</v>
      </c>
      <c r="I174" s="30"/>
      <c r="J174" s="30" t="s">
        <v>53</v>
      </c>
      <c r="K174" s="30" t="s">
        <v>1478</v>
      </c>
      <c r="L174" s="30" t="s">
        <v>55</v>
      </c>
      <c r="M174" s="30" t="s">
        <v>1376</v>
      </c>
      <c r="N174" s="30" t="s">
        <v>1479</v>
      </c>
      <c r="O174" s="30" t="s">
        <v>1388</v>
      </c>
      <c r="P174" s="30" t="s">
        <v>1480</v>
      </c>
      <c r="Q174" s="28" t="s">
        <v>1481</v>
      </c>
      <c r="R174" s="30" t="s">
        <v>1482</v>
      </c>
      <c r="S174" s="30" t="s">
        <v>53</v>
      </c>
      <c r="T174" s="30"/>
      <c r="U174" s="28" t="s">
        <v>1391</v>
      </c>
      <c r="V174" s="30" t="s">
        <v>63</v>
      </c>
      <c r="W174" s="30" t="s">
        <v>64</v>
      </c>
      <c r="X174" s="32">
        <v>44228</v>
      </c>
      <c r="Y174" s="32">
        <v>45962</v>
      </c>
      <c r="Z174" s="30" t="s">
        <v>65</v>
      </c>
      <c r="AA174" s="28" t="s">
        <v>66</v>
      </c>
      <c r="AB174" s="28" t="s">
        <v>67</v>
      </c>
      <c r="AC174" s="29"/>
      <c r="AD174" s="28">
        <v>0</v>
      </c>
      <c r="AE174" s="29"/>
      <c r="AF174" s="31"/>
      <c r="AG174" s="30" t="s">
        <v>1383</v>
      </c>
      <c r="AH174" s="28"/>
      <c r="AI174" s="28" t="s">
        <v>53</v>
      </c>
      <c r="AJ174" s="33">
        <v>37888</v>
      </c>
      <c r="AK174" s="28">
        <v>6</v>
      </c>
      <c r="AL174" s="28">
        <v>15</v>
      </c>
      <c r="AM174" s="21" t="s">
        <v>69</v>
      </c>
      <c r="AN174" s="27"/>
      <c r="AO174" s="27"/>
      <c r="AP174" s="27"/>
      <c r="AQ174" s="27"/>
    </row>
    <row r="175" spans="1:43" ht="15.75" customHeight="1">
      <c r="A175" s="28">
        <v>1</v>
      </c>
      <c r="B175" s="29" t="s">
        <v>1483</v>
      </c>
      <c r="C175" s="30"/>
      <c r="D175" s="31" t="s">
        <v>1484</v>
      </c>
      <c r="E175" s="30" t="s">
        <v>49</v>
      </c>
      <c r="F175" s="30" t="s">
        <v>50</v>
      </c>
      <c r="G175" s="30" t="s">
        <v>51</v>
      </c>
      <c r="H175" s="28" t="s">
        <v>52</v>
      </c>
      <c r="I175" s="30"/>
      <c r="J175" s="30" t="s">
        <v>53</v>
      </c>
      <c r="K175" s="30" t="s">
        <v>1485</v>
      </c>
      <c r="L175" s="30" t="s">
        <v>55</v>
      </c>
      <c r="M175" s="30" t="s">
        <v>1486</v>
      </c>
      <c r="N175" s="30" t="s">
        <v>1487</v>
      </c>
      <c r="O175" s="30" t="s">
        <v>1055</v>
      </c>
      <c r="P175" s="30" t="s">
        <v>1488</v>
      </c>
      <c r="Q175" s="28" t="s">
        <v>1489</v>
      </c>
      <c r="R175" s="30" t="s">
        <v>1490</v>
      </c>
      <c r="S175" s="30" t="s">
        <v>53</v>
      </c>
      <c r="T175" s="30"/>
      <c r="U175" s="28" t="s">
        <v>1491</v>
      </c>
      <c r="V175" s="30" t="s">
        <v>63</v>
      </c>
      <c r="W175" s="30" t="s">
        <v>64</v>
      </c>
      <c r="X175" s="32">
        <v>43678</v>
      </c>
      <c r="Y175" s="32">
        <v>45474</v>
      </c>
      <c r="Z175" s="30" t="s">
        <v>65</v>
      </c>
      <c r="AA175" s="28" t="s">
        <v>66</v>
      </c>
      <c r="AB175" s="28" t="s">
        <v>67</v>
      </c>
      <c r="AC175" s="29"/>
      <c r="AD175" s="28">
        <v>0</v>
      </c>
      <c r="AE175" s="29"/>
      <c r="AF175" s="31"/>
      <c r="AG175" s="30" t="s">
        <v>1492</v>
      </c>
      <c r="AH175" s="28"/>
      <c r="AI175" s="28" t="s">
        <v>53</v>
      </c>
      <c r="AJ175" s="33">
        <v>36968</v>
      </c>
      <c r="AK175" s="28">
        <v>9</v>
      </c>
      <c r="AL175" s="28">
        <v>16</v>
      </c>
      <c r="AM175" s="21" t="s">
        <v>69</v>
      </c>
      <c r="AN175" s="27"/>
      <c r="AO175" s="27"/>
      <c r="AP175" s="27"/>
      <c r="AQ175" s="27"/>
    </row>
    <row r="176" spans="1:43" ht="15.75" customHeight="1">
      <c r="A176" s="28">
        <v>1</v>
      </c>
      <c r="B176" s="29" t="s">
        <v>1493</v>
      </c>
      <c r="C176" s="30" t="s">
        <v>1494</v>
      </c>
      <c r="D176" s="31" t="s">
        <v>1495</v>
      </c>
      <c r="E176" s="30" t="s">
        <v>49</v>
      </c>
      <c r="F176" s="30" t="s">
        <v>50</v>
      </c>
      <c r="G176" s="30" t="s">
        <v>51</v>
      </c>
      <c r="H176" s="28" t="s">
        <v>85</v>
      </c>
      <c r="I176" s="30"/>
      <c r="J176" s="30" t="s">
        <v>53</v>
      </c>
      <c r="K176" s="30" t="s">
        <v>1496</v>
      </c>
      <c r="L176" s="30" t="s">
        <v>55</v>
      </c>
      <c r="M176" s="30" t="s">
        <v>1497</v>
      </c>
      <c r="N176" s="30" t="s">
        <v>1498</v>
      </c>
      <c r="O176" s="30" t="s">
        <v>1499</v>
      </c>
      <c r="P176" s="30" t="s">
        <v>1500</v>
      </c>
      <c r="Q176" s="28" t="s">
        <v>1501</v>
      </c>
      <c r="R176" s="30" t="s">
        <v>1502</v>
      </c>
      <c r="S176" s="30" t="s">
        <v>53</v>
      </c>
      <c r="T176" s="30"/>
      <c r="U176" s="28" t="s">
        <v>1503</v>
      </c>
      <c r="V176" s="30" t="s">
        <v>63</v>
      </c>
      <c r="W176" s="30" t="s">
        <v>64</v>
      </c>
      <c r="X176" s="32">
        <v>43862</v>
      </c>
      <c r="Y176" s="32">
        <v>45627</v>
      </c>
      <c r="Z176" s="30" t="s">
        <v>65</v>
      </c>
      <c r="AA176" s="28" t="s">
        <v>66</v>
      </c>
      <c r="AB176" s="28" t="s">
        <v>67</v>
      </c>
      <c r="AC176" s="29"/>
      <c r="AD176" s="28">
        <v>0</v>
      </c>
      <c r="AE176" s="29"/>
      <c r="AF176" s="31"/>
      <c r="AG176" s="30" t="s">
        <v>1504</v>
      </c>
      <c r="AH176" s="28"/>
      <c r="AI176" s="28" t="s">
        <v>53</v>
      </c>
      <c r="AJ176" s="33">
        <v>37126</v>
      </c>
      <c r="AK176" s="28">
        <v>8</v>
      </c>
      <c r="AL176" s="28">
        <v>30</v>
      </c>
      <c r="AM176" s="21" t="s">
        <v>69</v>
      </c>
      <c r="AN176" s="21"/>
      <c r="AO176" s="21"/>
      <c r="AP176" s="21"/>
      <c r="AQ176" s="21"/>
    </row>
    <row r="177" spans="1:43" ht="15.75" customHeight="1">
      <c r="A177" s="28">
        <v>2</v>
      </c>
      <c r="B177" s="29" t="s">
        <v>1505</v>
      </c>
      <c r="C177" s="30"/>
      <c r="D177" s="31" t="s">
        <v>1506</v>
      </c>
      <c r="E177" s="30" t="s">
        <v>72</v>
      </c>
      <c r="F177" s="30" t="s">
        <v>50</v>
      </c>
      <c r="G177" s="30" t="s">
        <v>51</v>
      </c>
      <c r="H177" s="28" t="s">
        <v>85</v>
      </c>
      <c r="I177" s="30"/>
      <c r="J177" s="30" t="s">
        <v>53</v>
      </c>
      <c r="K177" s="30" t="s">
        <v>1507</v>
      </c>
      <c r="L177" s="30" t="s">
        <v>55</v>
      </c>
      <c r="M177" s="30" t="s">
        <v>1497</v>
      </c>
      <c r="N177" s="30" t="s">
        <v>1508</v>
      </c>
      <c r="O177" s="30" t="s">
        <v>1509</v>
      </c>
      <c r="P177" s="30" t="s">
        <v>1510</v>
      </c>
      <c r="Q177" s="28"/>
      <c r="R177" s="30" t="s">
        <v>1511</v>
      </c>
      <c r="S177" s="30" t="s">
        <v>53</v>
      </c>
      <c r="T177" s="30"/>
      <c r="U177" s="28" t="s">
        <v>1512</v>
      </c>
      <c r="V177" s="30" t="s">
        <v>63</v>
      </c>
      <c r="W177" s="30" t="s">
        <v>64</v>
      </c>
      <c r="X177" s="32">
        <v>43862</v>
      </c>
      <c r="Y177" s="32">
        <v>45627</v>
      </c>
      <c r="Z177" s="30" t="s">
        <v>65</v>
      </c>
      <c r="AA177" s="28" t="s">
        <v>66</v>
      </c>
      <c r="AB177" s="28" t="s">
        <v>67</v>
      </c>
      <c r="AC177" s="29"/>
      <c r="AD177" s="28">
        <v>0</v>
      </c>
      <c r="AE177" s="29"/>
      <c r="AF177" s="31"/>
      <c r="AG177" s="30" t="s">
        <v>1504</v>
      </c>
      <c r="AH177" s="28"/>
      <c r="AI177" s="28" t="s">
        <v>53</v>
      </c>
      <c r="AJ177" s="33">
        <v>37388</v>
      </c>
      <c r="AK177" s="28">
        <v>8</v>
      </c>
      <c r="AL177" s="28">
        <v>21</v>
      </c>
      <c r="AM177" s="21" t="s">
        <v>69</v>
      </c>
      <c r="AN177" s="21"/>
      <c r="AO177" s="21"/>
      <c r="AP177" s="21"/>
      <c r="AQ177" s="21"/>
    </row>
    <row r="178" spans="1:43" ht="15.75" customHeight="1">
      <c r="A178" s="28">
        <v>3</v>
      </c>
      <c r="B178" s="29" t="s">
        <v>1513</v>
      </c>
      <c r="C178" s="30" t="s">
        <v>1514</v>
      </c>
      <c r="D178" s="31" t="s">
        <v>1515</v>
      </c>
      <c r="E178" s="30" t="s">
        <v>49</v>
      </c>
      <c r="F178" s="30" t="s">
        <v>50</v>
      </c>
      <c r="G178" s="30" t="s">
        <v>51</v>
      </c>
      <c r="H178" s="28" t="s">
        <v>85</v>
      </c>
      <c r="I178" s="30"/>
      <c r="J178" s="30" t="s">
        <v>53</v>
      </c>
      <c r="K178" s="30" t="s">
        <v>1516</v>
      </c>
      <c r="L178" s="30" t="s">
        <v>55</v>
      </c>
      <c r="M178" s="30" t="s">
        <v>1497</v>
      </c>
      <c r="N178" s="30" t="s">
        <v>1517</v>
      </c>
      <c r="O178" s="30" t="s">
        <v>58</v>
      </c>
      <c r="P178" s="30" t="s">
        <v>1518</v>
      </c>
      <c r="Q178" s="28" t="s">
        <v>1519</v>
      </c>
      <c r="R178" s="30" t="s">
        <v>1520</v>
      </c>
      <c r="S178" s="30" t="s">
        <v>53</v>
      </c>
      <c r="T178" s="30"/>
      <c r="U178" s="28" t="s">
        <v>1503</v>
      </c>
      <c r="V178" s="30" t="s">
        <v>63</v>
      </c>
      <c r="W178" s="30" t="s">
        <v>64</v>
      </c>
      <c r="X178" s="32">
        <v>44562</v>
      </c>
      <c r="Y178" s="32">
        <v>46357</v>
      </c>
      <c r="Z178" s="30" t="s">
        <v>65</v>
      </c>
      <c r="AA178" s="28" t="s">
        <v>66</v>
      </c>
      <c r="AB178" s="28" t="s">
        <v>67</v>
      </c>
      <c r="AC178" s="29"/>
      <c r="AD178" s="28">
        <v>0</v>
      </c>
      <c r="AE178" s="29"/>
      <c r="AF178" s="31"/>
      <c r="AG178" s="30" t="s">
        <v>1504</v>
      </c>
      <c r="AH178" s="28"/>
      <c r="AI178" s="28" t="s">
        <v>53</v>
      </c>
      <c r="AJ178" s="33">
        <v>38091</v>
      </c>
      <c r="AK178" s="28">
        <v>5</v>
      </c>
      <c r="AL178" s="28">
        <v>21</v>
      </c>
      <c r="AM178" s="21" t="s">
        <v>69</v>
      </c>
      <c r="AN178" s="21"/>
      <c r="AO178" s="21"/>
      <c r="AP178" s="21"/>
      <c r="AQ178" s="21"/>
    </row>
    <row r="179" spans="1:43" ht="15.75" customHeight="1">
      <c r="A179" s="28">
        <v>4</v>
      </c>
      <c r="B179" s="29" t="s">
        <v>1521</v>
      </c>
      <c r="C179" s="30"/>
      <c r="D179" s="31" t="s">
        <v>1522</v>
      </c>
      <c r="E179" s="30" t="s">
        <v>49</v>
      </c>
      <c r="F179" s="30" t="s">
        <v>50</v>
      </c>
      <c r="G179" s="30" t="s">
        <v>51</v>
      </c>
      <c r="H179" s="28" t="s">
        <v>52</v>
      </c>
      <c r="I179" s="30"/>
      <c r="J179" s="30" t="s">
        <v>53</v>
      </c>
      <c r="K179" s="30" t="s">
        <v>1523</v>
      </c>
      <c r="L179" s="30" t="s">
        <v>55</v>
      </c>
      <c r="M179" s="30" t="s">
        <v>1497</v>
      </c>
      <c r="N179" s="30" t="s">
        <v>1524</v>
      </c>
      <c r="O179" s="30" t="s">
        <v>1525</v>
      </c>
      <c r="P179" s="30" t="s">
        <v>1526</v>
      </c>
      <c r="Q179" s="28"/>
      <c r="R179" s="30" t="s">
        <v>1527</v>
      </c>
      <c r="S179" s="30" t="s">
        <v>53</v>
      </c>
      <c r="T179" s="30"/>
      <c r="U179" s="28" t="s">
        <v>1528</v>
      </c>
      <c r="V179" s="30" t="s">
        <v>63</v>
      </c>
      <c r="W179" s="30" t="s">
        <v>64</v>
      </c>
      <c r="X179" s="32">
        <v>44409</v>
      </c>
      <c r="Y179" s="32">
        <v>46174</v>
      </c>
      <c r="Z179" s="30" t="s">
        <v>65</v>
      </c>
      <c r="AA179" s="28" t="s">
        <v>66</v>
      </c>
      <c r="AB179" s="28" t="s">
        <v>67</v>
      </c>
      <c r="AC179" s="29"/>
      <c r="AD179" s="28">
        <v>0</v>
      </c>
      <c r="AE179" s="29"/>
      <c r="AF179" s="31"/>
      <c r="AG179" s="30" t="s">
        <v>1504</v>
      </c>
      <c r="AH179" s="28"/>
      <c r="AI179" s="28" t="s">
        <v>53</v>
      </c>
      <c r="AJ179" s="33">
        <v>38022</v>
      </c>
      <c r="AK179" s="28">
        <v>5</v>
      </c>
      <c r="AL179" s="28">
        <v>19</v>
      </c>
      <c r="AM179" s="21" t="s">
        <v>69</v>
      </c>
      <c r="AN179" s="21"/>
      <c r="AO179" s="21"/>
      <c r="AP179" s="21"/>
      <c r="AQ179" s="21"/>
    </row>
    <row r="180" spans="1:43" ht="15.75" customHeight="1">
      <c r="A180" s="28">
        <v>5</v>
      </c>
      <c r="B180" s="29" t="s">
        <v>1529</v>
      </c>
      <c r="C180" s="30" t="s">
        <v>1530</v>
      </c>
      <c r="D180" s="31" t="s">
        <v>1531</v>
      </c>
      <c r="E180" s="30" t="s">
        <v>72</v>
      </c>
      <c r="F180" s="30" t="s">
        <v>50</v>
      </c>
      <c r="G180" s="30" t="s">
        <v>51</v>
      </c>
      <c r="H180" s="28" t="s">
        <v>85</v>
      </c>
      <c r="I180" s="30"/>
      <c r="J180" s="30" t="s">
        <v>53</v>
      </c>
      <c r="K180" s="30" t="s">
        <v>1532</v>
      </c>
      <c r="L180" s="30" t="s">
        <v>55</v>
      </c>
      <c r="M180" s="30" t="s">
        <v>1497</v>
      </c>
      <c r="N180" s="30" t="s">
        <v>1533</v>
      </c>
      <c r="O180" s="30" t="s">
        <v>1534</v>
      </c>
      <c r="P180" s="30" t="s">
        <v>1535</v>
      </c>
      <c r="Q180" s="28"/>
      <c r="R180" s="30" t="s">
        <v>1536</v>
      </c>
      <c r="S180" s="30" t="s">
        <v>53</v>
      </c>
      <c r="T180" s="30"/>
      <c r="U180" s="28" t="s">
        <v>1512</v>
      </c>
      <c r="V180" s="30" t="s">
        <v>63</v>
      </c>
      <c r="W180" s="30" t="s">
        <v>64</v>
      </c>
      <c r="X180" s="32">
        <v>44197</v>
      </c>
      <c r="Y180" s="32">
        <v>45992</v>
      </c>
      <c r="Z180" s="30" t="s">
        <v>65</v>
      </c>
      <c r="AA180" s="28" t="s">
        <v>66</v>
      </c>
      <c r="AB180" s="28" t="s">
        <v>67</v>
      </c>
      <c r="AC180" s="29"/>
      <c r="AD180" s="28">
        <v>0</v>
      </c>
      <c r="AE180" s="29"/>
      <c r="AF180" s="31"/>
      <c r="AG180" s="30" t="s">
        <v>1504</v>
      </c>
      <c r="AH180" s="28"/>
      <c r="AI180" s="28" t="s">
        <v>53</v>
      </c>
      <c r="AJ180" s="33">
        <v>37748</v>
      </c>
      <c r="AK180" s="28">
        <v>6</v>
      </c>
      <c r="AL180" s="28">
        <v>19</v>
      </c>
      <c r="AM180" s="21" t="s">
        <v>69</v>
      </c>
      <c r="AN180" s="21"/>
      <c r="AO180" s="21"/>
      <c r="AP180" s="21"/>
      <c r="AQ180" s="21"/>
    </row>
    <row r="181" spans="1:43" ht="15.75" customHeight="1">
      <c r="A181" s="28">
        <v>6</v>
      </c>
      <c r="B181" s="29" t="s">
        <v>1537</v>
      </c>
      <c r="C181" s="30"/>
      <c r="D181" s="31" t="s">
        <v>1538</v>
      </c>
      <c r="E181" s="30" t="s">
        <v>72</v>
      </c>
      <c r="F181" s="30" t="s">
        <v>50</v>
      </c>
      <c r="G181" s="30" t="s">
        <v>51</v>
      </c>
      <c r="H181" s="28" t="s">
        <v>52</v>
      </c>
      <c r="I181" s="30"/>
      <c r="J181" s="30" t="s">
        <v>53</v>
      </c>
      <c r="K181" s="30" t="s">
        <v>1539</v>
      </c>
      <c r="L181" s="30" t="s">
        <v>55</v>
      </c>
      <c r="M181" s="30" t="s">
        <v>1497</v>
      </c>
      <c r="N181" s="30" t="s">
        <v>1540</v>
      </c>
      <c r="O181" s="30" t="s">
        <v>1541</v>
      </c>
      <c r="P181" s="30" t="s">
        <v>1542</v>
      </c>
      <c r="Q181" s="28"/>
      <c r="R181" s="30" t="s">
        <v>1543</v>
      </c>
      <c r="S181" s="30" t="s">
        <v>53</v>
      </c>
      <c r="T181" s="30"/>
      <c r="U181" s="28" t="s">
        <v>1512</v>
      </c>
      <c r="V181" s="30" t="s">
        <v>63</v>
      </c>
      <c r="W181" s="30" t="s">
        <v>64</v>
      </c>
      <c r="X181" s="32">
        <v>44409</v>
      </c>
      <c r="Y181" s="32">
        <v>46235</v>
      </c>
      <c r="Z181" s="30" t="s">
        <v>65</v>
      </c>
      <c r="AA181" s="28" t="s">
        <v>66</v>
      </c>
      <c r="AB181" s="28" t="s">
        <v>67</v>
      </c>
      <c r="AC181" s="29"/>
      <c r="AD181" s="28">
        <v>0</v>
      </c>
      <c r="AE181" s="29"/>
      <c r="AF181" s="31"/>
      <c r="AG181" s="30" t="s">
        <v>1504</v>
      </c>
      <c r="AH181" s="28"/>
      <c r="AI181" s="28" t="s">
        <v>53</v>
      </c>
      <c r="AJ181" s="33">
        <v>37528</v>
      </c>
      <c r="AK181" s="28">
        <v>5</v>
      </c>
      <c r="AL181" s="28">
        <v>18</v>
      </c>
      <c r="AM181" s="21" t="s">
        <v>69</v>
      </c>
      <c r="AN181" s="21"/>
      <c r="AO181" s="21"/>
      <c r="AP181" s="21"/>
      <c r="AQ181" s="21"/>
    </row>
    <row r="182" spans="1:43" ht="15.75" customHeight="1">
      <c r="A182" s="28">
        <v>7</v>
      </c>
      <c r="B182" s="29" t="s">
        <v>1544</v>
      </c>
      <c r="C182" s="30"/>
      <c r="D182" s="31" t="s">
        <v>1545</v>
      </c>
      <c r="E182" s="30" t="s">
        <v>72</v>
      </c>
      <c r="F182" s="30" t="s">
        <v>50</v>
      </c>
      <c r="G182" s="30" t="s">
        <v>51</v>
      </c>
      <c r="H182" s="28" t="s">
        <v>52</v>
      </c>
      <c r="I182" s="30"/>
      <c r="J182" s="30" t="s">
        <v>53</v>
      </c>
      <c r="K182" s="30" t="s">
        <v>1546</v>
      </c>
      <c r="L182" s="30" t="s">
        <v>55</v>
      </c>
      <c r="M182" s="30" t="s">
        <v>1497</v>
      </c>
      <c r="N182" s="30" t="s">
        <v>1547</v>
      </c>
      <c r="O182" s="30" t="s">
        <v>1548</v>
      </c>
      <c r="P182" s="30" t="s">
        <v>1549</v>
      </c>
      <c r="Q182" s="28"/>
      <c r="R182" s="30" t="s">
        <v>1550</v>
      </c>
      <c r="S182" s="30" t="s">
        <v>53</v>
      </c>
      <c r="T182" s="30"/>
      <c r="U182" s="28" t="s">
        <v>1551</v>
      </c>
      <c r="V182" s="30" t="s">
        <v>63</v>
      </c>
      <c r="W182" s="30" t="s">
        <v>64</v>
      </c>
      <c r="X182" s="32">
        <v>43831</v>
      </c>
      <c r="Y182" s="32">
        <v>45627</v>
      </c>
      <c r="Z182" s="30" t="s">
        <v>65</v>
      </c>
      <c r="AA182" s="28" t="s">
        <v>66</v>
      </c>
      <c r="AB182" s="28" t="s">
        <v>67</v>
      </c>
      <c r="AC182" s="29"/>
      <c r="AD182" s="28">
        <v>0</v>
      </c>
      <c r="AE182" s="29"/>
      <c r="AF182" s="31"/>
      <c r="AG182" s="30" t="s">
        <v>1504</v>
      </c>
      <c r="AH182" s="28"/>
      <c r="AI182" s="28" t="s">
        <v>118</v>
      </c>
      <c r="AJ182" s="33">
        <v>36865</v>
      </c>
      <c r="AK182" s="28">
        <v>7</v>
      </c>
      <c r="AL182" s="28">
        <v>17</v>
      </c>
      <c r="AM182" s="21" t="s">
        <v>69</v>
      </c>
      <c r="AN182" s="21"/>
      <c r="AO182" s="21"/>
      <c r="AP182" s="21"/>
      <c r="AQ182" s="21"/>
    </row>
    <row r="183" spans="1:43" ht="15.75" customHeight="1">
      <c r="A183" s="28">
        <v>8</v>
      </c>
      <c r="B183" s="29" t="s">
        <v>1552</v>
      </c>
      <c r="C183" s="30"/>
      <c r="D183" s="31" t="s">
        <v>1553</v>
      </c>
      <c r="E183" s="30" t="s">
        <v>72</v>
      </c>
      <c r="F183" s="30" t="s">
        <v>50</v>
      </c>
      <c r="G183" s="30" t="s">
        <v>51</v>
      </c>
      <c r="H183" s="28" t="s">
        <v>85</v>
      </c>
      <c r="I183" s="30"/>
      <c r="J183" s="30" t="s">
        <v>53</v>
      </c>
      <c r="K183" s="30" t="s">
        <v>1554</v>
      </c>
      <c r="L183" s="30" t="s">
        <v>55</v>
      </c>
      <c r="M183" s="30" t="s">
        <v>1497</v>
      </c>
      <c r="N183" s="30" t="s">
        <v>1555</v>
      </c>
      <c r="O183" s="30" t="s">
        <v>1556</v>
      </c>
      <c r="P183" s="30" t="s">
        <v>1557</v>
      </c>
      <c r="Q183" s="28"/>
      <c r="R183" s="30" t="s">
        <v>1558</v>
      </c>
      <c r="S183" s="30" t="s">
        <v>53</v>
      </c>
      <c r="T183" s="30"/>
      <c r="U183" s="28" t="s">
        <v>1559</v>
      </c>
      <c r="V183" s="30" t="s">
        <v>63</v>
      </c>
      <c r="W183" s="30" t="s">
        <v>64</v>
      </c>
      <c r="X183" s="32">
        <v>44409</v>
      </c>
      <c r="Y183" s="32">
        <v>46174</v>
      </c>
      <c r="Z183" s="30" t="s">
        <v>65</v>
      </c>
      <c r="AA183" s="28" t="s">
        <v>66</v>
      </c>
      <c r="AB183" s="28" t="s">
        <v>67</v>
      </c>
      <c r="AC183" s="29"/>
      <c r="AD183" s="28">
        <v>0</v>
      </c>
      <c r="AE183" s="29"/>
      <c r="AF183" s="31"/>
      <c r="AG183" s="30" t="s">
        <v>1504</v>
      </c>
      <c r="AH183" s="28"/>
      <c r="AI183" s="28" t="s">
        <v>53</v>
      </c>
      <c r="AJ183" s="33">
        <v>37526</v>
      </c>
      <c r="AK183" s="28">
        <v>5</v>
      </c>
      <c r="AL183" s="28">
        <v>16</v>
      </c>
      <c r="AM183" s="21" t="s">
        <v>69</v>
      </c>
      <c r="AN183" s="21"/>
      <c r="AO183" s="21"/>
      <c r="AP183" s="21"/>
      <c r="AQ183" s="21"/>
    </row>
    <row r="184" spans="1:43" ht="15.75" customHeight="1">
      <c r="A184" s="28">
        <v>9</v>
      </c>
      <c r="B184" s="29" t="s">
        <v>1560</v>
      </c>
      <c r="C184" s="30" t="s">
        <v>1561</v>
      </c>
      <c r="D184" s="31" t="s">
        <v>1562</v>
      </c>
      <c r="E184" s="30" t="s">
        <v>72</v>
      </c>
      <c r="F184" s="30" t="s">
        <v>50</v>
      </c>
      <c r="G184" s="30" t="s">
        <v>51</v>
      </c>
      <c r="H184" s="28" t="s">
        <v>52</v>
      </c>
      <c r="I184" s="30"/>
      <c r="J184" s="30" t="s">
        <v>53</v>
      </c>
      <c r="K184" s="30" t="s">
        <v>1563</v>
      </c>
      <c r="L184" s="30" t="s">
        <v>55</v>
      </c>
      <c r="M184" s="30" t="s">
        <v>1497</v>
      </c>
      <c r="N184" s="30" t="s">
        <v>1564</v>
      </c>
      <c r="O184" s="30" t="s">
        <v>1565</v>
      </c>
      <c r="P184" s="30" t="s">
        <v>1566</v>
      </c>
      <c r="Q184" s="28" t="s">
        <v>1567</v>
      </c>
      <c r="R184" s="30" t="s">
        <v>1568</v>
      </c>
      <c r="S184" s="30" t="s">
        <v>53</v>
      </c>
      <c r="T184" s="30"/>
      <c r="U184" s="28" t="s">
        <v>1569</v>
      </c>
      <c r="V184" s="30" t="s">
        <v>63</v>
      </c>
      <c r="W184" s="30" t="s">
        <v>64</v>
      </c>
      <c r="X184" s="32">
        <v>44348</v>
      </c>
      <c r="Y184" s="32">
        <v>46357</v>
      </c>
      <c r="Z184" s="30" t="s">
        <v>65</v>
      </c>
      <c r="AA184" s="28" t="s">
        <v>66</v>
      </c>
      <c r="AB184" s="28" t="s">
        <v>67</v>
      </c>
      <c r="AC184" s="29"/>
      <c r="AD184" s="28">
        <v>0</v>
      </c>
      <c r="AE184" s="29"/>
      <c r="AF184" s="31"/>
      <c r="AG184" s="30" t="s">
        <v>1504</v>
      </c>
      <c r="AH184" s="28"/>
      <c r="AI184" s="28" t="s">
        <v>118</v>
      </c>
      <c r="AJ184" s="33">
        <v>36802</v>
      </c>
      <c r="AK184" s="28">
        <v>5</v>
      </c>
      <c r="AL184" s="28">
        <v>15</v>
      </c>
      <c r="AM184" s="21" t="s">
        <v>69</v>
      </c>
      <c r="AN184" s="21"/>
      <c r="AO184" s="21"/>
      <c r="AP184" s="21"/>
      <c r="AQ184" s="21"/>
    </row>
    <row r="185" spans="1:43" ht="15.75" customHeight="1">
      <c r="A185" s="28">
        <v>1</v>
      </c>
      <c r="B185" s="29" t="s">
        <v>1570</v>
      </c>
      <c r="C185" s="30"/>
      <c r="D185" s="31" t="s">
        <v>1571</v>
      </c>
      <c r="E185" s="30" t="s">
        <v>72</v>
      </c>
      <c r="F185" s="30" t="s">
        <v>84</v>
      </c>
      <c r="G185" s="30" t="s">
        <v>51</v>
      </c>
      <c r="H185" s="28" t="s">
        <v>85</v>
      </c>
      <c r="I185" s="30"/>
      <c r="J185" s="30" t="s">
        <v>53</v>
      </c>
      <c r="K185" s="30" t="s">
        <v>1572</v>
      </c>
      <c r="L185" s="30" t="s">
        <v>55</v>
      </c>
      <c r="M185" s="30" t="s">
        <v>1573</v>
      </c>
      <c r="N185" s="30" t="s">
        <v>1574</v>
      </c>
      <c r="O185" s="30" t="s">
        <v>1575</v>
      </c>
      <c r="P185" s="30" t="s">
        <v>1576</v>
      </c>
      <c r="Q185" s="28"/>
      <c r="R185" s="30" t="s">
        <v>1577</v>
      </c>
      <c r="S185" s="30" t="s">
        <v>53</v>
      </c>
      <c r="T185" s="30"/>
      <c r="U185" s="28" t="s">
        <v>1578</v>
      </c>
      <c r="V185" s="30" t="s">
        <v>63</v>
      </c>
      <c r="W185" s="30" t="s">
        <v>80</v>
      </c>
      <c r="X185" s="32">
        <v>44409</v>
      </c>
      <c r="Y185" s="32">
        <v>45870</v>
      </c>
      <c r="Z185" s="30" t="s">
        <v>65</v>
      </c>
      <c r="AA185" s="28" t="s">
        <v>246</v>
      </c>
      <c r="AB185" s="28" t="s">
        <v>67</v>
      </c>
      <c r="AC185" s="29"/>
      <c r="AD185" s="28">
        <v>0</v>
      </c>
      <c r="AE185" s="29"/>
      <c r="AF185" s="31"/>
      <c r="AG185" s="30" t="s">
        <v>1579</v>
      </c>
      <c r="AH185" s="28"/>
      <c r="AI185" s="28" t="s">
        <v>53</v>
      </c>
      <c r="AJ185" s="33">
        <v>34767</v>
      </c>
      <c r="AK185" s="28">
        <v>5</v>
      </c>
      <c r="AL185" s="28">
        <v>26</v>
      </c>
      <c r="AM185" s="21"/>
      <c r="AN185" s="27"/>
      <c r="AO185" s="27"/>
      <c r="AP185" s="27"/>
      <c r="AQ185" s="27"/>
    </row>
    <row r="186" spans="1:43" ht="15.75" customHeight="1">
      <c r="A186" s="28">
        <v>2</v>
      </c>
      <c r="B186" s="29" t="s">
        <v>1580</v>
      </c>
      <c r="C186" s="30" t="s">
        <v>1581</v>
      </c>
      <c r="D186" s="31" t="s">
        <v>1582</v>
      </c>
      <c r="E186" s="30" t="s">
        <v>49</v>
      </c>
      <c r="F186" s="30" t="s">
        <v>50</v>
      </c>
      <c r="G186" s="30" t="s">
        <v>51</v>
      </c>
      <c r="H186" s="28" t="s">
        <v>85</v>
      </c>
      <c r="I186" s="30"/>
      <c r="J186" s="30" t="s">
        <v>53</v>
      </c>
      <c r="K186" s="30" t="s">
        <v>1583</v>
      </c>
      <c r="L186" s="30" t="s">
        <v>55</v>
      </c>
      <c r="M186" s="30" t="s">
        <v>1573</v>
      </c>
      <c r="N186" s="30" t="s">
        <v>1584</v>
      </c>
      <c r="O186" s="30" t="s">
        <v>1585</v>
      </c>
      <c r="P186" s="30" t="s">
        <v>1586</v>
      </c>
      <c r="Q186" s="28" t="s">
        <v>1587</v>
      </c>
      <c r="R186" s="30" t="s">
        <v>1588</v>
      </c>
      <c r="S186" s="30" t="s">
        <v>118</v>
      </c>
      <c r="T186" s="30" t="s">
        <v>1589</v>
      </c>
      <c r="U186" s="28" t="s">
        <v>1590</v>
      </c>
      <c r="V186" s="30" t="s">
        <v>63</v>
      </c>
      <c r="W186" s="30" t="s">
        <v>80</v>
      </c>
      <c r="X186" s="32">
        <v>44835</v>
      </c>
      <c r="Y186" s="32">
        <v>46174</v>
      </c>
      <c r="Z186" s="30" t="s">
        <v>65</v>
      </c>
      <c r="AA186" s="28" t="s">
        <v>134</v>
      </c>
      <c r="AB186" s="28" t="s">
        <v>67</v>
      </c>
      <c r="AC186" s="29"/>
      <c r="AD186" s="28">
        <v>0</v>
      </c>
      <c r="AE186" s="29"/>
      <c r="AF186" s="31"/>
      <c r="AG186" s="30" t="s">
        <v>1579</v>
      </c>
      <c r="AH186" s="28" t="s">
        <v>122</v>
      </c>
      <c r="AI186" s="28" t="s">
        <v>53</v>
      </c>
      <c r="AJ186" s="33">
        <v>35824</v>
      </c>
      <c r="AK186" s="28">
        <v>3</v>
      </c>
      <c r="AL186" s="28">
        <v>22</v>
      </c>
      <c r="AM186" s="21"/>
      <c r="AN186" s="27"/>
      <c r="AO186" s="27"/>
      <c r="AP186" s="27"/>
      <c r="AQ186" s="27"/>
    </row>
    <row r="187" spans="1:43" ht="15.75" customHeight="1">
      <c r="A187" s="28">
        <v>3</v>
      </c>
      <c r="B187" s="29" t="s">
        <v>1591</v>
      </c>
      <c r="C187" s="30"/>
      <c r="D187" s="31" t="s">
        <v>1592</v>
      </c>
      <c r="E187" s="30" t="s">
        <v>49</v>
      </c>
      <c r="F187" s="30" t="s">
        <v>50</v>
      </c>
      <c r="G187" s="30" t="s">
        <v>51</v>
      </c>
      <c r="H187" s="28" t="s">
        <v>85</v>
      </c>
      <c r="I187" s="30"/>
      <c r="J187" s="30" t="s">
        <v>53</v>
      </c>
      <c r="K187" s="30" t="s">
        <v>1593</v>
      </c>
      <c r="L187" s="30" t="s">
        <v>55</v>
      </c>
      <c r="M187" s="30" t="s">
        <v>1573</v>
      </c>
      <c r="N187" s="30" t="s">
        <v>1594</v>
      </c>
      <c r="O187" s="30" t="s">
        <v>1595</v>
      </c>
      <c r="P187" s="30" t="s">
        <v>1596</v>
      </c>
      <c r="Q187" s="28"/>
      <c r="R187" s="30" t="s">
        <v>1597</v>
      </c>
      <c r="S187" s="30" t="s">
        <v>53</v>
      </c>
      <c r="T187" s="30"/>
      <c r="U187" s="28" t="s">
        <v>1598</v>
      </c>
      <c r="V187" s="30" t="s">
        <v>63</v>
      </c>
      <c r="W187" s="30" t="s">
        <v>80</v>
      </c>
      <c r="X187" s="32">
        <v>44287</v>
      </c>
      <c r="Y187" s="32">
        <v>45748</v>
      </c>
      <c r="Z187" s="30" t="s">
        <v>65</v>
      </c>
      <c r="AA187" s="28" t="s">
        <v>134</v>
      </c>
      <c r="AB187" s="28" t="s">
        <v>67</v>
      </c>
      <c r="AC187" s="29"/>
      <c r="AD187" s="28">
        <v>0</v>
      </c>
      <c r="AE187" s="29"/>
      <c r="AF187" s="31"/>
      <c r="AG187" s="30" t="s">
        <v>1579</v>
      </c>
      <c r="AH187" s="28"/>
      <c r="AI187" s="28" t="s">
        <v>53</v>
      </c>
      <c r="AJ187" s="33">
        <v>37790</v>
      </c>
      <c r="AK187" s="28">
        <v>5</v>
      </c>
      <c r="AL187" s="28">
        <v>18</v>
      </c>
      <c r="AM187" s="21"/>
      <c r="AN187" s="27"/>
      <c r="AO187" s="27"/>
      <c r="AP187" s="27"/>
      <c r="AQ187" s="27"/>
    </row>
    <row r="188" spans="1:43" ht="15.75" customHeight="1">
      <c r="A188" s="28">
        <v>1</v>
      </c>
      <c r="B188" s="29" t="s">
        <v>1599</v>
      </c>
      <c r="C188" s="30" t="s">
        <v>1600</v>
      </c>
      <c r="D188" s="31" t="s">
        <v>1601</v>
      </c>
      <c r="E188" s="30" t="s">
        <v>49</v>
      </c>
      <c r="F188" s="30" t="s">
        <v>50</v>
      </c>
      <c r="G188" s="30" t="s">
        <v>51</v>
      </c>
      <c r="H188" s="28" t="s">
        <v>191</v>
      </c>
      <c r="I188" s="30"/>
      <c r="J188" s="30" t="s">
        <v>53</v>
      </c>
      <c r="K188" s="30" t="s">
        <v>1602</v>
      </c>
      <c r="L188" s="30" t="s">
        <v>55</v>
      </c>
      <c r="M188" s="30" t="s">
        <v>656</v>
      </c>
      <c r="N188" s="30" t="s">
        <v>1603</v>
      </c>
      <c r="O188" s="30" t="s">
        <v>1604</v>
      </c>
      <c r="P188" s="30" t="s">
        <v>1605</v>
      </c>
      <c r="Q188" s="28" t="s">
        <v>1606</v>
      </c>
      <c r="R188" s="30" t="s">
        <v>1607</v>
      </c>
      <c r="S188" s="30" t="s">
        <v>53</v>
      </c>
      <c r="T188" s="30"/>
      <c r="U188" s="28" t="s">
        <v>557</v>
      </c>
      <c r="V188" s="30" t="s">
        <v>63</v>
      </c>
      <c r="W188" s="30" t="s">
        <v>266</v>
      </c>
      <c r="X188" s="32">
        <v>44256</v>
      </c>
      <c r="Y188" s="32">
        <v>46174</v>
      </c>
      <c r="Z188" s="30" t="s">
        <v>65</v>
      </c>
      <c r="AA188" s="28" t="s">
        <v>66</v>
      </c>
      <c r="AB188" s="28" t="s">
        <v>67</v>
      </c>
      <c r="AC188" s="29"/>
      <c r="AD188" s="28">
        <v>0</v>
      </c>
      <c r="AE188" s="29"/>
      <c r="AF188" s="31"/>
      <c r="AG188" s="30" t="s">
        <v>1579</v>
      </c>
      <c r="AH188" s="28"/>
      <c r="AI188" s="28" t="s">
        <v>53</v>
      </c>
      <c r="AJ188" s="33">
        <v>33311</v>
      </c>
      <c r="AK188" s="28">
        <v>3</v>
      </c>
      <c r="AL188" s="28">
        <v>23</v>
      </c>
      <c r="AM188" s="21"/>
      <c r="AN188" s="27"/>
      <c r="AO188" s="27"/>
      <c r="AP188" s="27"/>
      <c r="AQ188" s="27"/>
    </row>
    <row r="189" spans="1:43" ht="15.75" customHeight="1">
      <c r="A189" s="28">
        <v>2</v>
      </c>
      <c r="B189" s="29" t="s">
        <v>1608</v>
      </c>
      <c r="C189" s="30"/>
      <c r="D189" s="31" t="s">
        <v>1609</v>
      </c>
      <c r="E189" s="30" t="s">
        <v>72</v>
      </c>
      <c r="F189" s="30" t="s">
        <v>50</v>
      </c>
      <c r="G189" s="30" t="s">
        <v>51</v>
      </c>
      <c r="H189" s="28" t="s">
        <v>52</v>
      </c>
      <c r="I189" s="30"/>
      <c r="J189" s="30" t="s">
        <v>53</v>
      </c>
      <c r="K189" s="30" t="s">
        <v>1610</v>
      </c>
      <c r="L189" s="30" t="s">
        <v>55</v>
      </c>
      <c r="M189" s="30" t="s">
        <v>1573</v>
      </c>
      <c r="N189" s="30" t="s">
        <v>1611</v>
      </c>
      <c r="O189" s="30" t="s">
        <v>1612</v>
      </c>
      <c r="P189" s="30" t="s">
        <v>1613</v>
      </c>
      <c r="Q189" s="28"/>
      <c r="R189" s="30" t="s">
        <v>1614</v>
      </c>
      <c r="S189" s="30" t="s">
        <v>53</v>
      </c>
      <c r="T189" s="30"/>
      <c r="U189" s="28" t="s">
        <v>1615</v>
      </c>
      <c r="V189" s="30" t="s">
        <v>63</v>
      </c>
      <c r="W189" s="30" t="s">
        <v>266</v>
      </c>
      <c r="X189" s="32">
        <v>44774</v>
      </c>
      <c r="Y189" s="32">
        <v>46174</v>
      </c>
      <c r="Z189" s="30" t="s">
        <v>65</v>
      </c>
      <c r="AA189" s="28" t="s">
        <v>66</v>
      </c>
      <c r="AB189" s="28" t="s">
        <v>67</v>
      </c>
      <c r="AC189" s="29"/>
      <c r="AD189" s="28">
        <v>0</v>
      </c>
      <c r="AE189" s="29"/>
      <c r="AF189" s="31"/>
      <c r="AG189" s="30" t="s">
        <v>1579</v>
      </c>
      <c r="AH189" s="28"/>
      <c r="AI189" s="28" t="s">
        <v>53</v>
      </c>
      <c r="AJ189" s="33">
        <v>35437</v>
      </c>
      <c r="AK189" s="28">
        <v>3</v>
      </c>
      <c r="AL189" s="28">
        <v>18</v>
      </c>
      <c r="AM189" s="21"/>
      <c r="AN189" s="27"/>
      <c r="AO189" s="27"/>
      <c r="AP189" s="27"/>
      <c r="AQ189" s="27"/>
    </row>
    <row r="190" spans="1:43" ht="15.75" customHeight="1">
      <c r="A190" s="28">
        <v>3</v>
      </c>
      <c r="B190" s="29" t="s">
        <v>1616</v>
      </c>
      <c r="C190" s="30" t="s">
        <v>1617</v>
      </c>
      <c r="D190" s="31" t="s">
        <v>1618</v>
      </c>
      <c r="E190" s="30" t="s">
        <v>72</v>
      </c>
      <c r="F190" s="30" t="s">
        <v>50</v>
      </c>
      <c r="G190" s="30" t="s">
        <v>51</v>
      </c>
      <c r="H190" s="28" t="s">
        <v>85</v>
      </c>
      <c r="I190" s="30"/>
      <c r="J190" s="30" t="s">
        <v>53</v>
      </c>
      <c r="K190" s="30" t="s">
        <v>1619</v>
      </c>
      <c r="L190" s="30" t="s">
        <v>55</v>
      </c>
      <c r="M190" s="30" t="s">
        <v>1620</v>
      </c>
      <c r="N190" s="30" t="s">
        <v>1621</v>
      </c>
      <c r="O190" s="30" t="s">
        <v>1622</v>
      </c>
      <c r="P190" s="30" t="s">
        <v>1623</v>
      </c>
      <c r="Q190" s="28"/>
      <c r="R190" s="30" t="s">
        <v>1624</v>
      </c>
      <c r="S190" s="30" t="s">
        <v>53</v>
      </c>
      <c r="T190" s="30"/>
      <c r="U190" s="28" t="s">
        <v>1625</v>
      </c>
      <c r="V190" s="30" t="s">
        <v>63</v>
      </c>
      <c r="W190" s="30" t="s">
        <v>266</v>
      </c>
      <c r="X190" s="32">
        <v>44562</v>
      </c>
      <c r="Y190" s="32">
        <v>45992</v>
      </c>
      <c r="Z190" s="30" t="s">
        <v>65</v>
      </c>
      <c r="AA190" s="28" t="s">
        <v>134</v>
      </c>
      <c r="AB190" s="28" t="s">
        <v>67</v>
      </c>
      <c r="AC190" s="29"/>
      <c r="AD190" s="28">
        <v>0</v>
      </c>
      <c r="AE190" s="29"/>
      <c r="AF190" s="31"/>
      <c r="AG190" s="30" t="s">
        <v>1579</v>
      </c>
      <c r="AH190" s="28"/>
      <c r="AI190" s="28" t="s">
        <v>53</v>
      </c>
      <c r="AJ190" s="33">
        <v>38218</v>
      </c>
      <c r="AK190" s="28">
        <v>4</v>
      </c>
      <c r="AL190" s="28">
        <v>18</v>
      </c>
      <c r="AM190" s="21"/>
      <c r="AN190" s="27"/>
      <c r="AO190" s="27"/>
      <c r="AP190" s="27"/>
      <c r="AQ190" s="27"/>
    </row>
    <row r="191" spans="1:43" ht="15.75" customHeight="1">
      <c r="A191" s="28">
        <v>4</v>
      </c>
      <c r="B191" s="29" t="s">
        <v>1626</v>
      </c>
      <c r="C191" s="30" t="s">
        <v>1627</v>
      </c>
      <c r="D191" s="31" t="s">
        <v>1628</v>
      </c>
      <c r="E191" s="30" t="s">
        <v>72</v>
      </c>
      <c r="F191" s="30" t="s">
        <v>84</v>
      </c>
      <c r="G191" s="30" t="s">
        <v>51</v>
      </c>
      <c r="H191" s="28" t="s">
        <v>1121</v>
      </c>
      <c r="I191" s="30"/>
      <c r="J191" s="30" t="s">
        <v>53</v>
      </c>
      <c r="K191" s="30" t="s">
        <v>1629</v>
      </c>
      <c r="L191" s="30" t="s">
        <v>55</v>
      </c>
      <c r="M191" s="30" t="s">
        <v>656</v>
      </c>
      <c r="N191" s="30" t="s">
        <v>1630</v>
      </c>
      <c r="O191" s="30" t="s">
        <v>95</v>
      </c>
      <c r="P191" s="30" t="s">
        <v>1631</v>
      </c>
      <c r="Q191" s="28"/>
      <c r="R191" s="30" t="s">
        <v>1632</v>
      </c>
      <c r="S191" s="30" t="s">
        <v>53</v>
      </c>
      <c r="T191" s="30"/>
      <c r="U191" s="28" t="s">
        <v>1633</v>
      </c>
      <c r="V191" s="30" t="s">
        <v>63</v>
      </c>
      <c r="W191" s="30" t="s">
        <v>266</v>
      </c>
      <c r="X191" s="32">
        <v>44197</v>
      </c>
      <c r="Y191" s="32">
        <v>45444</v>
      </c>
      <c r="Z191" s="30" t="s">
        <v>65</v>
      </c>
      <c r="AA191" s="28" t="s">
        <v>66</v>
      </c>
      <c r="AB191" s="28" t="s">
        <v>67</v>
      </c>
      <c r="AC191" s="29"/>
      <c r="AD191" s="28">
        <v>0</v>
      </c>
      <c r="AE191" s="29"/>
      <c r="AF191" s="31"/>
      <c r="AG191" s="30" t="s">
        <v>1579</v>
      </c>
      <c r="AH191" s="28"/>
      <c r="AI191" s="28" t="s">
        <v>53</v>
      </c>
      <c r="AJ191" s="33">
        <v>34051</v>
      </c>
      <c r="AK191" s="28">
        <v>7</v>
      </c>
      <c r="AL191" s="28">
        <v>18</v>
      </c>
      <c r="AM191" s="21"/>
      <c r="AN191" s="27"/>
      <c r="AO191" s="27"/>
      <c r="AP191" s="27"/>
      <c r="AQ191" s="27"/>
    </row>
    <row r="192" spans="1:43" ht="15.75" customHeight="1">
      <c r="A192" s="28">
        <v>5</v>
      </c>
      <c r="B192" s="29" t="s">
        <v>1634</v>
      </c>
      <c r="C192" s="30"/>
      <c r="D192" s="31" t="s">
        <v>1635</v>
      </c>
      <c r="E192" s="30" t="s">
        <v>72</v>
      </c>
      <c r="F192" s="30" t="s">
        <v>84</v>
      </c>
      <c r="G192" s="30" t="s">
        <v>51</v>
      </c>
      <c r="H192" s="28" t="s">
        <v>52</v>
      </c>
      <c r="I192" s="30"/>
      <c r="J192" s="30" t="s">
        <v>53</v>
      </c>
      <c r="K192" s="30" t="s">
        <v>1636</v>
      </c>
      <c r="L192" s="30" t="s">
        <v>55</v>
      </c>
      <c r="M192" s="30" t="s">
        <v>656</v>
      </c>
      <c r="N192" s="30" t="s">
        <v>1637</v>
      </c>
      <c r="O192" s="30" t="s">
        <v>1638</v>
      </c>
      <c r="P192" s="30" t="s">
        <v>1639</v>
      </c>
      <c r="Q192" s="28"/>
      <c r="R192" s="30" t="s">
        <v>1640</v>
      </c>
      <c r="S192" s="30" t="s">
        <v>53</v>
      </c>
      <c r="T192" s="30"/>
      <c r="U192" s="28" t="s">
        <v>1641</v>
      </c>
      <c r="V192" s="30" t="s">
        <v>63</v>
      </c>
      <c r="W192" s="30" t="s">
        <v>266</v>
      </c>
      <c r="X192" s="32">
        <v>44044</v>
      </c>
      <c r="Y192" s="32">
        <v>45474</v>
      </c>
      <c r="Z192" s="30" t="s">
        <v>65</v>
      </c>
      <c r="AA192" s="28" t="s">
        <v>246</v>
      </c>
      <c r="AB192" s="28" t="s">
        <v>67</v>
      </c>
      <c r="AC192" s="29"/>
      <c r="AD192" s="28">
        <v>0</v>
      </c>
      <c r="AE192" s="29"/>
      <c r="AF192" s="31"/>
      <c r="AG192" s="30" t="s">
        <v>1579</v>
      </c>
      <c r="AH192" s="28"/>
      <c r="AI192" s="28" t="s">
        <v>53</v>
      </c>
      <c r="AJ192" s="33">
        <v>35716</v>
      </c>
      <c r="AK192" s="28">
        <v>7</v>
      </c>
      <c r="AL192" s="28">
        <v>18</v>
      </c>
      <c r="AM192" s="21"/>
      <c r="AN192" s="27"/>
      <c r="AO192" s="27"/>
      <c r="AP192" s="27"/>
      <c r="AQ192" s="27"/>
    </row>
    <row r="193" spans="1:43" ht="15.75" customHeight="1">
      <c r="A193" s="28">
        <v>1</v>
      </c>
      <c r="B193" s="29" t="s">
        <v>1642</v>
      </c>
      <c r="C193" s="30"/>
      <c r="D193" s="31" t="s">
        <v>1643</v>
      </c>
      <c r="E193" s="30" t="s">
        <v>72</v>
      </c>
      <c r="F193" s="30" t="s">
        <v>50</v>
      </c>
      <c r="G193" s="30" t="s">
        <v>51</v>
      </c>
      <c r="H193" s="28" t="s">
        <v>85</v>
      </c>
      <c r="I193" s="30"/>
      <c r="J193" s="30" t="s">
        <v>53</v>
      </c>
      <c r="K193" s="30" t="s">
        <v>1644</v>
      </c>
      <c r="L193" s="30" t="s">
        <v>55</v>
      </c>
      <c r="M193" s="30" t="s">
        <v>1573</v>
      </c>
      <c r="N193" s="30" t="s">
        <v>1645</v>
      </c>
      <c r="O193" s="30" t="s">
        <v>1646</v>
      </c>
      <c r="P193" s="30" t="s">
        <v>1647</v>
      </c>
      <c r="Q193" s="28"/>
      <c r="R193" s="30" t="s">
        <v>1648</v>
      </c>
      <c r="S193" s="30" t="s">
        <v>53</v>
      </c>
      <c r="T193" s="30"/>
      <c r="U193" s="28" t="s">
        <v>732</v>
      </c>
      <c r="V193" s="30" t="s">
        <v>63</v>
      </c>
      <c r="W193" s="30" t="s">
        <v>64</v>
      </c>
      <c r="X193" s="32">
        <v>44562</v>
      </c>
      <c r="Y193" s="32">
        <v>46357</v>
      </c>
      <c r="Z193" s="30" t="s">
        <v>65</v>
      </c>
      <c r="AA193" s="28" t="s">
        <v>134</v>
      </c>
      <c r="AB193" s="28" t="s">
        <v>67</v>
      </c>
      <c r="AC193" s="29"/>
      <c r="AD193" s="28">
        <v>0</v>
      </c>
      <c r="AE193" s="29"/>
      <c r="AF193" s="31"/>
      <c r="AG193" s="30" t="s">
        <v>1579</v>
      </c>
      <c r="AH193" s="28"/>
      <c r="AI193" s="28" t="s">
        <v>53</v>
      </c>
      <c r="AJ193" s="33">
        <v>37408</v>
      </c>
      <c r="AK193" s="28">
        <v>5</v>
      </c>
      <c r="AL193" s="28">
        <v>29</v>
      </c>
      <c r="AM193" s="21"/>
      <c r="AN193" s="27"/>
      <c r="AO193" s="27"/>
      <c r="AP193" s="27"/>
      <c r="AQ193" s="27"/>
    </row>
    <row r="194" spans="1:43" ht="15.75" customHeight="1">
      <c r="A194" s="28">
        <v>2</v>
      </c>
      <c r="B194" s="29" t="s">
        <v>1649</v>
      </c>
      <c r="C194" s="30"/>
      <c r="D194" s="31" t="s">
        <v>1650</v>
      </c>
      <c r="E194" s="30" t="s">
        <v>49</v>
      </c>
      <c r="F194" s="30" t="s">
        <v>50</v>
      </c>
      <c r="G194" s="30" t="s">
        <v>51</v>
      </c>
      <c r="H194" s="28" t="s">
        <v>85</v>
      </c>
      <c r="I194" s="30"/>
      <c r="J194" s="30" t="s">
        <v>53</v>
      </c>
      <c r="K194" s="30" t="s">
        <v>1651</v>
      </c>
      <c r="L194" s="30" t="s">
        <v>55</v>
      </c>
      <c r="M194" s="30" t="s">
        <v>1573</v>
      </c>
      <c r="N194" s="30" t="s">
        <v>1652</v>
      </c>
      <c r="O194" s="30" t="s">
        <v>1653</v>
      </c>
      <c r="P194" s="30" t="s">
        <v>1654</v>
      </c>
      <c r="Q194" s="28" t="s">
        <v>1655</v>
      </c>
      <c r="R194" s="30" t="s">
        <v>1656</v>
      </c>
      <c r="S194" s="30" t="s">
        <v>53</v>
      </c>
      <c r="T194" s="30"/>
      <c r="U194" s="28" t="s">
        <v>1657</v>
      </c>
      <c r="V194" s="30" t="s">
        <v>63</v>
      </c>
      <c r="W194" s="30" t="s">
        <v>64</v>
      </c>
      <c r="X194" s="32">
        <v>43831</v>
      </c>
      <c r="Y194" s="32">
        <v>45992</v>
      </c>
      <c r="Z194" s="30" t="s">
        <v>65</v>
      </c>
      <c r="AA194" s="28" t="s">
        <v>66</v>
      </c>
      <c r="AB194" s="28" t="s">
        <v>67</v>
      </c>
      <c r="AC194" s="29"/>
      <c r="AD194" s="28">
        <v>0</v>
      </c>
      <c r="AE194" s="29"/>
      <c r="AF194" s="31"/>
      <c r="AG194" s="30" t="s">
        <v>1579</v>
      </c>
      <c r="AH194" s="28"/>
      <c r="AI194" s="28" t="s">
        <v>53</v>
      </c>
      <c r="AJ194" s="33">
        <v>37557</v>
      </c>
      <c r="AK194" s="28">
        <v>5</v>
      </c>
      <c r="AL194" s="28">
        <v>29</v>
      </c>
      <c r="AM194" s="21"/>
      <c r="AN194" s="27"/>
      <c r="AO194" s="27"/>
      <c r="AP194" s="27"/>
      <c r="AQ194" s="27"/>
    </row>
    <row r="195" spans="1:43" ht="15.75" customHeight="1">
      <c r="A195" s="28">
        <v>3</v>
      </c>
      <c r="B195" s="29" t="s">
        <v>1658</v>
      </c>
      <c r="C195" s="30"/>
      <c r="D195" s="31" t="s">
        <v>1659</v>
      </c>
      <c r="E195" s="30" t="s">
        <v>72</v>
      </c>
      <c r="F195" s="30" t="s">
        <v>50</v>
      </c>
      <c r="G195" s="30" t="s">
        <v>51</v>
      </c>
      <c r="H195" s="28" t="s">
        <v>85</v>
      </c>
      <c r="I195" s="30"/>
      <c r="J195" s="30" t="s">
        <v>53</v>
      </c>
      <c r="K195" s="30" t="s">
        <v>1660</v>
      </c>
      <c r="L195" s="30" t="s">
        <v>55</v>
      </c>
      <c r="M195" s="30" t="s">
        <v>656</v>
      </c>
      <c r="N195" s="30" t="s">
        <v>1661</v>
      </c>
      <c r="O195" s="30" t="s">
        <v>1662</v>
      </c>
      <c r="P195" s="30" t="s">
        <v>1663</v>
      </c>
      <c r="Q195" s="28"/>
      <c r="R195" s="30" t="s">
        <v>1664</v>
      </c>
      <c r="S195" s="30" t="s">
        <v>53</v>
      </c>
      <c r="T195" s="30"/>
      <c r="U195" s="28" t="s">
        <v>1665</v>
      </c>
      <c r="V195" s="30" t="s">
        <v>63</v>
      </c>
      <c r="W195" s="30" t="s">
        <v>64</v>
      </c>
      <c r="X195" s="32">
        <v>44409</v>
      </c>
      <c r="Y195" s="32">
        <v>46174</v>
      </c>
      <c r="Z195" s="30" t="s">
        <v>65</v>
      </c>
      <c r="AA195" s="28" t="s">
        <v>67</v>
      </c>
      <c r="AB195" s="28" t="s">
        <v>67</v>
      </c>
      <c r="AC195" s="29"/>
      <c r="AD195" s="28">
        <v>0</v>
      </c>
      <c r="AE195" s="29"/>
      <c r="AF195" s="31"/>
      <c r="AG195" s="30" t="s">
        <v>1579</v>
      </c>
      <c r="AH195" s="28"/>
      <c r="AI195" s="28" t="s">
        <v>53</v>
      </c>
      <c r="AJ195" s="33">
        <v>37818</v>
      </c>
      <c r="AK195" s="28">
        <v>5</v>
      </c>
      <c r="AL195" s="28">
        <v>28</v>
      </c>
      <c r="AM195" s="21"/>
      <c r="AN195" s="27"/>
      <c r="AO195" s="27"/>
      <c r="AP195" s="27"/>
      <c r="AQ195" s="27"/>
    </row>
    <row r="196" spans="1:43" ht="15.75" customHeight="1">
      <c r="A196" s="28">
        <v>4</v>
      </c>
      <c r="B196" s="29" t="s">
        <v>1666</v>
      </c>
      <c r="C196" s="30"/>
      <c r="D196" s="31" t="s">
        <v>1667</v>
      </c>
      <c r="E196" s="30" t="s">
        <v>72</v>
      </c>
      <c r="F196" s="30" t="s">
        <v>50</v>
      </c>
      <c r="G196" s="30" t="s">
        <v>51</v>
      </c>
      <c r="H196" s="28" t="s">
        <v>85</v>
      </c>
      <c r="I196" s="30"/>
      <c r="J196" s="30" t="s">
        <v>53</v>
      </c>
      <c r="K196" s="30" t="s">
        <v>1668</v>
      </c>
      <c r="L196" s="30" t="s">
        <v>55</v>
      </c>
      <c r="M196" s="30" t="s">
        <v>1573</v>
      </c>
      <c r="N196" s="30" t="s">
        <v>1669</v>
      </c>
      <c r="O196" s="30" t="s">
        <v>1670</v>
      </c>
      <c r="P196" s="30" t="s">
        <v>1671</v>
      </c>
      <c r="Q196" s="28" t="s">
        <v>1672</v>
      </c>
      <c r="R196" s="30" t="s">
        <v>1673</v>
      </c>
      <c r="S196" s="30" t="s">
        <v>53</v>
      </c>
      <c r="T196" s="30"/>
      <c r="U196" s="28" t="s">
        <v>1674</v>
      </c>
      <c r="V196" s="30" t="s">
        <v>63</v>
      </c>
      <c r="W196" s="30" t="s">
        <v>64</v>
      </c>
      <c r="X196" s="32">
        <v>44409</v>
      </c>
      <c r="Y196" s="32">
        <v>46235</v>
      </c>
      <c r="Z196" s="30" t="s">
        <v>65</v>
      </c>
      <c r="AA196" s="28" t="s">
        <v>66</v>
      </c>
      <c r="AB196" s="28" t="s">
        <v>67</v>
      </c>
      <c r="AC196" s="29"/>
      <c r="AD196" s="28">
        <v>0</v>
      </c>
      <c r="AE196" s="29"/>
      <c r="AF196" s="31"/>
      <c r="AG196" s="30" t="s">
        <v>1579</v>
      </c>
      <c r="AH196" s="28"/>
      <c r="AI196" s="28" t="s">
        <v>53</v>
      </c>
      <c r="AJ196" s="33">
        <v>37700</v>
      </c>
      <c r="AK196" s="28">
        <v>5</v>
      </c>
      <c r="AL196" s="28">
        <v>27</v>
      </c>
      <c r="AM196" s="21"/>
      <c r="AN196" s="27"/>
      <c r="AO196" s="27"/>
      <c r="AP196" s="27"/>
      <c r="AQ196" s="27"/>
    </row>
    <row r="197" spans="1:43" ht="15.75" customHeight="1">
      <c r="A197" s="28">
        <v>5</v>
      </c>
      <c r="B197" s="29" t="s">
        <v>1675</v>
      </c>
      <c r="C197" s="30"/>
      <c r="D197" s="31" t="s">
        <v>1676</v>
      </c>
      <c r="E197" s="30" t="s">
        <v>49</v>
      </c>
      <c r="F197" s="30" t="s">
        <v>50</v>
      </c>
      <c r="G197" s="30" t="s">
        <v>51</v>
      </c>
      <c r="H197" s="28" t="s">
        <v>85</v>
      </c>
      <c r="I197" s="30"/>
      <c r="J197" s="30" t="s">
        <v>53</v>
      </c>
      <c r="K197" s="30" t="s">
        <v>1677</v>
      </c>
      <c r="L197" s="30" t="s">
        <v>55</v>
      </c>
      <c r="M197" s="30" t="s">
        <v>1573</v>
      </c>
      <c r="N197" s="30" t="s">
        <v>1678</v>
      </c>
      <c r="O197" s="30" t="s">
        <v>1679</v>
      </c>
      <c r="P197" s="30" t="s">
        <v>1680</v>
      </c>
      <c r="Q197" s="28" t="s">
        <v>1681</v>
      </c>
      <c r="R197" s="30" t="s">
        <v>1682</v>
      </c>
      <c r="S197" s="30" t="s">
        <v>53</v>
      </c>
      <c r="T197" s="30"/>
      <c r="U197" s="28" t="s">
        <v>1683</v>
      </c>
      <c r="V197" s="30" t="s">
        <v>63</v>
      </c>
      <c r="W197" s="30" t="s">
        <v>64</v>
      </c>
      <c r="X197" s="32">
        <v>43101</v>
      </c>
      <c r="Y197" s="32">
        <v>45444</v>
      </c>
      <c r="Z197" s="30" t="s">
        <v>65</v>
      </c>
      <c r="AA197" s="28" t="s">
        <v>134</v>
      </c>
      <c r="AB197" s="28" t="s">
        <v>67</v>
      </c>
      <c r="AC197" s="29"/>
      <c r="AD197" s="28">
        <v>0</v>
      </c>
      <c r="AE197" s="29"/>
      <c r="AF197" s="31"/>
      <c r="AG197" s="30" t="s">
        <v>1579</v>
      </c>
      <c r="AH197" s="28"/>
      <c r="AI197" s="28" t="s">
        <v>53</v>
      </c>
      <c r="AJ197" s="33">
        <v>36379</v>
      </c>
      <c r="AK197" s="28">
        <v>9</v>
      </c>
      <c r="AL197" s="28">
        <v>27</v>
      </c>
      <c r="AM197" s="21"/>
      <c r="AN197" s="27"/>
      <c r="AO197" s="27"/>
      <c r="AP197" s="27"/>
      <c r="AQ197" s="27"/>
    </row>
    <row r="198" spans="1:43" ht="15.75" customHeight="1">
      <c r="A198" s="28">
        <v>6</v>
      </c>
      <c r="B198" s="29" t="s">
        <v>1684</v>
      </c>
      <c r="C198" s="30"/>
      <c r="D198" s="31" t="s">
        <v>1685</v>
      </c>
      <c r="E198" s="30" t="s">
        <v>72</v>
      </c>
      <c r="F198" s="30" t="s">
        <v>50</v>
      </c>
      <c r="G198" s="30" t="s">
        <v>51</v>
      </c>
      <c r="H198" s="28" t="s">
        <v>85</v>
      </c>
      <c r="I198" s="30"/>
      <c r="J198" s="30" t="s">
        <v>53</v>
      </c>
      <c r="K198" s="30" t="s">
        <v>1686</v>
      </c>
      <c r="L198" s="30" t="s">
        <v>55</v>
      </c>
      <c r="M198" s="30" t="s">
        <v>1573</v>
      </c>
      <c r="N198" s="30" t="s">
        <v>1687</v>
      </c>
      <c r="O198" s="30" t="s">
        <v>1688</v>
      </c>
      <c r="P198" s="30" t="s">
        <v>1689</v>
      </c>
      <c r="Q198" s="28" t="s">
        <v>1690</v>
      </c>
      <c r="R198" s="30" t="s">
        <v>1691</v>
      </c>
      <c r="S198" s="30" t="s">
        <v>53</v>
      </c>
      <c r="T198" s="30"/>
      <c r="U198" s="28" t="s">
        <v>1692</v>
      </c>
      <c r="V198" s="30" t="s">
        <v>63</v>
      </c>
      <c r="W198" s="30" t="s">
        <v>64</v>
      </c>
      <c r="X198" s="32">
        <v>43497</v>
      </c>
      <c r="Y198" s="32">
        <v>45323</v>
      </c>
      <c r="Z198" s="30" t="s">
        <v>65</v>
      </c>
      <c r="AA198" s="28" t="s">
        <v>134</v>
      </c>
      <c r="AB198" s="28" t="s">
        <v>67</v>
      </c>
      <c r="AC198" s="29"/>
      <c r="AD198" s="28">
        <v>0</v>
      </c>
      <c r="AE198" s="29"/>
      <c r="AF198" s="31"/>
      <c r="AG198" s="30" t="s">
        <v>1579</v>
      </c>
      <c r="AH198" s="28"/>
      <c r="AI198" s="28" t="s">
        <v>53</v>
      </c>
      <c r="AJ198" s="33">
        <v>37109</v>
      </c>
      <c r="AK198" s="28">
        <v>9</v>
      </c>
      <c r="AL198" s="28">
        <v>26</v>
      </c>
      <c r="AM198" s="21"/>
      <c r="AN198" s="27"/>
      <c r="AO198" s="27"/>
      <c r="AP198" s="27"/>
      <c r="AQ198" s="27"/>
    </row>
    <row r="199" spans="1:43" ht="15.75" customHeight="1">
      <c r="A199" s="28">
        <v>7</v>
      </c>
      <c r="B199" s="29" t="s">
        <v>1693</v>
      </c>
      <c r="C199" s="30"/>
      <c r="D199" s="31" t="s">
        <v>1694</v>
      </c>
      <c r="E199" s="30" t="s">
        <v>49</v>
      </c>
      <c r="F199" s="30" t="s">
        <v>50</v>
      </c>
      <c r="G199" s="30" t="s">
        <v>51</v>
      </c>
      <c r="H199" s="28" t="s">
        <v>85</v>
      </c>
      <c r="I199" s="30"/>
      <c r="J199" s="30" t="s">
        <v>53</v>
      </c>
      <c r="K199" s="30" t="s">
        <v>1695</v>
      </c>
      <c r="L199" s="30" t="s">
        <v>55</v>
      </c>
      <c r="M199" s="30" t="s">
        <v>1573</v>
      </c>
      <c r="N199" s="30" t="s">
        <v>1696</v>
      </c>
      <c r="O199" s="30" t="s">
        <v>1470</v>
      </c>
      <c r="P199" s="30" t="s">
        <v>1697</v>
      </c>
      <c r="Q199" s="28"/>
      <c r="R199" s="30" t="s">
        <v>1698</v>
      </c>
      <c r="S199" s="30" t="s">
        <v>53</v>
      </c>
      <c r="T199" s="30"/>
      <c r="U199" s="28" t="s">
        <v>732</v>
      </c>
      <c r="V199" s="30" t="s">
        <v>63</v>
      </c>
      <c r="W199" s="30" t="s">
        <v>64</v>
      </c>
      <c r="X199" s="32">
        <v>44562</v>
      </c>
      <c r="Y199" s="32">
        <v>46722</v>
      </c>
      <c r="Z199" s="30" t="s">
        <v>65</v>
      </c>
      <c r="AA199" s="28" t="s">
        <v>134</v>
      </c>
      <c r="AB199" s="28" t="s">
        <v>67</v>
      </c>
      <c r="AC199" s="29"/>
      <c r="AD199" s="28">
        <v>0</v>
      </c>
      <c r="AE199" s="29"/>
      <c r="AF199" s="31"/>
      <c r="AG199" s="30" t="s">
        <v>1579</v>
      </c>
      <c r="AH199" s="28"/>
      <c r="AI199" s="28" t="s">
        <v>53</v>
      </c>
      <c r="AJ199" s="33">
        <v>38056</v>
      </c>
      <c r="AK199" s="28">
        <v>5</v>
      </c>
      <c r="AL199" s="28">
        <v>26</v>
      </c>
      <c r="AM199" s="21"/>
      <c r="AN199" s="27"/>
      <c r="AO199" s="27"/>
      <c r="AP199" s="27"/>
      <c r="AQ199" s="27"/>
    </row>
    <row r="200" spans="1:43" ht="15.75" customHeight="1">
      <c r="A200" s="28">
        <v>8</v>
      </c>
      <c r="B200" s="29" t="s">
        <v>1699</v>
      </c>
      <c r="C200" s="30" t="s">
        <v>1700</v>
      </c>
      <c r="D200" s="31" t="s">
        <v>1701</v>
      </c>
      <c r="E200" s="30" t="s">
        <v>72</v>
      </c>
      <c r="F200" s="30" t="s">
        <v>84</v>
      </c>
      <c r="G200" s="30" t="s">
        <v>51</v>
      </c>
      <c r="H200" s="28" t="s">
        <v>52</v>
      </c>
      <c r="I200" s="30"/>
      <c r="J200" s="30" t="s">
        <v>53</v>
      </c>
      <c r="K200" s="30" t="s">
        <v>1702</v>
      </c>
      <c r="L200" s="30" t="s">
        <v>55</v>
      </c>
      <c r="M200" s="30" t="s">
        <v>1573</v>
      </c>
      <c r="N200" s="30" t="s">
        <v>1703</v>
      </c>
      <c r="O200" s="30" t="s">
        <v>1704</v>
      </c>
      <c r="P200" s="30" t="s">
        <v>1705</v>
      </c>
      <c r="Q200" s="28" t="s">
        <v>1706</v>
      </c>
      <c r="R200" s="30" t="s">
        <v>1707</v>
      </c>
      <c r="S200" s="30" t="s">
        <v>53</v>
      </c>
      <c r="T200" s="30"/>
      <c r="U200" s="28" t="s">
        <v>1615</v>
      </c>
      <c r="V200" s="30" t="s">
        <v>63</v>
      </c>
      <c r="W200" s="30" t="s">
        <v>64</v>
      </c>
      <c r="X200" s="32">
        <v>43862</v>
      </c>
      <c r="Y200" s="32">
        <v>45627</v>
      </c>
      <c r="Z200" s="30" t="s">
        <v>65</v>
      </c>
      <c r="AA200" s="28" t="s">
        <v>134</v>
      </c>
      <c r="AB200" s="28" t="s">
        <v>67</v>
      </c>
      <c r="AC200" s="29"/>
      <c r="AD200" s="28">
        <v>0</v>
      </c>
      <c r="AE200" s="29"/>
      <c r="AF200" s="31"/>
      <c r="AG200" s="30" t="s">
        <v>1579</v>
      </c>
      <c r="AH200" s="28"/>
      <c r="AI200" s="28" t="s">
        <v>53</v>
      </c>
      <c r="AJ200" s="33">
        <v>37076</v>
      </c>
      <c r="AK200" s="28">
        <v>8</v>
      </c>
      <c r="AL200" s="28">
        <v>26</v>
      </c>
      <c r="AM200" s="21"/>
      <c r="AN200" s="27"/>
      <c r="AO200" s="27"/>
      <c r="AP200" s="27"/>
      <c r="AQ200" s="27"/>
    </row>
    <row r="201" spans="1:43" ht="15.75" customHeight="1">
      <c r="A201" s="28">
        <v>9</v>
      </c>
      <c r="B201" s="29" t="s">
        <v>1708</v>
      </c>
      <c r="C201" s="30"/>
      <c r="D201" s="31" t="s">
        <v>1709</v>
      </c>
      <c r="E201" s="30" t="s">
        <v>72</v>
      </c>
      <c r="F201" s="30" t="s">
        <v>50</v>
      </c>
      <c r="G201" s="30" t="s">
        <v>51</v>
      </c>
      <c r="H201" s="28" t="s">
        <v>52</v>
      </c>
      <c r="I201" s="30"/>
      <c r="J201" s="30" t="s">
        <v>53</v>
      </c>
      <c r="K201" s="30" t="s">
        <v>1710</v>
      </c>
      <c r="L201" s="30" t="s">
        <v>55</v>
      </c>
      <c r="M201" s="30" t="s">
        <v>1573</v>
      </c>
      <c r="N201" s="30" t="s">
        <v>1711</v>
      </c>
      <c r="O201" s="30" t="s">
        <v>1712</v>
      </c>
      <c r="P201" s="30" t="s">
        <v>1713</v>
      </c>
      <c r="Q201" s="28" t="s">
        <v>1714</v>
      </c>
      <c r="R201" s="30" t="s">
        <v>1715</v>
      </c>
      <c r="S201" s="30" t="s">
        <v>53</v>
      </c>
      <c r="T201" s="30"/>
      <c r="U201" s="28" t="s">
        <v>1716</v>
      </c>
      <c r="V201" s="30" t="s">
        <v>63</v>
      </c>
      <c r="W201" s="30" t="s">
        <v>64</v>
      </c>
      <c r="X201" s="32">
        <v>42767</v>
      </c>
      <c r="Y201" s="32">
        <v>45992</v>
      </c>
      <c r="Z201" s="30" t="s">
        <v>65</v>
      </c>
      <c r="AA201" s="28" t="s">
        <v>134</v>
      </c>
      <c r="AB201" s="28" t="s">
        <v>67</v>
      </c>
      <c r="AC201" s="29"/>
      <c r="AD201" s="28">
        <v>0</v>
      </c>
      <c r="AE201" s="29"/>
      <c r="AF201" s="31"/>
      <c r="AG201" s="30" t="s">
        <v>1579</v>
      </c>
      <c r="AH201" s="28"/>
      <c r="AI201" s="28" t="s">
        <v>53</v>
      </c>
      <c r="AJ201" s="33">
        <v>35653</v>
      </c>
      <c r="AK201" s="28">
        <v>6</v>
      </c>
      <c r="AL201" s="28">
        <v>26</v>
      </c>
      <c r="AM201" s="21"/>
      <c r="AN201" s="27"/>
      <c r="AO201" s="27"/>
      <c r="AP201" s="27"/>
      <c r="AQ201" s="27"/>
    </row>
    <row r="202" spans="1:43" ht="15.75" customHeight="1">
      <c r="A202" s="28">
        <v>10</v>
      </c>
      <c r="B202" s="29" t="s">
        <v>1717</v>
      </c>
      <c r="C202" s="30" t="s">
        <v>1718</v>
      </c>
      <c r="D202" s="31" t="s">
        <v>1719</v>
      </c>
      <c r="E202" s="30" t="s">
        <v>72</v>
      </c>
      <c r="F202" s="30" t="s">
        <v>50</v>
      </c>
      <c r="G202" s="30" t="s">
        <v>51</v>
      </c>
      <c r="H202" s="28" t="s">
        <v>85</v>
      </c>
      <c r="I202" s="30"/>
      <c r="J202" s="30" t="s">
        <v>53</v>
      </c>
      <c r="K202" s="30" t="s">
        <v>1720</v>
      </c>
      <c r="L202" s="30" t="s">
        <v>55</v>
      </c>
      <c r="M202" s="30" t="s">
        <v>656</v>
      </c>
      <c r="N202" s="30" t="s">
        <v>1721</v>
      </c>
      <c r="O202" s="30" t="s">
        <v>95</v>
      </c>
      <c r="P202" s="30" t="s">
        <v>1722</v>
      </c>
      <c r="Q202" s="28"/>
      <c r="R202" s="30" t="s">
        <v>1723</v>
      </c>
      <c r="S202" s="30" t="s">
        <v>53</v>
      </c>
      <c r="T202" s="30"/>
      <c r="U202" s="28" t="s">
        <v>765</v>
      </c>
      <c r="V202" s="30" t="s">
        <v>63</v>
      </c>
      <c r="W202" s="30" t="s">
        <v>64</v>
      </c>
      <c r="X202" s="32">
        <v>43862</v>
      </c>
      <c r="Y202" s="32">
        <v>45627</v>
      </c>
      <c r="Z202" s="30" t="s">
        <v>65</v>
      </c>
      <c r="AA202" s="28" t="s">
        <v>67</v>
      </c>
      <c r="AB202" s="28" t="s">
        <v>67</v>
      </c>
      <c r="AC202" s="29"/>
      <c r="AD202" s="28">
        <v>0</v>
      </c>
      <c r="AE202" s="29"/>
      <c r="AF202" s="31"/>
      <c r="AG202" s="30" t="s">
        <v>1579</v>
      </c>
      <c r="AH202" s="28"/>
      <c r="AI202" s="28" t="s">
        <v>53</v>
      </c>
      <c r="AJ202" s="33">
        <v>37023</v>
      </c>
      <c r="AK202" s="28">
        <v>8</v>
      </c>
      <c r="AL202" s="28">
        <v>26</v>
      </c>
      <c r="AM202" s="21"/>
      <c r="AN202" s="27"/>
      <c r="AO202" s="27"/>
      <c r="AP202" s="27"/>
      <c r="AQ202" s="27"/>
    </row>
    <row r="203" spans="1:43" ht="15.75" customHeight="1">
      <c r="A203" s="28">
        <v>11</v>
      </c>
      <c r="B203" s="29" t="s">
        <v>1724</v>
      </c>
      <c r="C203" s="30" t="s">
        <v>1725</v>
      </c>
      <c r="D203" s="31" t="s">
        <v>1726</v>
      </c>
      <c r="E203" s="30" t="s">
        <v>72</v>
      </c>
      <c r="F203" s="30" t="s">
        <v>50</v>
      </c>
      <c r="G203" s="30" t="s">
        <v>51</v>
      </c>
      <c r="H203" s="28" t="s">
        <v>85</v>
      </c>
      <c r="I203" s="30"/>
      <c r="J203" s="30" t="s">
        <v>53</v>
      </c>
      <c r="K203" s="30" t="s">
        <v>1727</v>
      </c>
      <c r="L203" s="30" t="s">
        <v>55</v>
      </c>
      <c r="M203" s="30" t="s">
        <v>1573</v>
      </c>
      <c r="N203" s="30" t="s">
        <v>1728</v>
      </c>
      <c r="O203" s="30" t="s">
        <v>1575</v>
      </c>
      <c r="P203" s="30" t="s">
        <v>1729</v>
      </c>
      <c r="Q203" s="28" t="s">
        <v>1730</v>
      </c>
      <c r="R203" s="30" t="s">
        <v>1731</v>
      </c>
      <c r="S203" s="30" t="s">
        <v>53</v>
      </c>
      <c r="T203" s="30"/>
      <c r="U203" s="28" t="s">
        <v>1732</v>
      </c>
      <c r="V203" s="30" t="s">
        <v>63</v>
      </c>
      <c r="W203" s="30" t="s">
        <v>64</v>
      </c>
      <c r="X203" s="32">
        <v>43497</v>
      </c>
      <c r="Y203" s="32">
        <v>45383</v>
      </c>
      <c r="Z203" s="30" t="s">
        <v>65</v>
      </c>
      <c r="AA203" s="28" t="s">
        <v>134</v>
      </c>
      <c r="AB203" s="28" t="s">
        <v>67</v>
      </c>
      <c r="AC203" s="29"/>
      <c r="AD203" s="28">
        <v>0</v>
      </c>
      <c r="AE203" s="29"/>
      <c r="AF203" s="31"/>
      <c r="AG203" s="30" t="s">
        <v>1579</v>
      </c>
      <c r="AH203" s="28"/>
      <c r="AI203" s="28" t="s">
        <v>53</v>
      </c>
      <c r="AJ203" s="33">
        <v>36853</v>
      </c>
      <c r="AK203" s="28">
        <v>9</v>
      </c>
      <c r="AL203" s="28">
        <v>25</v>
      </c>
      <c r="AM203" s="21"/>
      <c r="AN203" s="27"/>
      <c r="AO203" s="27"/>
      <c r="AP203" s="27"/>
      <c r="AQ203" s="27"/>
    </row>
    <row r="204" spans="1:43" ht="15.75" customHeight="1">
      <c r="A204" s="28">
        <v>12</v>
      </c>
      <c r="B204" s="29" t="s">
        <v>1733</v>
      </c>
      <c r="C204" s="30"/>
      <c r="D204" s="31" t="s">
        <v>1734</v>
      </c>
      <c r="E204" s="30" t="s">
        <v>72</v>
      </c>
      <c r="F204" s="30" t="s">
        <v>50</v>
      </c>
      <c r="G204" s="30" t="s">
        <v>51</v>
      </c>
      <c r="H204" s="28" t="s">
        <v>52</v>
      </c>
      <c r="I204" s="30"/>
      <c r="J204" s="30" t="s">
        <v>53</v>
      </c>
      <c r="K204" s="30" t="s">
        <v>1735</v>
      </c>
      <c r="L204" s="30" t="s">
        <v>55</v>
      </c>
      <c r="M204" s="30" t="s">
        <v>1573</v>
      </c>
      <c r="N204" s="30" t="s">
        <v>1736</v>
      </c>
      <c r="O204" s="30" t="s">
        <v>1737</v>
      </c>
      <c r="P204" s="30" t="s">
        <v>1738</v>
      </c>
      <c r="Q204" s="28"/>
      <c r="R204" s="30" t="s">
        <v>1739</v>
      </c>
      <c r="S204" s="30" t="s">
        <v>53</v>
      </c>
      <c r="T204" s="30"/>
      <c r="U204" s="28" t="s">
        <v>1740</v>
      </c>
      <c r="V204" s="30" t="s">
        <v>63</v>
      </c>
      <c r="W204" s="30" t="s">
        <v>64</v>
      </c>
      <c r="X204" s="32">
        <v>44409</v>
      </c>
      <c r="Y204" s="32">
        <v>46174</v>
      </c>
      <c r="Z204" s="30" t="s">
        <v>65</v>
      </c>
      <c r="AA204" s="28" t="s">
        <v>66</v>
      </c>
      <c r="AB204" s="28" t="s">
        <v>67</v>
      </c>
      <c r="AC204" s="29"/>
      <c r="AD204" s="28">
        <v>0</v>
      </c>
      <c r="AE204" s="29"/>
      <c r="AF204" s="31"/>
      <c r="AG204" s="30" t="s">
        <v>1579</v>
      </c>
      <c r="AH204" s="28"/>
      <c r="AI204" s="28" t="s">
        <v>53</v>
      </c>
      <c r="AJ204" s="33">
        <v>37456</v>
      </c>
      <c r="AK204" s="28">
        <v>5</v>
      </c>
      <c r="AL204" s="28">
        <v>25</v>
      </c>
      <c r="AM204" s="21"/>
      <c r="AN204" s="27"/>
      <c r="AO204" s="27"/>
      <c r="AP204" s="27"/>
      <c r="AQ204" s="27"/>
    </row>
    <row r="205" spans="1:43" ht="15.75" customHeight="1">
      <c r="A205" s="28">
        <v>13</v>
      </c>
      <c r="B205" s="29" t="s">
        <v>1741</v>
      </c>
      <c r="C205" s="30"/>
      <c r="D205" s="31" t="s">
        <v>1742</v>
      </c>
      <c r="E205" s="30" t="s">
        <v>49</v>
      </c>
      <c r="F205" s="30" t="s">
        <v>50</v>
      </c>
      <c r="G205" s="30" t="s">
        <v>51</v>
      </c>
      <c r="H205" s="28" t="s">
        <v>85</v>
      </c>
      <c r="I205" s="30"/>
      <c r="J205" s="30" t="s">
        <v>53</v>
      </c>
      <c r="K205" s="30" t="s">
        <v>1743</v>
      </c>
      <c r="L205" s="30" t="s">
        <v>55</v>
      </c>
      <c r="M205" s="30" t="s">
        <v>1573</v>
      </c>
      <c r="N205" s="30" t="s">
        <v>1744</v>
      </c>
      <c r="O205" s="30" t="s">
        <v>95</v>
      </c>
      <c r="P205" s="30" t="s">
        <v>1745</v>
      </c>
      <c r="Q205" s="28" t="s">
        <v>1746</v>
      </c>
      <c r="R205" s="30" t="s">
        <v>1747</v>
      </c>
      <c r="S205" s="30" t="s">
        <v>53</v>
      </c>
      <c r="T205" s="30"/>
      <c r="U205" s="28" t="s">
        <v>1683</v>
      </c>
      <c r="V205" s="30" t="s">
        <v>63</v>
      </c>
      <c r="W205" s="30" t="s">
        <v>64</v>
      </c>
      <c r="X205" s="32">
        <v>44228</v>
      </c>
      <c r="Y205" s="32">
        <v>45992</v>
      </c>
      <c r="Z205" s="30" t="s">
        <v>65</v>
      </c>
      <c r="AA205" s="28" t="s">
        <v>246</v>
      </c>
      <c r="AB205" s="28" t="s">
        <v>67</v>
      </c>
      <c r="AC205" s="29"/>
      <c r="AD205" s="28">
        <v>0</v>
      </c>
      <c r="AE205" s="29"/>
      <c r="AF205" s="31"/>
      <c r="AG205" s="30" t="s">
        <v>1579</v>
      </c>
      <c r="AH205" s="28"/>
      <c r="AI205" s="28" t="s">
        <v>53</v>
      </c>
      <c r="AJ205" s="33">
        <v>38056</v>
      </c>
      <c r="AK205" s="28">
        <v>5</v>
      </c>
      <c r="AL205" s="28">
        <v>25</v>
      </c>
      <c r="AM205" s="21"/>
      <c r="AN205" s="27"/>
      <c r="AO205" s="27"/>
      <c r="AP205" s="27"/>
      <c r="AQ205" s="27"/>
    </row>
    <row r="206" spans="1:43" ht="15.75" customHeight="1">
      <c r="A206" s="28">
        <v>14</v>
      </c>
      <c r="B206" s="29" t="s">
        <v>1748</v>
      </c>
      <c r="C206" s="30"/>
      <c r="D206" s="31" t="s">
        <v>1749</v>
      </c>
      <c r="E206" s="30" t="s">
        <v>72</v>
      </c>
      <c r="F206" s="30" t="s">
        <v>1750</v>
      </c>
      <c r="G206" s="30" t="s">
        <v>51</v>
      </c>
      <c r="H206" s="28" t="s">
        <v>601</v>
      </c>
      <c r="I206" s="30"/>
      <c r="J206" s="30" t="s">
        <v>53</v>
      </c>
      <c r="K206" s="30" t="s">
        <v>1751</v>
      </c>
      <c r="L206" s="30" t="s">
        <v>55</v>
      </c>
      <c r="M206" s="30" t="s">
        <v>1573</v>
      </c>
      <c r="N206" s="30" t="s">
        <v>1752</v>
      </c>
      <c r="O206" s="30" t="s">
        <v>1575</v>
      </c>
      <c r="P206" s="30" t="s">
        <v>1753</v>
      </c>
      <c r="Q206" s="28" t="s">
        <v>1754</v>
      </c>
      <c r="R206" s="30" t="s">
        <v>1755</v>
      </c>
      <c r="S206" s="30" t="s">
        <v>53</v>
      </c>
      <c r="T206" s="30"/>
      <c r="U206" s="28" t="s">
        <v>1756</v>
      </c>
      <c r="V206" s="30" t="s">
        <v>63</v>
      </c>
      <c r="W206" s="30" t="s">
        <v>64</v>
      </c>
      <c r="X206" s="32">
        <v>43862</v>
      </c>
      <c r="Y206" s="32">
        <v>45992</v>
      </c>
      <c r="Z206" s="30" t="s">
        <v>65</v>
      </c>
      <c r="AA206" s="28" t="s">
        <v>134</v>
      </c>
      <c r="AB206" s="28" t="s">
        <v>67</v>
      </c>
      <c r="AC206" s="29"/>
      <c r="AD206" s="28">
        <v>0</v>
      </c>
      <c r="AE206" s="29"/>
      <c r="AF206" s="31"/>
      <c r="AG206" s="30" t="s">
        <v>1579</v>
      </c>
      <c r="AH206" s="28"/>
      <c r="AI206" s="28" t="s">
        <v>53</v>
      </c>
      <c r="AJ206" s="33">
        <v>23225</v>
      </c>
      <c r="AK206" s="28">
        <v>6</v>
      </c>
      <c r="AL206" s="28">
        <v>25</v>
      </c>
      <c r="AM206" s="21"/>
      <c r="AN206" s="27"/>
      <c r="AO206" s="27"/>
      <c r="AP206" s="27"/>
      <c r="AQ206" s="27"/>
    </row>
    <row r="207" spans="1:43" ht="15.75" customHeight="1">
      <c r="A207" s="28">
        <v>15</v>
      </c>
      <c r="B207" s="29" t="s">
        <v>1757</v>
      </c>
      <c r="C207" s="30"/>
      <c r="D207" s="31" t="s">
        <v>1758</v>
      </c>
      <c r="E207" s="30" t="s">
        <v>49</v>
      </c>
      <c r="F207" s="30" t="s">
        <v>50</v>
      </c>
      <c r="G207" s="30" t="s">
        <v>51</v>
      </c>
      <c r="H207" s="28" t="s">
        <v>85</v>
      </c>
      <c r="I207" s="30"/>
      <c r="J207" s="30" t="s">
        <v>53</v>
      </c>
      <c r="K207" s="30" t="s">
        <v>1759</v>
      </c>
      <c r="L207" s="30" t="s">
        <v>55</v>
      </c>
      <c r="M207" s="30" t="s">
        <v>1573</v>
      </c>
      <c r="N207" s="30" t="s">
        <v>1760</v>
      </c>
      <c r="O207" s="30" t="s">
        <v>437</v>
      </c>
      <c r="P207" s="30" t="s">
        <v>1761</v>
      </c>
      <c r="Q207" s="28" t="s">
        <v>1762</v>
      </c>
      <c r="R207" s="30" t="s">
        <v>1763</v>
      </c>
      <c r="S207" s="30" t="s">
        <v>53</v>
      </c>
      <c r="T207" s="30"/>
      <c r="U207" s="28" t="s">
        <v>1732</v>
      </c>
      <c r="V207" s="30" t="s">
        <v>63</v>
      </c>
      <c r="W207" s="30" t="s">
        <v>64</v>
      </c>
      <c r="X207" s="32">
        <v>44682</v>
      </c>
      <c r="Y207" s="32">
        <v>46357</v>
      </c>
      <c r="Z207" s="30" t="s">
        <v>65</v>
      </c>
      <c r="AA207" s="28" t="s">
        <v>134</v>
      </c>
      <c r="AB207" s="28" t="s">
        <v>67</v>
      </c>
      <c r="AC207" s="29"/>
      <c r="AD207" s="28">
        <v>0</v>
      </c>
      <c r="AE207" s="29"/>
      <c r="AF207" s="31"/>
      <c r="AG207" s="30" t="s">
        <v>1579</v>
      </c>
      <c r="AH207" s="28"/>
      <c r="AI207" s="28" t="s">
        <v>53</v>
      </c>
      <c r="AJ207" s="33">
        <v>38308</v>
      </c>
      <c r="AK207" s="28">
        <v>5</v>
      </c>
      <c r="AL207" s="28">
        <v>25</v>
      </c>
      <c r="AM207" s="21"/>
      <c r="AN207" s="27"/>
      <c r="AO207" s="27"/>
      <c r="AP207" s="27"/>
      <c r="AQ207" s="27"/>
    </row>
    <row r="208" spans="1:43" ht="15.75" customHeight="1">
      <c r="A208" s="28">
        <v>16</v>
      </c>
      <c r="B208" s="29" t="s">
        <v>1764</v>
      </c>
      <c r="C208" s="30"/>
      <c r="D208" s="31" t="s">
        <v>1765</v>
      </c>
      <c r="E208" s="30" t="s">
        <v>72</v>
      </c>
      <c r="F208" s="30" t="s">
        <v>50</v>
      </c>
      <c r="G208" s="30" t="s">
        <v>51</v>
      </c>
      <c r="H208" s="28" t="s">
        <v>52</v>
      </c>
      <c r="I208" s="30"/>
      <c r="J208" s="30" t="s">
        <v>53</v>
      </c>
      <c r="K208" s="30" t="s">
        <v>1766</v>
      </c>
      <c r="L208" s="30" t="s">
        <v>55</v>
      </c>
      <c r="M208" s="30" t="s">
        <v>1573</v>
      </c>
      <c r="N208" s="30" t="s">
        <v>1767</v>
      </c>
      <c r="O208" s="30" t="s">
        <v>1768</v>
      </c>
      <c r="P208" s="30" t="s">
        <v>1769</v>
      </c>
      <c r="Q208" s="28"/>
      <c r="R208" s="30" t="s">
        <v>1770</v>
      </c>
      <c r="S208" s="30" t="s">
        <v>53</v>
      </c>
      <c r="T208" s="30"/>
      <c r="U208" s="28" t="s">
        <v>1771</v>
      </c>
      <c r="V208" s="30" t="s">
        <v>63</v>
      </c>
      <c r="W208" s="30" t="s">
        <v>64</v>
      </c>
      <c r="X208" s="32">
        <v>44593</v>
      </c>
      <c r="Y208" s="32">
        <v>46357</v>
      </c>
      <c r="Z208" s="30" t="s">
        <v>65</v>
      </c>
      <c r="AA208" s="28" t="s">
        <v>134</v>
      </c>
      <c r="AB208" s="28" t="s">
        <v>67</v>
      </c>
      <c r="AC208" s="29"/>
      <c r="AD208" s="28">
        <v>0</v>
      </c>
      <c r="AE208" s="29"/>
      <c r="AF208" s="31"/>
      <c r="AG208" s="30" t="s">
        <v>1579</v>
      </c>
      <c r="AH208" s="28"/>
      <c r="AI208" s="28" t="s">
        <v>53</v>
      </c>
      <c r="AJ208" s="33">
        <v>37173</v>
      </c>
      <c r="AK208" s="28">
        <v>5</v>
      </c>
      <c r="AL208" s="28">
        <v>25</v>
      </c>
      <c r="AM208" s="21"/>
      <c r="AN208" s="27"/>
      <c r="AO208" s="27"/>
      <c r="AP208" s="27"/>
      <c r="AQ208" s="27"/>
    </row>
    <row r="209" spans="1:43" ht="15.75" customHeight="1">
      <c r="A209" s="28">
        <v>17</v>
      </c>
      <c r="B209" s="29" t="s">
        <v>1772</v>
      </c>
      <c r="C209" s="30"/>
      <c r="D209" s="31" t="s">
        <v>1773</v>
      </c>
      <c r="E209" s="30" t="s">
        <v>72</v>
      </c>
      <c r="F209" s="30" t="s">
        <v>50</v>
      </c>
      <c r="G209" s="30" t="s">
        <v>51</v>
      </c>
      <c r="H209" s="28" t="s">
        <v>52</v>
      </c>
      <c r="I209" s="30"/>
      <c r="J209" s="30" t="s">
        <v>53</v>
      </c>
      <c r="K209" s="30" t="s">
        <v>1774</v>
      </c>
      <c r="L209" s="30" t="s">
        <v>55</v>
      </c>
      <c r="M209" s="30" t="s">
        <v>1573</v>
      </c>
      <c r="N209" s="30" t="s">
        <v>1775</v>
      </c>
      <c r="O209" s="30" t="s">
        <v>1776</v>
      </c>
      <c r="P209" s="30" t="s">
        <v>1777</v>
      </c>
      <c r="Q209" s="28"/>
      <c r="R209" s="30" t="s">
        <v>1778</v>
      </c>
      <c r="S209" s="30" t="s">
        <v>53</v>
      </c>
      <c r="T209" s="30"/>
      <c r="U209" s="28" t="s">
        <v>765</v>
      </c>
      <c r="V209" s="30" t="s">
        <v>63</v>
      </c>
      <c r="W209" s="30" t="s">
        <v>64</v>
      </c>
      <c r="X209" s="32">
        <v>44197</v>
      </c>
      <c r="Y209" s="32">
        <v>45992</v>
      </c>
      <c r="Z209" s="30" t="s">
        <v>65</v>
      </c>
      <c r="AA209" s="28" t="s">
        <v>134</v>
      </c>
      <c r="AB209" s="28" t="s">
        <v>67</v>
      </c>
      <c r="AC209" s="29"/>
      <c r="AD209" s="28">
        <v>0</v>
      </c>
      <c r="AE209" s="29"/>
      <c r="AF209" s="31"/>
      <c r="AG209" s="30" t="s">
        <v>1579</v>
      </c>
      <c r="AH209" s="28"/>
      <c r="AI209" s="28" t="s">
        <v>53</v>
      </c>
      <c r="AJ209" s="33">
        <v>37908</v>
      </c>
      <c r="AK209" s="28">
        <v>6</v>
      </c>
      <c r="AL209" s="28">
        <v>25</v>
      </c>
      <c r="AM209" s="21"/>
      <c r="AN209" s="27"/>
      <c r="AO209" s="27"/>
      <c r="AP209" s="27"/>
      <c r="AQ209" s="27"/>
    </row>
    <row r="210" spans="1:43" ht="15.75" customHeight="1">
      <c r="A210" s="28">
        <v>18</v>
      </c>
      <c r="B210" s="29" t="s">
        <v>1779</v>
      </c>
      <c r="C210" s="30"/>
      <c r="D210" s="31" t="s">
        <v>1780</v>
      </c>
      <c r="E210" s="30" t="s">
        <v>49</v>
      </c>
      <c r="F210" s="30" t="s">
        <v>50</v>
      </c>
      <c r="G210" s="30" t="s">
        <v>51</v>
      </c>
      <c r="H210" s="28" t="s">
        <v>85</v>
      </c>
      <c r="I210" s="30"/>
      <c r="J210" s="30" t="s">
        <v>53</v>
      </c>
      <c r="K210" s="30" t="s">
        <v>1781</v>
      </c>
      <c r="L210" s="30" t="s">
        <v>55</v>
      </c>
      <c r="M210" s="30" t="s">
        <v>656</v>
      </c>
      <c r="N210" s="30" t="s">
        <v>1782</v>
      </c>
      <c r="O210" s="30" t="s">
        <v>1783</v>
      </c>
      <c r="P210" s="30" t="s">
        <v>1784</v>
      </c>
      <c r="Q210" s="28"/>
      <c r="R210" s="30" t="s">
        <v>1785</v>
      </c>
      <c r="S210" s="30" t="s">
        <v>53</v>
      </c>
      <c r="T210" s="30"/>
      <c r="U210" s="28" t="s">
        <v>1692</v>
      </c>
      <c r="V210" s="30" t="s">
        <v>63</v>
      </c>
      <c r="W210" s="30" t="s">
        <v>64</v>
      </c>
      <c r="X210" s="32">
        <v>44409</v>
      </c>
      <c r="Y210" s="32">
        <v>46235</v>
      </c>
      <c r="Z210" s="30" t="s">
        <v>65</v>
      </c>
      <c r="AA210" s="28" t="s">
        <v>134</v>
      </c>
      <c r="AB210" s="28" t="s">
        <v>67</v>
      </c>
      <c r="AC210" s="29"/>
      <c r="AD210" s="28">
        <v>0</v>
      </c>
      <c r="AE210" s="29"/>
      <c r="AF210" s="31"/>
      <c r="AG210" s="30" t="s">
        <v>1579</v>
      </c>
      <c r="AH210" s="28"/>
      <c r="AI210" s="28" t="s">
        <v>53</v>
      </c>
      <c r="AJ210" s="33">
        <v>37341</v>
      </c>
      <c r="AK210" s="28">
        <v>5</v>
      </c>
      <c r="AL210" s="28">
        <v>25</v>
      </c>
      <c r="AM210" s="21"/>
      <c r="AN210" s="27"/>
      <c r="AO210" s="27"/>
      <c r="AP210" s="27"/>
      <c r="AQ210" s="27"/>
    </row>
    <row r="211" spans="1:43" ht="15.75" customHeight="1">
      <c r="A211" s="28">
        <v>19</v>
      </c>
      <c r="B211" s="29" t="s">
        <v>1786</v>
      </c>
      <c r="C211" s="30"/>
      <c r="D211" s="31" t="s">
        <v>1787</v>
      </c>
      <c r="E211" s="30" t="s">
        <v>72</v>
      </c>
      <c r="F211" s="30" t="s">
        <v>50</v>
      </c>
      <c r="G211" s="30" t="s">
        <v>51</v>
      </c>
      <c r="H211" s="28" t="s">
        <v>52</v>
      </c>
      <c r="I211" s="30"/>
      <c r="J211" s="30" t="s">
        <v>53</v>
      </c>
      <c r="K211" s="30" t="s">
        <v>1788</v>
      </c>
      <c r="L211" s="30" t="s">
        <v>55</v>
      </c>
      <c r="M211" s="30" t="s">
        <v>656</v>
      </c>
      <c r="N211" s="30" t="s">
        <v>1789</v>
      </c>
      <c r="O211" s="30" t="s">
        <v>1790</v>
      </c>
      <c r="P211" s="30" t="s">
        <v>1791</v>
      </c>
      <c r="Q211" s="28"/>
      <c r="R211" s="30" t="s">
        <v>1792</v>
      </c>
      <c r="S211" s="30" t="s">
        <v>53</v>
      </c>
      <c r="T211" s="30"/>
      <c r="U211" s="28" t="s">
        <v>1598</v>
      </c>
      <c r="V211" s="30" t="s">
        <v>63</v>
      </c>
      <c r="W211" s="30" t="s">
        <v>64</v>
      </c>
      <c r="X211" s="32">
        <v>44409</v>
      </c>
      <c r="Y211" s="32">
        <v>46174</v>
      </c>
      <c r="Z211" s="30" t="s">
        <v>65</v>
      </c>
      <c r="AA211" s="28" t="s">
        <v>134</v>
      </c>
      <c r="AB211" s="28" t="s">
        <v>67</v>
      </c>
      <c r="AC211" s="29"/>
      <c r="AD211" s="28">
        <v>0</v>
      </c>
      <c r="AE211" s="29"/>
      <c r="AF211" s="31"/>
      <c r="AG211" s="30" t="s">
        <v>1579</v>
      </c>
      <c r="AH211" s="28"/>
      <c r="AI211" s="28" t="s">
        <v>53</v>
      </c>
      <c r="AJ211" s="33">
        <v>37576</v>
      </c>
      <c r="AK211" s="28">
        <v>5</v>
      </c>
      <c r="AL211" s="28">
        <v>25</v>
      </c>
      <c r="AM211" s="21"/>
      <c r="AN211" s="27"/>
      <c r="AO211" s="27"/>
      <c r="AP211" s="27"/>
      <c r="AQ211" s="27"/>
    </row>
    <row r="212" spans="1:43" ht="15.75" customHeight="1">
      <c r="A212" s="28">
        <v>20</v>
      </c>
      <c r="B212" s="29" t="s">
        <v>1793</v>
      </c>
      <c r="C212" s="30"/>
      <c r="D212" s="31" t="s">
        <v>1794</v>
      </c>
      <c r="E212" s="30" t="s">
        <v>72</v>
      </c>
      <c r="F212" s="30" t="s">
        <v>84</v>
      </c>
      <c r="G212" s="30" t="s">
        <v>51</v>
      </c>
      <c r="H212" s="28" t="s">
        <v>85</v>
      </c>
      <c r="I212" s="30"/>
      <c r="J212" s="30" t="s">
        <v>53</v>
      </c>
      <c r="K212" s="30" t="s">
        <v>1727</v>
      </c>
      <c r="L212" s="30" t="s">
        <v>55</v>
      </c>
      <c r="M212" s="30" t="s">
        <v>1573</v>
      </c>
      <c r="N212" s="30" t="s">
        <v>1795</v>
      </c>
      <c r="O212" s="30" t="s">
        <v>1575</v>
      </c>
      <c r="P212" s="30" t="s">
        <v>1796</v>
      </c>
      <c r="Q212" s="28"/>
      <c r="R212" s="30" t="s">
        <v>1797</v>
      </c>
      <c r="S212" s="30" t="s">
        <v>53</v>
      </c>
      <c r="T212" s="30"/>
      <c r="U212" s="28" t="s">
        <v>1798</v>
      </c>
      <c r="V212" s="30" t="s">
        <v>63</v>
      </c>
      <c r="W212" s="30" t="s">
        <v>64</v>
      </c>
      <c r="X212" s="32">
        <v>43862</v>
      </c>
      <c r="Y212" s="32">
        <v>45809</v>
      </c>
      <c r="Z212" s="30" t="s">
        <v>65</v>
      </c>
      <c r="AA212" s="28" t="s">
        <v>134</v>
      </c>
      <c r="AB212" s="28" t="s">
        <v>67</v>
      </c>
      <c r="AC212" s="29"/>
      <c r="AD212" s="28">
        <v>0</v>
      </c>
      <c r="AE212" s="29"/>
      <c r="AF212" s="31"/>
      <c r="AG212" s="30" t="s">
        <v>1579</v>
      </c>
      <c r="AH212" s="28"/>
      <c r="AI212" s="28" t="s">
        <v>53</v>
      </c>
      <c r="AJ212" s="33">
        <v>37281</v>
      </c>
      <c r="AK212" s="28">
        <v>7</v>
      </c>
      <c r="AL212" s="28">
        <v>25</v>
      </c>
      <c r="AM212" s="21"/>
      <c r="AN212" s="27"/>
      <c r="AO212" s="27"/>
      <c r="AP212" s="27"/>
      <c r="AQ212" s="27"/>
    </row>
    <row r="213" spans="1:43" ht="15.75" customHeight="1">
      <c r="A213" s="28">
        <v>21</v>
      </c>
      <c r="B213" s="29" t="s">
        <v>1799</v>
      </c>
      <c r="C213" s="30" t="s">
        <v>1800</v>
      </c>
      <c r="D213" s="31" t="s">
        <v>1801</v>
      </c>
      <c r="E213" s="30" t="s">
        <v>72</v>
      </c>
      <c r="F213" s="30" t="s">
        <v>50</v>
      </c>
      <c r="G213" s="30" t="s">
        <v>51</v>
      </c>
      <c r="H213" s="28" t="s">
        <v>85</v>
      </c>
      <c r="I213" s="30"/>
      <c r="J213" s="30" t="s">
        <v>53</v>
      </c>
      <c r="K213" s="30" t="s">
        <v>1802</v>
      </c>
      <c r="L213" s="30" t="s">
        <v>55</v>
      </c>
      <c r="M213" s="30" t="s">
        <v>1573</v>
      </c>
      <c r="N213" s="30" t="s">
        <v>1803</v>
      </c>
      <c r="O213" s="30" t="s">
        <v>1679</v>
      </c>
      <c r="P213" s="30" t="s">
        <v>1804</v>
      </c>
      <c r="Q213" s="28"/>
      <c r="R213" s="30" t="s">
        <v>1805</v>
      </c>
      <c r="S213" s="30" t="s">
        <v>53</v>
      </c>
      <c r="T213" s="30"/>
      <c r="U213" s="28" t="s">
        <v>765</v>
      </c>
      <c r="V213" s="30" t="s">
        <v>63</v>
      </c>
      <c r="W213" s="30" t="s">
        <v>64</v>
      </c>
      <c r="X213" s="32">
        <v>43862</v>
      </c>
      <c r="Y213" s="32">
        <v>45992</v>
      </c>
      <c r="Z213" s="30" t="s">
        <v>65</v>
      </c>
      <c r="AA213" s="28" t="s">
        <v>134</v>
      </c>
      <c r="AB213" s="28" t="s">
        <v>67</v>
      </c>
      <c r="AC213" s="29"/>
      <c r="AD213" s="28">
        <v>0</v>
      </c>
      <c r="AE213" s="29"/>
      <c r="AF213" s="31"/>
      <c r="AG213" s="30" t="s">
        <v>1579</v>
      </c>
      <c r="AH213" s="28"/>
      <c r="AI213" s="28" t="s">
        <v>53</v>
      </c>
      <c r="AJ213" s="33">
        <v>37411</v>
      </c>
      <c r="AK213" s="28">
        <v>6</v>
      </c>
      <c r="AL213" s="28">
        <v>25</v>
      </c>
      <c r="AM213" s="21"/>
      <c r="AN213" s="27"/>
      <c r="AO213" s="27"/>
      <c r="AP213" s="27"/>
      <c r="AQ213" s="27"/>
    </row>
    <row r="214" spans="1:43" ht="15.75" customHeight="1">
      <c r="A214" s="28">
        <v>22</v>
      </c>
      <c r="B214" s="29" t="s">
        <v>1806</v>
      </c>
      <c r="C214" s="30"/>
      <c r="D214" s="31" t="s">
        <v>1807</v>
      </c>
      <c r="E214" s="30" t="s">
        <v>49</v>
      </c>
      <c r="F214" s="30" t="s">
        <v>50</v>
      </c>
      <c r="G214" s="30" t="s">
        <v>51</v>
      </c>
      <c r="H214" s="28" t="s">
        <v>85</v>
      </c>
      <c r="I214" s="30"/>
      <c r="J214" s="30" t="s">
        <v>53</v>
      </c>
      <c r="K214" s="30" t="s">
        <v>1808</v>
      </c>
      <c r="L214" s="30" t="s">
        <v>55</v>
      </c>
      <c r="M214" s="30" t="s">
        <v>656</v>
      </c>
      <c r="N214" s="30" t="s">
        <v>1809</v>
      </c>
      <c r="O214" s="30" t="s">
        <v>1810</v>
      </c>
      <c r="P214" s="30" t="s">
        <v>1811</v>
      </c>
      <c r="Q214" s="28" t="s">
        <v>1812</v>
      </c>
      <c r="R214" s="30" t="s">
        <v>1813</v>
      </c>
      <c r="S214" s="30" t="s">
        <v>53</v>
      </c>
      <c r="T214" s="30"/>
      <c r="U214" s="28" t="s">
        <v>1716</v>
      </c>
      <c r="V214" s="30" t="s">
        <v>63</v>
      </c>
      <c r="W214" s="30" t="s">
        <v>64</v>
      </c>
      <c r="X214" s="32">
        <v>44562</v>
      </c>
      <c r="Y214" s="32">
        <v>46023</v>
      </c>
      <c r="Z214" s="30" t="s">
        <v>65</v>
      </c>
      <c r="AA214" s="28" t="s">
        <v>134</v>
      </c>
      <c r="AB214" s="28" t="s">
        <v>67</v>
      </c>
      <c r="AC214" s="29"/>
      <c r="AD214" s="28">
        <v>0</v>
      </c>
      <c r="AE214" s="29"/>
      <c r="AF214" s="31"/>
      <c r="AG214" s="30" t="s">
        <v>1579</v>
      </c>
      <c r="AH214" s="28"/>
      <c r="AI214" s="28" t="s">
        <v>53</v>
      </c>
      <c r="AJ214" s="33">
        <v>37695</v>
      </c>
      <c r="AK214" s="28">
        <v>5</v>
      </c>
      <c r="AL214" s="28">
        <v>24</v>
      </c>
      <c r="AM214" s="21"/>
      <c r="AN214" s="27"/>
      <c r="AO214" s="27"/>
      <c r="AP214" s="27"/>
      <c r="AQ214" s="27"/>
    </row>
    <row r="215" spans="1:43" ht="15.75" customHeight="1">
      <c r="A215" s="28">
        <v>23</v>
      </c>
      <c r="B215" s="29" t="s">
        <v>1814</v>
      </c>
      <c r="C215" s="30" t="s">
        <v>1815</v>
      </c>
      <c r="D215" s="31" t="s">
        <v>1816</v>
      </c>
      <c r="E215" s="30" t="s">
        <v>72</v>
      </c>
      <c r="F215" s="30" t="s">
        <v>84</v>
      </c>
      <c r="G215" s="30" t="s">
        <v>51</v>
      </c>
      <c r="H215" s="28" t="s">
        <v>85</v>
      </c>
      <c r="I215" s="30"/>
      <c r="J215" s="30" t="s">
        <v>53</v>
      </c>
      <c r="K215" s="30" t="s">
        <v>1817</v>
      </c>
      <c r="L215" s="30" t="s">
        <v>55</v>
      </c>
      <c r="M215" s="30" t="s">
        <v>1573</v>
      </c>
      <c r="N215" s="30" t="s">
        <v>1818</v>
      </c>
      <c r="O215" s="30" t="s">
        <v>1585</v>
      </c>
      <c r="P215" s="30" t="s">
        <v>1819</v>
      </c>
      <c r="Q215" s="28"/>
      <c r="R215" s="30" t="s">
        <v>1820</v>
      </c>
      <c r="S215" s="30" t="s">
        <v>53</v>
      </c>
      <c r="T215" s="30"/>
      <c r="U215" s="28" t="s">
        <v>1657</v>
      </c>
      <c r="V215" s="30" t="s">
        <v>63</v>
      </c>
      <c r="W215" s="30" t="s">
        <v>64</v>
      </c>
      <c r="X215" s="32">
        <v>44197</v>
      </c>
      <c r="Y215" s="32">
        <v>45992</v>
      </c>
      <c r="Z215" s="30" t="s">
        <v>65</v>
      </c>
      <c r="AA215" s="28" t="s">
        <v>66</v>
      </c>
      <c r="AB215" s="28" t="s">
        <v>67</v>
      </c>
      <c r="AC215" s="29"/>
      <c r="AD215" s="28">
        <v>0</v>
      </c>
      <c r="AE215" s="29"/>
      <c r="AF215" s="31"/>
      <c r="AG215" s="30" t="s">
        <v>1579</v>
      </c>
      <c r="AH215" s="28"/>
      <c r="AI215" s="28" t="s">
        <v>53</v>
      </c>
      <c r="AJ215" s="33">
        <v>33479</v>
      </c>
      <c r="AK215" s="28">
        <v>5</v>
      </c>
      <c r="AL215" s="28">
        <v>24</v>
      </c>
      <c r="AM215" s="21"/>
      <c r="AN215" s="27"/>
      <c r="AO215" s="27"/>
      <c r="AP215" s="27"/>
      <c r="AQ215" s="27"/>
    </row>
    <row r="216" spans="1:43" ht="15.75" customHeight="1">
      <c r="A216" s="28">
        <v>24</v>
      </c>
      <c r="B216" s="29" t="s">
        <v>1821</v>
      </c>
      <c r="C216" s="30" t="s">
        <v>1822</v>
      </c>
      <c r="D216" s="31" t="s">
        <v>1823</v>
      </c>
      <c r="E216" s="30" t="s">
        <v>72</v>
      </c>
      <c r="F216" s="30" t="s">
        <v>50</v>
      </c>
      <c r="G216" s="30" t="s">
        <v>51</v>
      </c>
      <c r="H216" s="28" t="s">
        <v>52</v>
      </c>
      <c r="I216" s="30"/>
      <c r="J216" s="30" t="s">
        <v>53</v>
      </c>
      <c r="K216" s="30" t="s">
        <v>1824</v>
      </c>
      <c r="L216" s="30" t="s">
        <v>55</v>
      </c>
      <c r="M216" s="30" t="s">
        <v>656</v>
      </c>
      <c r="N216" s="30" t="s">
        <v>1825</v>
      </c>
      <c r="O216" s="30" t="s">
        <v>1679</v>
      </c>
      <c r="P216" s="30" t="s">
        <v>1826</v>
      </c>
      <c r="Q216" s="28" t="s">
        <v>1827</v>
      </c>
      <c r="R216" s="30" t="s">
        <v>1828</v>
      </c>
      <c r="S216" s="30" t="s">
        <v>53</v>
      </c>
      <c r="T216" s="30"/>
      <c r="U216" s="28" t="s">
        <v>1692</v>
      </c>
      <c r="V216" s="30" t="s">
        <v>63</v>
      </c>
      <c r="W216" s="30" t="s">
        <v>64</v>
      </c>
      <c r="X216" s="32">
        <v>44197</v>
      </c>
      <c r="Y216" s="32">
        <v>45992</v>
      </c>
      <c r="Z216" s="30" t="s">
        <v>65</v>
      </c>
      <c r="AA216" s="28" t="s">
        <v>134</v>
      </c>
      <c r="AB216" s="28" t="s">
        <v>67</v>
      </c>
      <c r="AC216" s="29"/>
      <c r="AD216" s="28">
        <v>0</v>
      </c>
      <c r="AE216" s="29"/>
      <c r="AF216" s="31"/>
      <c r="AG216" s="30" t="s">
        <v>1579</v>
      </c>
      <c r="AH216" s="28"/>
      <c r="AI216" s="28" t="s">
        <v>53</v>
      </c>
      <c r="AJ216" s="33">
        <v>37643</v>
      </c>
      <c r="AK216" s="28">
        <v>6</v>
      </c>
      <c r="AL216" s="28">
        <v>24</v>
      </c>
      <c r="AM216" s="21"/>
      <c r="AN216" s="27"/>
      <c r="AO216" s="27"/>
      <c r="AP216" s="27"/>
      <c r="AQ216" s="27"/>
    </row>
    <row r="217" spans="1:43" ht="15.75" customHeight="1">
      <c r="A217" s="28">
        <v>25</v>
      </c>
      <c r="B217" s="29" t="s">
        <v>1829</v>
      </c>
      <c r="C217" s="30" t="s">
        <v>1830</v>
      </c>
      <c r="D217" s="31" t="s">
        <v>1831</v>
      </c>
      <c r="E217" s="30" t="s">
        <v>72</v>
      </c>
      <c r="F217" s="30" t="s">
        <v>50</v>
      </c>
      <c r="G217" s="30" t="s">
        <v>51</v>
      </c>
      <c r="H217" s="28" t="s">
        <v>52</v>
      </c>
      <c r="I217" s="30"/>
      <c r="J217" s="30" t="s">
        <v>53</v>
      </c>
      <c r="K217" s="30" t="s">
        <v>1832</v>
      </c>
      <c r="L217" s="30" t="s">
        <v>55</v>
      </c>
      <c r="M217" s="30" t="s">
        <v>1573</v>
      </c>
      <c r="N217" s="30" t="s">
        <v>1833</v>
      </c>
      <c r="O217" s="30" t="s">
        <v>1834</v>
      </c>
      <c r="P217" s="30" t="s">
        <v>1835</v>
      </c>
      <c r="Q217" s="28"/>
      <c r="R217" s="30" t="s">
        <v>1836</v>
      </c>
      <c r="S217" s="30" t="s">
        <v>53</v>
      </c>
      <c r="T217" s="30"/>
      <c r="U217" s="28" t="s">
        <v>1683</v>
      </c>
      <c r="V217" s="30" t="s">
        <v>63</v>
      </c>
      <c r="W217" s="30" t="s">
        <v>64</v>
      </c>
      <c r="X217" s="32">
        <v>44593</v>
      </c>
      <c r="Y217" s="32">
        <v>46357</v>
      </c>
      <c r="Z217" s="30" t="s">
        <v>65</v>
      </c>
      <c r="AA217" s="28" t="s">
        <v>134</v>
      </c>
      <c r="AB217" s="28" t="s">
        <v>67</v>
      </c>
      <c r="AC217" s="29"/>
      <c r="AD217" s="28">
        <v>0</v>
      </c>
      <c r="AE217" s="29"/>
      <c r="AF217" s="31"/>
      <c r="AG217" s="30" t="s">
        <v>1579</v>
      </c>
      <c r="AH217" s="28"/>
      <c r="AI217" s="28" t="s">
        <v>53</v>
      </c>
      <c r="AJ217" s="33">
        <v>37978</v>
      </c>
      <c r="AK217" s="28">
        <v>5</v>
      </c>
      <c r="AL217" s="28">
        <v>24</v>
      </c>
      <c r="AM217" s="21"/>
      <c r="AN217" s="27"/>
      <c r="AO217" s="27"/>
      <c r="AP217" s="27"/>
      <c r="AQ217" s="27"/>
    </row>
    <row r="218" spans="1:43" ht="15.75" customHeight="1">
      <c r="A218" s="28">
        <v>26</v>
      </c>
      <c r="B218" s="29" t="s">
        <v>1837</v>
      </c>
      <c r="C218" s="30" t="s">
        <v>1838</v>
      </c>
      <c r="D218" s="31" t="s">
        <v>1839</v>
      </c>
      <c r="E218" s="30" t="s">
        <v>72</v>
      </c>
      <c r="F218" s="30" t="s">
        <v>84</v>
      </c>
      <c r="G218" s="30" t="s">
        <v>51</v>
      </c>
      <c r="H218" s="28" t="s">
        <v>85</v>
      </c>
      <c r="I218" s="30"/>
      <c r="J218" s="30" t="s">
        <v>53</v>
      </c>
      <c r="K218" s="30" t="s">
        <v>1840</v>
      </c>
      <c r="L218" s="30" t="s">
        <v>55</v>
      </c>
      <c r="M218" s="30" t="s">
        <v>1573</v>
      </c>
      <c r="N218" s="30" t="s">
        <v>1841</v>
      </c>
      <c r="O218" s="30" t="s">
        <v>1842</v>
      </c>
      <c r="P218" s="30" t="s">
        <v>1843</v>
      </c>
      <c r="Q218" s="28" t="s">
        <v>1844</v>
      </c>
      <c r="R218" s="30" t="s">
        <v>1845</v>
      </c>
      <c r="S218" s="30" t="s">
        <v>53</v>
      </c>
      <c r="T218" s="30"/>
      <c r="U218" s="28" t="s">
        <v>765</v>
      </c>
      <c r="V218" s="30" t="s">
        <v>63</v>
      </c>
      <c r="W218" s="30" t="s">
        <v>64</v>
      </c>
      <c r="X218" s="32">
        <v>44409</v>
      </c>
      <c r="Y218" s="32">
        <v>46204</v>
      </c>
      <c r="Z218" s="30" t="s">
        <v>65</v>
      </c>
      <c r="AA218" s="28" t="s">
        <v>66</v>
      </c>
      <c r="AB218" s="28" t="s">
        <v>67</v>
      </c>
      <c r="AC218" s="29"/>
      <c r="AD218" s="28">
        <v>0</v>
      </c>
      <c r="AE218" s="29"/>
      <c r="AF218" s="31"/>
      <c r="AG218" s="30" t="s">
        <v>1579</v>
      </c>
      <c r="AH218" s="28"/>
      <c r="AI218" s="28" t="s">
        <v>118</v>
      </c>
      <c r="AJ218" s="33">
        <v>37534</v>
      </c>
      <c r="AK218" s="28">
        <v>5</v>
      </c>
      <c r="AL218" s="28">
        <v>24</v>
      </c>
      <c r="AM218" s="21"/>
      <c r="AN218" s="27"/>
      <c r="AO218" s="27"/>
      <c r="AP218" s="27"/>
      <c r="AQ218" s="27"/>
    </row>
    <row r="219" spans="1:43" ht="15.75" customHeight="1">
      <c r="A219" s="28">
        <v>27</v>
      </c>
      <c r="B219" s="29" t="s">
        <v>1846</v>
      </c>
      <c r="C219" s="30" t="s">
        <v>1847</v>
      </c>
      <c r="D219" s="31" t="s">
        <v>1848</v>
      </c>
      <c r="E219" s="30" t="s">
        <v>72</v>
      </c>
      <c r="F219" s="30" t="s">
        <v>50</v>
      </c>
      <c r="G219" s="30" t="s">
        <v>51</v>
      </c>
      <c r="H219" s="28" t="s">
        <v>85</v>
      </c>
      <c r="I219" s="30"/>
      <c r="J219" s="30" t="s">
        <v>53</v>
      </c>
      <c r="K219" s="30" t="s">
        <v>1849</v>
      </c>
      <c r="L219" s="30" t="s">
        <v>55</v>
      </c>
      <c r="M219" s="30" t="s">
        <v>656</v>
      </c>
      <c r="N219" s="30" t="s">
        <v>1850</v>
      </c>
      <c r="O219" s="30" t="s">
        <v>1776</v>
      </c>
      <c r="P219" s="30" t="s">
        <v>1851</v>
      </c>
      <c r="Q219" s="28" t="s">
        <v>1852</v>
      </c>
      <c r="R219" s="30" t="s">
        <v>1853</v>
      </c>
      <c r="S219" s="30" t="s">
        <v>53</v>
      </c>
      <c r="T219" s="30"/>
      <c r="U219" s="28" t="s">
        <v>1657</v>
      </c>
      <c r="V219" s="30" t="s">
        <v>63</v>
      </c>
      <c r="W219" s="30" t="s">
        <v>64</v>
      </c>
      <c r="X219" s="32">
        <v>44256</v>
      </c>
      <c r="Y219" s="32">
        <v>45992</v>
      </c>
      <c r="Z219" s="30" t="s">
        <v>65</v>
      </c>
      <c r="AA219" s="28" t="s">
        <v>134</v>
      </c>
      <c r="AB219" s="28" t="s">
        <v>67</v>
      </c>
      <c r="AC219" s="29"/>
      <c r="AD219" s="28">
        <v>0</v>
      </c>
      <c r="AE219" s="29"/>
      <c r="AF219" s="31"/>
      <c r="AG219" s="30" t="s">
        <v>1579</v>
      </c>
      <c r="AH219" s="28"/>
      <c r="AI219" s="28" t="s">
        <v>53</v>
      </c>
      <c r="AJ219" s="33">
        <v>36287</v>
      </c>
      <c r="AK219" s="28">
        <v>5</v>
      </c>
      <c r="AL219" s="28">
        <v>24</v>
      </c>
      <c r="AM219" s="21"/>
      <c r="AN219" s="27"/>
      <c r="AO219" s="27"/>
      <c r="AP219" s="27"/>
      <c r="AQ219" s="27"/>
    </row>
    <row r="220" spans="1:43" ht="15.75" customHeight="1">
      <c r="A220" s="28">
        <v>28</v>
      </c>
      <c r="B220" s="29" t="s">
        <v>1854</v>
      </c>
      <c r="C220" s="30" t="s">
        <v>1855</v>
      </c>
      <c r="D220" s="31" t="s">
        <v>1856</v>
      </c>
      <c r="E220" s="30" t="s">
        <v>72</v>
      </c>
      <c r="F220" s="30" t="s">
        <v>50</v>
      </c>
      <c r="G220" s="30" t="s">
        <v>51</v>
      </c>
      <c r="H220" s="28" t="s">
        <v>85</v>
      </c>
      <c r="I220" s="30"/>
      <c r="J220" s="30" t="s">
        <v>53</v>
      </c>
      <c r="K220" s="30" t="s">
        <v>1857</v>
      </c>
      <c r="L220" s="30" t="s">
        <v>55</v>
      </c>
      <c r="M220" s="30" t="s">
        <v>656</v>
      </c>
      <c r="N220" s="30" t="s">
        <v>1858</v>
      </c>
      <c r="O220" s="30" t="s">
        <v>1712</v>
      </c>
      <c r="P220" s="30" t="s">
        <v>1859</v>
      </c>
      <c r="Q220" s="28" t="s">
        <v>1860</v>
      </c>
      <c r="R220" s="30" t="s">
        <v>1861</v>
      </c>
      <c r="S220" s="30" t="s">
        <v>53</v>
      </c>
      <c r="T220" s="30"/>
      <c r="U220" s="28" t="s">
        <v>1862</v>
      </c>
      <c r="V220" s="30" t="s">
        <v>63</v>
      </c>
      <c r="W220" s="30" t="s">
        <v>64</v>
      </c>
      <c r="X220" s="32">
        <v>43831</v>
      </c>
      <c r="Y220" s="32">
        <v>45627</v>
      </c>
      <c r="Z220" s="30" t="s">
        <v>65</v>
      </c>
      <c r="AA220" s="28" t="s">
        <v>134</v>
      </c>
      <c r="AB220" s="28" t="s">
        <v>67</v>
      </c>
      <c r="AC220" s="29"/>
      <c r="AD220" s="28">
        <v>0</v>
      </c>
      <c r="AE220" s="29"/>
      <c r="AF220" s="31"/>
      <c r="AG220" s="30" t="s">
        <v>1579</v>
      </c>
      <c r="AH220" s="28"/>
      <c r="AI220" s="28" t="s">
        <v>53</v>
      </c>
      <c r="AJ220" s="33">
        <v>37187</v>
      </c>
      <c r="AK220" s="28">
        <v>8</v>
      </c>
      <c r="AL220" s="28">
        <v>24</v>
      </c>
      <c r="AM220" s="21"/>
      <c r="AN220" s="27"/>
      <c r="AO220" s="27"/>
      <c r="AP220" s="27"/>
      <c r="AQ220" s="27"/>
    </row>
    <row r="221" spans="1:43" ht="15.75" customHeight="1">
      <c r="A221" s="28">
        <v>29</v>
      </c>
      <c r="B221" s="29" t="s">
        <v>1863</v>
      </c>
      <c r="C221" s="30" t="s">
        <v>1864</v>
      </c>
      <c r="D221" s="31" t="s">
        <v>1865</v>
      </c>
      <c r="E221" s="30" t="s">
        <v>49</v>
      </c>
      <c r="F221" s="30" t="s">
        <v>50</v>
      </c>
      <c r="G221" s="30" t="s">
        <v>51</v>
      </c>
      <c r="H221" s="28" t="s">
        <v>52</v>
      </c>
      <c r="I221" s="30"/>
      <c r="J221" s="30" t="s">
        <v>53</v>
      </c>
      <c r="K221" s="30" t="s">
        <v>1866</v>
      </c>
      <c r="L221" s="30" t="s">
        <v>55</v>
      </c>
      <c r="M221" s="30" t="s">
        <v>1573</v>
      </c>
      <c r="N221" s="30" t="s">
        <v>1867</v>
      </c>
      <c r="O221" s="30" t="s">
        <v>1868</v>
      </c>
      <c r="P221" s="30" t="s">
        <v>1869</v>
      </c>
      <c r="Q221" s="28" t="s">
        <v>1870</v>
      </c>
      <c r="R221" s="30" t="s">
        <v>1871</v>
      </c>
      <c r="S221" s="30" t="s">
        <v>53</v>
      </c>
      <c r="T221" s="30"/>
      <c r="U221" s="28" t="s">
        <v>1872</v>
      </c>
      <c r="V221" s="30" t="s">
        <v>63</v>
      </c>
      <c r="W221" s="30" t="s">
        <v>64</v>
      </c>
      <c r="X221" s="32">
        <v>43678</v>
      </c>
      <c r="Y221" s="32">
        <v>45505</v>
      </c>
      <c r="Z221" s="30" t="s">
        <v>65</v>
      </c>
      <c r="AA221" s="28" t="s">
        <v>66</v>
      </c>
      <c r="AB221" s="28" t="s">
        <v>67</v>
      </c>
      <c r="AC221" s="29"/>
      <c r="AD221" s="28">
        <v>0</v>
      </c>
      <c r="AE221" s="29"/>
      <c r="AF221" s="31"/>
      <c r="AG221" s="30" t="s">
        <v>1579</v>
      </c>
      <c r="AH221" s="28"/>
      <c r="AI221" s="28" t="s">
        <v>53</v>
      </c>
      <c r="AJ221" s="33">
        <v>36979</v>
      </c>
      <c r="AK221" s="28">
        <v>9</v>
      </c>
      <c r="AL221" s="28">
        <v>24</v>
      </c>
      <c r="AM221" s="21"/>
      <c r="AN221" s="27"/>
      <c r="AO221" s="27"/>
      <c r="AP221" s="27"/>
      <c r="AQ221" s="27"/>
    </row>
    <row r="222" spans="1:43" ht="15.75" customHeight="1">
      <c r="A222" s="28">
        <v>30</v>
      </c>
      <c r="B222" s="29" t="s">
        <v>1873</v>
      </c>
      <c r="C222" s="30" t="s">
        <v>1874</v>
      </c>
      <c r="D222" s="31" t="s">
        <v>1875</v>
      </c>
      <c r="E222" s="30" t="s">
        <v>72</v>
      </c>
      <c r="F222" s="30" t="s">
        <v>50</v>
      </c>
      <c r="G222" s="30" t="s">
        <v>51</v>
      </c>
      <c r="H222" s="28" t="s">
        <v>85</v>
      </c>
      <c r="I222" s="30"/>
      <c r="J222" s="30" t="s">
        <v>53</v>
      </c>
      <c r="K222" s="30" t="s">
        <v>1876</v>
      </c>
      <c r="L222" s="30" t="s">
        <v>55</v>
      </c>
      <c r="M222" s="30" t="s">
        <v>1573</v>
      </c>
      <c r="N222" s="30" t="s">
        <v>1877</v>
      </c>
      <c r="O222" s="30" t="s">
        <v>1878</v>
      </c>
      <c r="P222" s="30" t="s">
        <v>1879</v>
      </c>
      <c r="Q222" s="28" t="s">
        <v>1880</v>
      </c>
      <c r="R222" s="30" t="s">
        <v>1881</v>
      </c>
      <c r="S222" s="30" t="s">
        <v>53</v>
      </c>
      <c r="T222" s="30"/>
      <c r="U222" s="28" t="s">
        <v>732</v>
      </c>
      <c r="V222" s="30" t="s">
        <v>63</v>
      </c>
      <c r="W222" s="30" t="s">
        <v>64</v>
      </c>
      <c r="X222" s="32">
        <v>43678</v>
      </c>
      <c r="Y222" s="32">
        <v>45474</v>
      </c>
      <c r="Z222" s="30" t="s">
        <v>65</v>
      </c>
      <c r="AA222" s="28" t="s">
        <v>66</v>
      </c>
      <c r="AB222" s="28" t="s">
        <v>67</v>
      </c>
      <c r="AC222" s="29"/>
      <c r="AD222" s="28">
        <v>0</v>
      </c>
      <c r="AE222" s="29"/>
      <c r="AF222" s="31"/>
      <c r="AG222" s="30" t="s">
        <v>1579</v>
      </c>
      <c r="AH222" s="28"/>
      <c r="AI222" s="28" t="s">
        <v>118</v>
      </c>
      <c r="AJ222" s="33">
        <v>36256</v>
      </c>
      <c r="AK222" s="28">
        <v>9</v>
      </c>
      <c r="AL222" s="28">
        <v>23</v>
      </c>
      <c r="AM222" s="21"/>
      <c r="AN222" s="27"/>
      <c r="AO222" s="27"/>
      <c r="AP222" s="27"/>
      <c r="AQ222" s="27"/>
    </row>
    <row r="223" spans="1:43" ht="15.75" customHeight="1">
      <c r="A223" s="28">
        <v>31</v>
      </c>
      <c r="B223" s="29" t="s">
        <v>1882</v>
      </c>
      <c r="C223" s="30"/>
      <c r="D223" s="31" t="s">
        <v>1883</v>
      </c>
      <c r="E223" s="30" t="s">
        <v>72</v>
      </c>
      <c r="F223" s="30" t="s">
        <v>84</v>
      </c>
      <c r="G223" s="30" t="s">
        <v>51</v>
      </c>
      <c r="H223" s="28" t="s">
        <v>85</v>
      </c>
      <c r="I223" s="30"/>
      <c r="J223" s="30" t="s">
        <v>53</v>
      </c>
      <c r="K223" s="30" t="s">
        <v>1884</v>
      </c>
      <c r="L223" s="30" t="s">
        <v>55</v>
      </c>
      <c r="M223" s="30" t="s">
        <v>656</v>
      </c>
      <c r="N223" s="30" t="s">
        <v>1885</v>
      </c>
      <c r="O223" s="30" t="s">
        <v>1886</v>
      </c>
      <c r="P223" s="30" t="s">
        <v>1887</v>
      </c>
      <c r="Q223" s="28"/>
      <c r="R223" s="30" t="s">
        <v>1888</v>
      </c>
      <c r="S223" s="30" t="s">
        <v>53</v>
      </c>
      <c r="T223" s="30"/>
      <c r="U223" s="28" t="s">
        <v>1889</v>
      </c>
      <c r="V223" s="30" t="s">
        <v>63</v>
      </c>
      <c r="W223" s="30" t="s">
        <v>64</v>
      </c>
      <c r="X223" s="32">
        <v>44593</v>
      </c>
      <c r="Y223" s="32">
        <v>46357</v>
      </c>
      <c r="Z223" s="30" t="s">
        <v>65</v>
      </c>
      <c r="AA223" s="28" t="s">
        <v>134</v>
      </c>
      <c r="AB223" s="28" t="s">
        <v>67</v>
      </c>
      <c r="AC223" s="29"/>
      <c r="AD223" s="28">
        <v>0</v>
      </c>
      <c r="AE223" s="29"/>
      <c r="AF223" s="31"/>
      <c r="AG223" s="30" t="s">
        <v>1579</v>
      </c>
      <c r="AH223" s="28"/>
      <c r="AI223" s="28" t="s">
        <v>53</v>
      </c>
      <c r="AJ223" s="33">
        <v>36495</v>
      </c>
      <c r="AK223" s="28">
        <v>5</v>
      </c>
      <c r="AL223" s="28">
        <v>23</v>
      </c>
      <c r="AM223" s="21"/>
      <c r="AN223" s="27"/>
      <c r="AO223" s="27"/>
      <c r="AP223" s="27"/>
      <c r="AQ223" s="27"/>
    </row>
    <row r="224" spans="1:43" ht="15.75" customHeight="1">
      <c r="A224" s="28">
        <v>32</v>
      </c>
      <c r="B224" s="29" t="s">
        <v>1890</v>
      </c>
      <c r="C224" s="30"/>
      <c r="D224" s="31" t="s">
        <v>1891</v>
      </c>
      <c r="E224" s="30" t="s">
        <v>72</v>
      </c>
      <c r="F224" s="30" t="s">
        <v>50</v>
      </c>
      <c r="G224" s="30" t="s">
        <v>51</v>
      </c>
      <c r="H224" s="28" t="s">
        <v>85</v>
      </c>
      <c r="I224" s="30"/>
      <c r="J224" s="30" t="s">
        <v>53</v>
      </c>
      <c r="K224" s="30" t="s">
        <v>1892</v>
      </c>
      <c r="L224" s="30" t="s">
        <v>55</v>
      </c>
      <c r="M224" s="30" t="s">
        <v>1573</v>
      </c>
      <c r="N224" s="30" t="s">
        <v>1893</v>
      </c>
      <c r="O224" s="30" t="s">
        <v>1894</v>
      </c>
      <c r="P224" s="30" t="s">
        <v>1895</v>
      </c>
      <c r="Q224" s="28" t="s">
        <v>1896</v>
      </c>
      <c r="R224" s="30" t="s">
        <v>1897</v>
      </c>
      <c r="S224" s="30" t="s">
        <v>53</v>
      </c>
      <c r="T224" s="30"/>
      <c r="U224" s="28" t="s">
        <v>1898</v>
      </c>
      <c r="V224" s="30" t="s">
        <v>63</v>
      </c>
      <c r="W224" s="30" t="s">
        <v>64</v>
      </c>
      <c r="X224" s="32">
        <v>44409</v>
      </c>
      <c r="Y224" s="32">
        <v>46235</v>
      </c>
      <c r="Z224" s="30" t="s">
        <v>65</v>
      </c>
      <c r="AA224" s="28" t="s">
        <v>66</v>
      </c>
      <c r="AB224" s="28" t="s">
        <v>67</v>
      </c>
      <c r="AC224" s="29"/>
      <c r="AD224" s="28">
        <v>0</v>
      </c>
      <c r="AE224" s="29"/>
      <c r="AF224" s="31"/>
      <c r="AG224" s="30" t="s">
        <v>1579</v>
      </c>
      <c r="AH224" s="28"/>
      <c r="AI224" s="28" t="s">
        <v>53</v>
      </c>
      <c r="AJ224" s="33">
        <v>29551</v>
      </c>
      <c r="AK224" s="28">
        <v>5</v>
      </c>
      <c r="AL224" s="28">
        <v>23</v>
      </c>
      <c r="AM224" s="21"/>
      <c r="AN224" s="27"/>
      <c r="AO224" s="27"/>
      <c r="AP224" s="27"/>
      <c r="AQ224" s="27"/>
    </row>
    <row r="225" spans="1:43" ht="15.75" customHeight="1">
      <c r="A225" s="28">
        <v>33</v>
      </c>
      <c r="B225" s="29" t="s">
        <v>1899</v>
      </c>
      <c r="C225" s="30" t="s">
        <v>1900</v>
      </c>
      <c r="D225" s="31" t="s">
        <v>1901</v>
      </c>
      <c r="E225" s="30" t="s">
        <v>72</v>
      </c>
      <c r="F225" s="30" t="s">
        <v>50</v>
      </c>
      <c r="G225" s="30" t="s">
        <v>51</v>
      </c>
      <c r="H225" s="28" t="s">
        <v>191</v>
      </c>
      <c r="I225" s="30"/>
      <c r="J225" s="30" t="s">
        <v>53</v>
      </c>
      <c r="K225" s="30" t="s">
        <v>1902</v>
      </c>
      <c r="L225" s="30" t="s">
        <v>55</v>
      </c>
      <c r="M225" s="30" t="s">
        <v>656</v>
      </c>
      <c r="N225" s="30" t="s">
        <v>1903</v>
      </c>
      <c r="O225" s="30" t="s">
        <v>1904</v>
      </c>
      <c r="P225" s="30" t="s">
        <v>1905</v>
      </c>
      <c r="Q225" s="28"/>
      <c r="R225" s="30" t="s">
        <v>1906</v>
      </c>
      <c r="S225" s="30" t="s">
        <v>53</v>
      </c>
      <c r="T225" s="30"/>
      <c r="U225" s="28" t="s">
        <v>255</v>
      </c>
      <c r="V225" s="30" t="s">
        <v>63</v>
      </c>
      <c r="W225" s="30" t="s">
        <v>64</v>
      </c>
      <c r="X225" s="32">
        <v>44593</v>
      </c>
      <c r="Y225" s="32">
        <v>46357</v>
      </c>
      <c r="Z225" s="30" t="s">
        <v>65</v>
      </c>
      <c r="AA225" s="28" t="s">
        <v>134</v>
      </c>
      <c r="AB225" s="28" t="s">
        <v>67</v>
      </c>
      <c r="AC225" s="29"/>
      <c r="AD225" s="28">
        <v>0</v>
      </c>
      <c r="AE225" s="29"/>
      <c r="AF225" s="31"/>
      <c r="AG225" s="30" t="s">
        <v>1579</v>
      </c>
      <c r="AH225" s="28" t="s">
        <v>431</v>
      </c>
      <c r="AI225" s="28" t="s">
        <v>53</v>
      </c>
      <c r="AJ225" s="33">
        <v>38084</v>
      </c>
      <c r="AK225" s="28">
        <v>5</v>
      </c>
      <c r="AL225" s="28">
        <v>23</v>
      </c>
      <c r="AM225" s="21"/>
      <c r="AN225" s="27"/>
      <c r="AO225" s="27"/>
      <c r="AP225" s="27"/>
      <c r="AQ225" s="27"/>
    </row>
    <row r="226" spans="1:43" ht="15.75" customHeight="1">
      <c r="A226" s="28">
        <v>34</v>
      </c>
      <c r="B226" s="29" t="s">
        <v>1907</v>
      </c>
      <c r="C226" s="30"/>
      <c r="D226" s="31" t="s">
        <v>1908</v>
      </c>
      <c r="E226" s="30" t="s">
        <v>49</v>
      </c>
      <c r="F226" s="30" t="s">
        <v>50</v>
      </c>
      <c r="G226" s="30" t="s">
        <v>51</v>
      </c>
      <c r="H226" s="28" t="s">
        <v>85</v>
      </c>
      <c r="I226" s="30"/>
      <c r="J226" s="30" t="s">
        <v>53</v>
      </c>
      <c r="K226" s="30" t="s">
        <v>1909</v>
      </c>
      <c r="L226" s="30" t="s">
        <v>55</v>
      </c>
      <c r="M226" s="30" t="s">
        <v>1573</v>
      </c>
      <c r="N226" s="30" t="s">
        <v>1910</v>
      </c>
      <c r="O226" s="30" t="s">
        <v>1575</v>
      </c>
      <c r="P226" s="30" t="s">
        <v>1911</v>
      </c>
      <c r="Q226" s="28"/>
      <c r="R226" s="30" t="s">
        <v>1912</v>
      </c>
      <c r="S226" s="30" t="s">
        <v>53</v>
      </c>
      <c r="T226" s="30"/>
      <c r="U226" s="28" t="s">
        <v>1798</v>
      </c>
      <c r="V226" s="30" t="s">
        <v>63</v>
      </c>
      <c r="W226" s="30" t="s">
        <v>64</v>
      </c>
      <c r="X226" s="32">
        <v>44562</v>
      </c>
      <c r="Y226" s="32">
        <v>46722</v>
      </c>
      <c r="Z226" s="30" t="s">
        <v>65</v>
      </c>
      <c r="AA226" s="28" t="s">
        <v>134</v>
      </c>
      <c r="AB226" s="28" t="s">
        <v>67</v>
      </c>
      <c r="AC226" s="29"/>
      <c r="AD226" s="28">
        <v>0</v>
      </c>
      <c r="AE226" s="29"/>
      <c r="AF226" s="31"/>
      <c r="AG226" s="30" t="s">
        <v>1579</v>
      </c>
      <c r="AH226" s="28"/>
      <c r="AI226" s="28" t="s">
        <v>53</v>
      </c>
      <c r="AJ226" s="33">
        <v>38124</v>
      </c>
      <c r="AK226" s="28">
        <v>5</v>
      </c>
      <c r="AL226" s="28">
        <v>23</v>
      </c>
      <c r="AM226" s="21"/>
      <c r="AN226" s="27"/>
      <c r="AO226" s="27"/>
      <c r="AP226" s="27"/>
      <c r="AQ226" s="27"/>
    </row>
    <row r="227" spans="1:43" ht="15.75" customHeight="1">
      <c r="A227" s="28">
        <v>35</v>
      </c>
      <c r="B227" s="29" t="s">
        <v>1913</v>
      </c>
      <c r="C227" s="30"/>
      <c r="D227" s="31" t="s">
        <v>1914</v>
      </c>
      <c r="E227" s="30" t="s">
        <v>72</v>
      </c>
      <c r="F227" s="30" t="s">
        <v>50</v>
      </c>
      <c r="G227" s="30" t="s">
        <v>51</v>
      </c>
      <c r="H227" s="28" t="s">
        <v>52</v>
      </c>
      <c r="I227" s="30"/>
      <c r="J227" s="30" t="s">
        <v>53</v>
      </c>
      <c r="K227" s="30" t="s">
        <v>1915</v>
      </c>
      <c r="L227" s="30" t="s">
        <v>55</v>
      </c>
      <c r="M227" s="30" t="s">
        <v>1573</v>
      </c>
      <c r="N227" s="30" t="s">
        <v>1916</v>
      </c>
      <c r="O227" s="30" t="s">
        <v>1917</v>
      </c>
      <c r="P227" s="30" t="s">
        <v>1918</v>
      </c>
      <c r="Q227" s="28" t="s">
        <v>1919</v>
      </c>
      <c r="R227" s="30" t="s">
        <v>1920</v>
      </c>
      <c r="S227" s="30" t="s">
        <v>53</v>
      </c>
      <c r="T227" s="30"/>
      <c r="U227" s="28" t="s">
        <v>1921</v>
      </c>
      <c r="V227" s="30" t="s">
        <v>63</v>
      </c>
      <c r="W227" s="30" t="s">
        <v>64</v>
      </c>
      <c r="X227" s="32">
        <v>44958</v>
      </c>
      <c r="Y227" s="32">
        <v>46054</v>
      </c>
      <c r="Z227" s="30" t="s">
        <v>65</v>
      </c>
      <c r="AA227" s="28" t="s">
        <v>66</v>
      </c>
      <c r="AB227" s="28" t="s">
        <v>67</v>
      </c>
      <c r="AC227" s="29"/>
      <c r="AD227" s="28">
        <v>0</v>
      </c>
      <c r="AE227" s="29"/>
      <c r="AF227" s="31"/>
      <c r="AG227" s="30" t="s">
        <v>1579</v>
      </c>
      <c r="AH227" s="28"/>
      <c r="AI227" s="28" t="s">
        <v>53</v>
      </c>
      <c r="AJ227" s="33">
        <v>36147</v>
      </c>
      <c r="AK227" s="28">
        <v>5</v>
      </c>
      <c r="AL227" s="28">
        <v>23</v>
      </c>
      <c r="AM227" s="21"/>
      <c r="AN227" s="27"/>
      <c r="AO227" s="27"/>
      <c r="AP227" s="27"/>
      <c r="AQ227" s="27"/>
    </row>
    <row r="228" spans="1:43" ht="15.75" customHeight="1">
      <c r="A228" s="28">
        <v>36</v>
      </c>
      <c r="B228" s="29" t="s">
        <v>1922</v>
      </c>
      <c r="C228" s="30"/>
      <c r="D228" s="31" t="s">
        <v>1923</v>
      </c>
      <c r="E228" s="30" t="s">
        <v>72</v>
      </c>
      <c r="F228" s="30" t="s">
        <v>50</v>
      </c>
      <c r="G228" s="30" t="s">
        <v>51</v>
      </c>
      <c r="H228" s="28" t="s">
        <v>85</v>
      </c>
      <c r="I228" s="30"/>
      <c r="J228" s="30" t="s">
        <v>53</v>
      </c>
      <c r="K228" s="30" t="s">
        <v>1924</v>
      </c>
      <c r="L228" s="30" t="s">
        <v>55</v>
      </c>
      <c r="M228" s="30" t="s">
        <v>1573</v>
      </c>
      <c r="N228" s="30" t="s">
        <v>1925</v>
      </c>
      <c r="O228" s="30" t="s">
        <v>1768</v>
      </c>
      <c r="P228" s="30" t="s">
        <v>1926</v>
      </c>
      <c r="Q228" s="28" t="s">
        <v>1927</v>
      </c>
      <c r="R228" s="30" t="s">
        <v>1928</v>
      </c>
      <c r="S228" s="30" t="s">
        <v>53</v>
      </c>
      <c r="T228" s="30"/>
      <c r="U228" s="28" t="s">
        <v>1929</v>
      </c>
      <c r="V228" s="30" t="s">
        <v>63</v>
      </c>
      <c r="W228" s="30" t="s">
        <v>64</v>
      </c>
      <c r="X228" s="32">
        <v>43862</v>
      </c>
      <c r="Y228" s="32">
        <v>45627</v>
      </c>
      <c r="Z228" s="30" t="s">
        <v>65</v>
      </c>
      <c r="AA228" s="28" t="s">
        <v>66</v>
      </c>
      <c r="AB228" s="28" t="s">
        <v>67</v>
      </c>
      <c r="AC228" s="29"/>
      <c r="AD228" s="28">
        <v>0</v>
      </c>
      <c r="AE228" s="29"/>
      <c r="AF228" s="31"/>
      <c r="AG228" s="30" t="s">
        <v>1579</v>
      </c>
      <c r="AH228" s="28"/>
      <c r="AI228" s="28" t="s">
        <v>53</v>
      </c>
      <c r="AJ228" s="33">
        <v>37132</v>
      </c>
      <c r="AK228" s="28">
        <v>7</v>
      </c>
      <c r="AL228" s="28">
        <v>23</v>
      </c>
      <c r="AM228" s="21"/>
      <c r="AN228" s="27"/>
      <c r="AO228" s="27"/>
      <c r="AP228" s="27"/>
      <c r="AQ228" s="27"/>
    </row>
    <row r="229" spans="1:43" ht="15.75" customHeight="1">
      <c r="A229" s="28">
        <v>37</v>
      </c>
      <c r="B229" s="29" t="s">
        <v>1930</v>
      </c>
      <c r="C229" s="30" t="s">
        <v>1931</v>
      </c>
      <c r="D229" s="31" t="s">
        <v>1932</v>
      </c>
      <c r="E229" s="30" t="s">
        <v>72</v>
      </c>
      <c r="F229" s="30" t="s">
        <v>50</v>
      </c>
      <c r="G229" s="30" t="s">
        <v>51</v>
      </c>
      <c r="H229" s="28" t="s">
        <v>85</v>
      </c>
      <c r="I229" s="30"/>
      <c r="J229" s="30" t="s">
        <v>53</v>
      </c>
      <c r="K229" s="30" t="s">
        <v>1933</v>
      </c>
      <c r="L229" s="30" t="s">
        <v>55</v>
      </c>
      <c r="M229" s="30" t="s">
        <v>1573</v>
      </c>
      <c r="N229" s="30" t="s">
        <v>1934</v>
      </c>
      <c r="O229" s="30" t="s">
        <v>1935</v>
      </c>
      <c r="P229" s="30" t="s">
        <v>1936</v>
      </c>
      <c r="Q229" s="28"/>
      <c r="R229" s="30" t="s">
        <v>1937</v>
      </c>
      <c r="S229" s="30" t="s">
        <v>53</v>
      </c>
      <c r="T229" s="30"/>
      <c r="U229" s="28" t="s">
        <v>765</v>
      </c>
      <c r="V229" s="30" t="s">
        <v>63</v>
      </c>
      <c r="W229" s="30" t="s">
        <v>64</v>
      </c>
      <c r="X229" s="32">
        <v>44228</v>
      </c>
      <c r="Y229" s="32">
        <v>45992</v>
      </c>
      <c r="Z229" s="30" t="s">
        <v>65</v>
      </c>
      <c r="AA229" s="28" t="s">
        <v>246</v>
      </c>
      <c r="AB229" s="28" t="s">
        <v>67</v>
      </c>
      <c r="AC229" s="29"/>
      <c r="AD229" s="28">
        <v>0</v>
      </c>
      <c r="AE229" s="29"/>
      <c r="AF229" s="31"/>
      <c r="AG229" s="30" t="s">
        <v>1579</v>
      </c>
      <c r="AH229" s="28"/>
      <c r="AI229" s="28" t="s">
        <v>53</v>
      </c>
      <c r="AJ229" s="33">
        <v>37545</v>
      </c>
      <c r="AK229" s="28">
        <v>6</v>
      </c>
      <c r="AL229" s="28">
        <v>23</v>
      </c>
      <c r="AM229" s="21"/>
      <c r="AN229" s="27"/>
      <c r="AO229" s="27"/>
      <c r="AP229" s="27"/>
      <c r="AQ229" s="27"/>
    </row>
    <row r="230" spans="1:43" ht="15.75" customHeight="1">
      <c r="A230" s="28">
        <v>38</v>
      </c>
      <c r="B230" s="29" t="s">
        <v>1938</v>
      </c>
      <c r="C230" s="30"/>
      <c r="D230" s="31" t="s">
        <v>1939</v>
      </c>
      <c r="E230" s="30" t="s">
        <v>72</v>
      </c>
      <c r="F230" s="30" t="s">
        <v>50</v>
      </c>
      <c r="G230" s="30" t="s">
        <v>51</v>
      </c>
      <c r="H230" s="28" t="s">
        <v>52</v>
      </c>
      <c r="I230" s="30"/>
      <c r="J230" s="30" t="s">
        <v>53</v>
      </c>
      <c r="K230" s="30" t="s">
        <v>1940</v>
      </c>
      <c r="L230" s="30" t="s">
        <v>55</v>
      </c>
      <c r="M230" s="30" t="s">
        <v>1573</v>
      </c>
      <c r="N230" s="30" t="s">
        <v>1941</v>
      </c>
      <c r="O230" s="30" t="s">
        <v>1942</v>
      </c>
      <c r="P230" s="30" t="s">
        <v>1943</v>
      </c>
      <c r="Q230" s="28" t="s">
        <v>1944</v>
      </c>
      <c r="R230" s="30" t="s">
        <v>1945</v>
      </c>
      <c r="S230" s="30" t="s">
        <v>53</v>
      </c>
      <c r="T230" s="30"/>
      <c r="U230" s="28" t="s">
        <v>1946</v>
      </c>
      <c r="V230" s="30" t="s">
        <v>63</v>
      </c>
      <c r="W230" s="30" t="s">
        <v>64</v>
      </c>
      <c r="X230" s="32">
        <v>44409</v>
      </c>
      <c r="Y230" s="32">
        <v>46235</v>
      </c>
      <c r="Z230" s="30" t="s">
        <v>65</v>
      </c>
      <c r="AA230" s="28" t="s">
        <v>66</v>
      </c>
      <c r="AB230" s="28" t="s">
        <v>67</v>
      </c>
      <c r="AC230" s="29"/>
      <c r="AD230" s="28">
        <v>0</v>
      </c>
      <c r="AE230" s="29"/>
      <c r="AF230" s="31"/>
      <c r="AG230" s="30" t="s">
        <v>1579</v>
      </c>
      <c r="AH230" s="28"/>
      <c r="AI230" s="28" t="s">
        <v>53</v>
      </c>
      <c r="AJ230" s="33">
        <v>37735</v>
      </c>
      <c r="AK230" s="28">
        <v>5</v>
      </c>
      <c r="AL230" s="28">
        <v>23</v>
      </c>
      <c r="AM230" s="21"/>
      <c r="AN230" s="27"/>
      <c r="AO230" s="27"/>
      <c r="AP230" s="27"/>
      <c r="AQ230" s="27"/>
    </row>
    <row r="231" spans="1:43" ht="15.75" customHeight="1">
      <c r="A231" s="28">
        <v>39</v>
      </c>
      <c r="B231" s="29" t="s">
        <v>1947</v>
      </c>
      <c r="C231" s="30"/>
      <c r="D231" s="31" t="s">
        <v>1948</v>
      </c>
      <c r="E231" s="30" t="s">
        <v>72</v>
      </c>
      <c r="F231" s="30" t="s">
        <v>50</v>
      </c>
      <c r="G231" s="30" t="s">
        <v>51</v>
      </c>
      <c r="H231" s="28" t="s">
        <v>601</v>
      </c>
      <c r="I231" s="30"/>
      <c r="J231" s="30" t="s">
        <v>53</v>
      </c>
      <c r="K231" s="30" t="s">
        <v>1949</v>
      </c>
      <c r="L231" s="30" t="s">
        <v>55</v>
      </c>
      <c r="M231" s="30" t="s">
        <v>1573</v>
      </c>
      <c r="N231" s="30" t="s">
        <v>1950</v>
      </c>
      <c r="O231" s="30" t="s">
        <v>1951</v>
      </c>
      <c r="P231" s="30" t="s">
        <v>1952</v>
      </c>
      <c r="Q231" s="28" t="s">
        <v>1953</v>
      </c>
      <c r="R231" s="30" t="s">
        <v>1954</v>
      </c>
      <c r="S231" s="30" t="s">
        <v>53</v>
      </c>
      <c r="T231" s="30"/>
      <c r="U231" s="28" t="s">
        <v>1955</v>
      </c>
      <c r="V231" s="30" t="s">
        <v>63</v>
      </c>
      <c r="W231" s="30" t="s">
        <v>64</v>
      </c>
      <c r="X231" s="32">
        <v>44197</v>
      </c>
      <c r="Y231" s="32">
        <v>45992</v>
      </c>
      <c r="Z231" s="30" t="s">
        <v>65</v>
      </c>
      <c r="AA231" s="28" t="s">
        <v>66</v>
      </c>
      <c r="AB231" s="28" t="s">
        <v>67</v>
      </c>
      <c r="AC231" s="29"/>
      <c r="AD231" s="28">
        <v>0</v>
      </c>
      <c r="AE231" s="29"/>
      <c r="AF231" s="31"/>
      <c r="AG231" s="30" t="s">
        <v>1579</v>
      </c>
      <c r="AH231" s="28"/>
      <c r="AI231" s="28" t="s">
        <v>53</v>
      </c>
      <c r="AJ231" s="33">
        <v>37492</v>
      </c>
      <c r="AK231" s="28">
        <v>6</v>
      </c>
      <c r="AL231" s="28">
        <v>23</v>
      </c>
      <c r="AM231" s="21"/>
      <c r="AN231" s="27"/>
      <c r="AO231" s="27"/>
      <c r="AP231" s="27"/>
      <c r="AQ231" s="27"/>
    </row>
    <row r="232" spans="1:43" ht="15.75" customHeight="1">
      <c r="A232" s="28">
        <v>40</v>
      </c>
      <c r="B232" s="29" t="s">
        <v>1956</v>
      </c>
      <c r="C232" s="30" t="s">
        <v>1957</v>
      </c>
      <c r="D232" s="31" t="s">
        <v>1958</v>
      </c>
      <c r="E232" s="30" t="s">
        <v>49</v>
      </c>
      <c r="F232" s="30" t="s">
        <v>50</v>
      </c>
      <c r="G232" s="30" t="s">
        <v>51</v>
      </c>
      <c r="H232" s="28" t="s">
        <v>1121</v>
      </c>
      <c r="I232" s="30"/>
      <c r="J232" s="30" t="s">
        <v>53</v>
      </c>
      <c r="K232" s="30" t="s">
        <v>1959</v>
      </c>
      <c r="L232" s="30" t="s">
        <v>55</v>
      </c>
      <c r="M232" s="30" t="s">
        <v>1960</v>
      </c>
      <c r="N232" s="30" t="s">
        <v>1961</v>
      </c>
      <c r="O232" s="30" t="s">
        <v>1962</v>
      </c>
      <c r="P232" s="30" t="s">
        <v>1963</v>
      </c>
      <c r="Q232" s="28"/>
      <c r="R232" s="30" t="s">
        <v>1964</v>
      </c>
      <c r="S232" s="30" t="s">
        <v>53</v>
      </c>
      <c r="T232" s="30"/>
      <c r="U232" s="28" t="s">
        <v>1965</v>
      </c>
      <c r="V232" s="30" t="s">
        <v>63</v>
      </c>
      <c r="W232" s="30" t="s">
        <v>64</v>
      </c>
      <c r="X232" s="32">
        <v>43101</v>
      </c>
      <c r="Y232" s="32">
        <v>45627</v>
      </c>
      <c r="Z232" s="30" t="s">
        <v>65</v>
      </c>
      <c r="AA232" s="28" t="s">
        <v>134</v>
      </c>
      <c r="AB232" s="28" t="s">
        <v>67</v>
      </c>
      <c r="AC232" s="29"/>
      <c r="AD232" s="28">
        <v>0</v>
      </c>
      <c r="AE232" s="29"/>
      <c r="AF232" s="31"/>
      <c r="AG232" s="30" t="s">
        <v>1579</v>
      </c>
      <c r="AH232" s="28"/>
      <c r="AI232" s="28" t="s">
        <v>53</v>
      </c>
      <c r="AJ232" s="33">
        <v>33011</v>
      </c>
      <c r="AK232" s="28">
        <v>8</v>
      </c>
      <c r="AL232" s="28">
        <v>23</v>
      </c>
      <c r="AM232" s="21"/>
      <c r="AN232" s="27"/>
      <c r="AO232" s="27"/>
      <c r="AP232" s="27"/>
      <c r="AQ232" s="27"/>
    </row>
    <row r="233" spans="1:43" ht="15.75" customHeight="1">
      <c r="A233" s="28">
        <v>41</v>
      </c>
      <c r="B233" s="29" t="s">
        <v>1966</v>
      </c>
      <c r="C233" s="30" t="s">
        <v>1967</v>
      </c>
      <c r="D233" s="31" t="s">
        <v>1968</v>
      </c>
      <c r="E233" s="30" t="s">
        <v>49</v>
      </c>
      <c r="F233" s="30" t="s">
        <v>50</v>
      </c>
      <c r="G233" s="30" t="s">
        <v>51</v>
      </c>
      <c r="H233" s="28" t="s">
        <v>85</v>
      </c>
      <c r="I233" s="30"/>
      <c r="J233" s="30" t="s">
        <v>53</v>
      </c>
      <c r="K233" s="30" t="s">
        <v>1969</v>
      </c>
      <c r="L233" s="30" t="s">
        <v>55</v>
      </c>
      <c r="M233" s="30" t="s">
        <v>1573</v>
      </c>
      <c r="N233" s="30" t="s">
        <v>1970</v>
      </c>
      <c r="O233" s="30" t="s">
        <v>1971</v>
      </c>
      <c r="P233" s="30" t="s">
        <v>1972</v>
      </c>
      <c r="Q233" s="28" t="s">
        <v>1973</v>
      </c>
      <c r="R233" s="30" t="s">
        <v>1974</v>
      </c>
      <c r="S233" s="30" t="s">
        <v>53</v>
      </c>
      <c r="T233" s="30"/>
      <c r="U233" s="28" t="s">
        <v>1716</v>
      </c>
      <c r="V233" s="30" t="s">
        <v>63</v>
      </c>
      <c r="W233" s="30" t="s">
        <v>64</v>
      </c>
      <c r="X233" s="32">
        <v>43831</v>
      </c>
      <c r="Y233" s="32">
        <v>45627</v>
      </c>
      <c r="Z233" s="30" t="s">
        <v>65</v>
      </c>
      <c r="AA233" s="28" t="s">
        <v>66</v>
      </c>
      <c r="AB233" s="28" t="s">
        <v>67</v>
      </c>
      <c r="AC233" s="29"/>
      <c r="AD233" s="28">
        <v>0</v>
      </c>
      <c r="AE233" s="29"/>
      <c r="AF233" s="31"/>
      <c r="AG233" s="30" t="s">
        <v>1579</v>
      </c>
      <c r="AH233" s="28"/>
      <c r="AI233" s="28" t="s">
        <v>53</v>
      </c>
      <c r="AJ233" s="33">
        <v>37414</v>
      </c>
      <c r="AK233" s="28">
        <v>8</v>
      </c>
      <c r="AL233" s="28">
        <v>22</v>
      </c>
      <c r="AM233" s="21"/>
      <c r="AN233" s="27"/>
      <c r="AO233" s="27"/>
      <c r="AP233" s="27"/>
      <c r="AQ233" s="27"/>
    </row>
    <row r="234" spans="1:43" ht="15.75" customHeight="1">
      <c r="A234" s="28">
        <v>42</v>
      </c>
      <c r="B234" s="29" t="s">
        <v>1975</v>
      </c>
      <c r="C234" s="30"/>
      <c r="D234" s="31" t="s">
        <v>1976</v>
      </c>
      <c r="E234" s="30" t="s">
        <v>72</v>
      </c>
      <c r="F234" s="30" t="s">
        <v>84</v>
      </c>
      <c r="G234" s="30" t="s">
        <v>51</v>
      </c>
      <c r="H234" s="28" t="s">
        <v>85</v>
      </c>
      <c r="I234" s="30"/>
      <c r="J234" s="30" t="s">
        <v>53</v>
      </c>
      <c r="K234" s="30" t="s">
        <v>1977</v>
      </c>
      <c r="L234" s="30" t="s">
        <v>55</v>
      </c>
      <c r="M234" s="30" t="s">
        <v>1573</v>
      </c>
      <c r="N234" s="30" t="s">
        <v>1978</v>
      </c>
      <c r="O234" s="30" t="s">
        <v>1575</v>
      </c>
      <c r="P234" s="30" t="s">
        <v>1979</v>
      </c>
      <c r="Q234" s="28"/>
      <c r="R234" s="30" t="s">
        <v>1980</v>
      </c>
      <c r="S234" s="30" t="s">
        <v>53</v>
      </c>
      <c r="T234" s="30"/>
      <c r="U234" s="28" t="s">
        <v>775</v>
      </c>
      <c r="V234" s="30" t="s">
        <v>63</v>
      </c>
      <c r="W234" s="30" t="s">
        <v>64</v>
      </c>
      <c r="X234" s="32">
        <v>44958</v>
      </c>
      <c r="Y234" s="32">
        <v>45627</v>
      </c>
      <c r="Z234" s="30" t="s">
        <v>65</v>
      </c>
      <c r="AA234" s="28" t="s">
        <v>134</v>
      </c>
      <c r="AB234" s="28" t="s">
        <v>67</v>
      </c>
      <c r="AC234" s="29"/>
      <c r="AD234" s="28">
        <v>0</v>
      </c>
      <c r="AE234" s="29"/>
      <c r="AF234" s="31"/>
      <c r="AG234" s="30" t="s">
        <v>1579</v>
      </c>
      <c r="AH234" s="28"/>
      <c r="AI234" s="28" t="s">
        <v>53</v>
      </c>
      <c r="AJ234" s="33">
        <v>26833</v>
      </c>
      <c r="AK234" s="28">
        <v>8</v>
      </c>
      <c r="AL234" s="28">
        <v>22</v>
      </c>
      <c r="AM234" s="21"/>
      <c r="AN234" s="27"/>
      <c r="AO234" s="27"/>
      <c r="AP234" s="27"/>
      <c r="AQ234" s="27"/>
    </row>
    <row r="235" spans="1:43" ht="15.75" customHeight="1">
      <c r="A235" s="28">
        <v>43</v>
      </c>
      <c r="B235" s="29" t="s">
        <v>1981</v>
      </c>
      <c r="C235" s="30"/>
      <c r="D235" s="31" t="s">
        <v>1982</v>
      </c>
      <c r="E235" s="30" t="s">
        <v>49</v>
      </c>
      <c r="F235" s="30" t="s">
        <v>50</v>
      </c>
      <c r="G235" s="30" t="s">
        <v>51</v>
      </c>
      <c r="H235" s="28" t="s">
        <v>52</v>
      </c>
      <c r="I235" s="30"/>
      <c r="J235" s="30" t="s">
        <v>53</v>
      </c>
      <c r="K235" s="30" t="s">
        <v>1983</v>
      </c>
      <c r="L235" s="30" t="s">
        <v>55</v>
      </c>
      <c r="M235" s="30" t="s">
        <v>656</v>
      </c>
      <c r="N235" s="30" t="s">
        <v>1984</v>
      </c>
      <c r="O235" s="30" t="s">
        <v>1985</v>
      </c>
      <c r="P235" s="30" t="s">
        <v>1986</v>
      </c>
      <c r="Q235" s="28" t="s">
        <v>1987</v>
      </c>
      <c r="R235" s="30" t="s">
        <v>1988</v>
      </c>
      <c r="S235" s="30" t="s">
        <v>53</v>
      </c>
      <c r="T235" s="30"/>
      <c r="U235" s="28" t="s">
        <v>1798</v>
      </c>
      <c r="V235" s="30" t="s">
        <v>63</v>
      </c>
      <c r="W235" s="30" t="s">
        <v>64</v>
      </c>
      <c r="X235" s="32">
        <v>44409</v>
      </c>
      <c r="Y235" s="32">
        <v>46235</v>
      </c>
      <c r="Z235" s="30" t="s">
        <v>65</v>
      </c>
      <c r="AA235" s="28" t="s">
        <v>66</v>
      </c>
      <c r="AB235" s="28" t="s">
        <v>67</v>
      </c>
      <c r="AC235" s="29"/>
      <c r="AD235" s="28">
        <v>0</v>
      </c>
      <c r="AE235" s="29"/>
      <c r="AF235" s="31"/>
      <c r="AG235" s="30" t="s">
        <v>1579</v>
      </c>
      <c r="AH235" s="28"/>
      <c r="AI235" s="28" t="s">
        <v>118</v>
      </c>
      <c r="AJ235" s="33">
        <v>36371</v>
      </c>
      <c r="AK235" s="28">
        <v>5</v>
      </c>
      <c r="AL235" s="28">
        <v>22</v>
      </c>
      <c r="AM235" s="21"/>
      <c r="AN235" s="27"/>
      <c r="AO235" s="27"/>
      <c r="AP235" s="27"/>
      <c r="AQ235" s="27"/>
    </row>
    <row r="236" spans="1:43" ht="15.75" customHeight="1">
      <c r="A236" s="28">
        <v>44</v>
      </c>
      <c r="B236" s="29" t="s">
        <v>1989</v>
      </c>
      <c r="C236" s="30"/>
      <c r="D236" s="31" t="s">
        <v>1990</v>
      </c>
      <c r="E236" s="30" t="s">
        <v>49</v>
      </c>
      <c r="F236" s="30" t="s">
        <v>50</v>
      </c>
      <c r="G236" s="30" t="s">
        <v>51</v>
      </c>
      <c r="H236" s="28" t="s">
        <v>85</v>
      </c>
      <c r="I236" s="30"/>
      <c r="J236" s="30" t="s">
        <v>53</v>
      </c>
      <c r="K236" s="30" t="s">
        <v>1991</v>
      </c>
      <c r="L236" s="30" t="s">
        <v>55</v>
      </c>
      <c r="M236" s="30" t="s">
        <v>1573</v>
      </c>
      <c r="N236" s="30" t="s">
        <v>1992</v>
      </c>
      <c r="O236" s="30" t="s">
        <v>1585</v>
      </c>
      <c r="P236" s="30" t="s">
        <v>1993</v>
      </c>
      <c r="Q236" s="28" t="s">
        <v>1994</v>
      </c>
      <c r="R236" s="30" t="s">
        <v>1995</v>
      </c>
      <c r="S236" s="30" t="s">
        <v>53</v>
      </c>
      <c r="T236" s="30"/>
      <c r="U236" s="28" t="s">
        <v>1732</v>
      </c>
      <c r="V236" s="30" t="s">
        <v>63</v>
      </c>
      <c r="W236" s="30" t="s">
        <v>64</v>
      </c>
      <c r="X236" s="32">
        <v>44197</v>
      </c>
      <c r="Y236" s="32">
        <v>45992</v>
      </c>
      <c r="Z236" s="30" t="s">
        <v>65</v>
      </c>
      <c r="AA236" s="28" t="s">
        <v>134</v>
      </c>
      <c r="AB236" s="28" t="s">
        <v>67</v>
      </c>
      <c r="AC236" s="29"/>
      <c r="AD236" s="28">
        <v>0</v>
      </c>
      <c r="AE236" s="29"/>
      <c r="AF236" s="31"/>
      <c r="AG236" s="30" t="s">
        <v>1579</v>
      </c>
      <c r="AH236" s="28"/>
      <c r="AI236" s="28" t="s">
        <v>53</v>
      </c>
      <c r="AJ236" s="33">
        <v>37487</v>
      </c>
      <c r="AK236" s="28">
        <v>6</v>
      </c>
      <c r="AL236" s="28">
        <v>22</v>
      </c>
      <c r="AM236" s="21"/>
      <c r="AN236" s="27"/>
      <c r="AO236" s="27"/>
      <c r="AP236" s="27"/>
      <c r="AQ236" s="27"/>
    </row>
    <row r="237" spans="1:43" ht="15.75" customHeight="1">
      <c r="A237" s="28">
        <v>45</v>
      </c>
      <c r="B237" s="29" t="s">
        <v>1996</v>
      </c>
      <c r="C237" s="30"/>
      <c r="D237" s="31" t="s">
        <v>1997</v>
      </c>
      <c r="E237" s="30" t="s">
        <v>72</v>
      </c>
      <c r="F237" s="30" t="s">
        <v>50</v>
      </c>
      <c r="G237" s="30" t="s">
        <v>51</v>
      </c>
      <c r="H237" s="28" t="s">
        <v>85</v>
      </c>
      <c r="I237" s="30"/>
      <c r="J237" s="30" t="s">
        <v>53</v>
      </c>
      <c r="K237" s="30" t="s">
        <v>1998</v>
      </c>
      <c r="L237" s="30" t="s">
        <v>55</v>
      </c>
      <c r="M237" s="30" t="s">
        <v>656</v>
      </c>
      <c r="N237" s="30" t="s">
        <v>1999</v>
      </c>
      <c r="O237" s="30" t="s">
        <v>1679</v>
      </c>
      <c r="P237" s="30" t="s">
        <v>2000</v>
      </c>
      <c r="Q237" s="28"/>
      <c r="R237" s="30" t="s">
        <v>2001</v>
      </c>
      <c r="S237" s="30" t="s">
        <v>53</v>
      </c>
      <c r="T237" s="30"/>
      <c r="U237" s="28" t="s">
        <v>765</v>
      </c>
      <c r="V237" s="30" t="s">
        <v>63</v>
      </c>
      <c r="W237" s="30" t="s">
        <v>64</v>
      </c>
      <c r="X237" s="32">
        <v>44228</v>
      </c>
      <c r="Y237" s="32">
        <v>46357</v>
      </c>
      <c r="Z237" s="30" t="s">
        <v>65</v>
      </c>
      <c r="AA237" s="28" t="s">
        <v>134</v>
      </c>
      <c r="AB237" s="28" t="s">
        <v>67</v>
      </c>
      <c r="AC237" s="29"/>
      <c r="AD237" s="28">
        <v>0</v>
      </c>
      <c r="AE237" s="29"/>
      <c r="AF237" s="31"/>
      <c r="AG237" s="30" t="s">
        <v>1579</v>
      </c>
      <c r="AH237" s="28"/>
      <c r="AI237" s="28" t="s">
        <v>53</v>
      </c>
      <c r="AJ237" s="33">
        <v>37872</v>
      </c>
      <c r="AK237" s="28">
        <v>6</v>
      </c>
      <c r="AL237" s="28">
        <v>22</v>
      </c>
      <c r="AM237" s="21"/>
      <c r="AN237" s="27"/>
      <c r="AO237" s="27"/>
      <c r="AP237" s="27"/>
      <c r="AQ237" s="27"/>
    </row>
    <row r="238" spans="1:43" ht="15.75" customHeight="1">
      <c r="A238" s="28">
        <v>46</v>
      </c>
      <c r="B238" s="29" t="s">
        <v>2002</v>
      </c>
      <c r="C238" s="30" t="s">
        <v>2003</v>
      </c>
      <c r="D238" s="31" t="s">
        <v>2004</v>
      </c>
      <c r="E238" s="30" t="s">
        <v>49</v>
      </c>
      <c r="F238" s="30" t="s">
        <v>50</v>
      </c>
      <c r="G238" s="30" t="s">
        <v>51</v>
      </c>
      <c r="H238" s="28" t="s">
        <v>85</v>
      </c>
      <c r="I238" s="30"/>
      <c r="J238" s="30" t="s">
        <v>53</v>
      </c>
      <c r="K238" s="30" t="s">
        <v>2005</v>
      </c>
      <c r="L238" s="30" t="s">
        <v>55</v>
      </c>
      <c r="M238" s="30" t="s">
        <v>1573</v>
      </c>
      <c r="N238" s="30" t="s">
        <v>2006</v>
      </c>
      <c r="O238" s="30" t="s">
        <v>650</v>
      </c>
      <c r="P238" s="30" t="s">
        <v>2007</v>
      </c>
      <c r="Q238" s="28" t="s">
        <v>2008</v>
      </c>
      <c r="R238" s="30" t="s">
        <v>2009</v>
      </c>
      <c r="S238" s="30" t="s">
        <v>53</v>
      </c>
      <c r="T238" s="30"/>
      <c r="U238" s="28" t="s">
        <v>2010</v>
      </c>
      <c r="V238" s="30" t="s">
        <v>63</v>
      </c>
      <c r="W238" s="30" t="s">
        <v>64</v>
      </c>
      <c r="X238" s="32">
        <v>44409</v>
      </c>
      <c r="Y238" s="32">
        <v>46235</v>
      </c>
      <c r="Z238" s="30" t="s">
        <v>65</v>
      </c>
      <c r="AA238" s="28" t="s">
        <v>134</v>
      </c>
      <c r="AB238" s="28" t="s">
        <v>67</v>
      </c>
      <c r="AC238" s="29"/>
      <c r="AD238" s="28">
        <v>0</v>
      </c>
      <c r="AE238" s="29"/>
      <c r="AF238" s="31"/>
      <c r="AG238" s="30" t="s">
        <v>1579</v>
      </c>
      <c r="AH238" s="28"/>
      <c r="AI238" s="28" t="s">
        <v>53</v>
      </c>
      <c r="AJ238" s="33">
        <v>36733</v>
      </c>
      <c r="AK238" s="28">
        <v>6</v>
      </c>
      <c r="AL238" s="28">
        <v>22</v>
      </c>
      <c r="AM238" s="21"/>
      <c r="AN238" s="27"/>
      <c r="AO238" s="27"/>
      <c r="AP238" s="27"/>
      <c r="AQ238" s="27"/>
    </row>
    <row r="239" spans="1:43" ht="15.75" customHeight="1">
      <c r="A239" s="28">
        <v>47</v>
      </c>
      <c r="B239" s="29" t="s">
        <v>2011</v>
      </c>
      <c r="C239" s="30" t="s">
        <v>2012</v>
      </c>
      <c r="D239" s="31" t="s">
        <v>2013</v>
      </c>
      <c r="E239" s="30" t="s">
        <v>72</v>
      </c>
      <c r="F239" s="30" t="s">
        <v>50</v>
      </c>
      <c r="G239" s="30" t="s">
        <v>51</v>
      </c>
      <c r="H239" s="28" t="s">
        <v>52</v>
      </c>
      <c r="I239" s="30"/>
      <c r="J239" s="30" t="s">
        <v>53</v>
      </c>
      <c r="K239" s="30" t="s">
        <v>2014</v>
      </c>
      <c r="L239" s="30" t="s">
        <v>55</v>
      </c>
      <c r="M239" s="30" t="s">
        <v>1573</v>
      </c>
      <c r="N239" s="30" t="s">
        <v>2015</v>
      </c>
      <c r="O239" s="30" t="s">
        <v>2016</v>
      </c>
      <c r="P239" s="30" t="s">
        <v>2017</v>
      </c>
      <c r="Q239" s="28" t="s">
        <v>2018</v>
      </c>
      <c r="R239" s="30" t="s">
        <v>2019</v>
      </c>
      <c r="S239" s="30" t="s">
        <v>53</v>
      </c>
      <c r="T239" s="30"/>
      <c r="U239" s="28" t="s">
        <v>689</v>
      </c>
      <c r="V239" s="30" t="s">
        <v>63</v>
      </c>
      <c r="W239" s="30" t="s">
        <v>64</v>
      </c>
      <c r="X239" s="32">
        <v>43862</v>
      </c>
      <c r="Y239" s="32">
        <v>45627</v>
      </c>
      <c r="Z239" s="30" t="s">
        <v>65</v>
      </c>
      <c r="AA239" s="28" t="s">
        <v>134</v>
      </c>
      <c r="AB239" s="28" t="s">
        <v>67</v>
      </c>
      <c r="AC239" s="29"/>
      <c r="AD239" s="28">
        <v>0</v>
      </c>
      <c r="AE239" s="29"/>
      <c r="AF239" s="31"/>
      <c r="AG239" s="30" t="s">
        <v>1579</v>
      </c>
      <c r="AH239" s="28"/>
      <c r="AI239" s="28" t="s">
        <v>53</v>
      </c>
      <c r="AJ239" s="33">
        <v>37123</v>
      </c>
      <c r="AK239" s="28">
        <v>8</v>
      </c>
      <c r="AL239" s="28">
        <v>22</v>
      </c>
      <c r="AM239" s="21"/>
      <c r="AN239" s="27"/>
      <c r="AO239" s="27"/>
      <c r="AP239" s="27"/>
      <c r="AQ239" s="27"/>
    </row>
    <row r="240" spans="1:43" ht="15.75" customHeight="1">
      <c r="A240" s="28">
        <v>48</v>
      </c>
      <c r="B240" s="29" t="s">
        <v>2020</v>
      </c>
      <c r="C240" s="30" t="s">
        <v>2021</v>
      </c>
      <c r="D240" s="31" t="s">
        <v>2022</v>
      </c>
      <c r="E240" s="30" t="s">
        <v>72</v>
      </c>
      <c r="F240" s="30" t="s">
        <v>50</v>
      </c>
      <c r="G240" s="30" t="s">
        <v>51</v>
      </c>
      <c r="H240" s="28" t="s">
        <v>85</v>
      </c>
      <c r="I240" s="30"/>
      <c r="J240" s="30" t="s">
        <v>53</v>
      </c>
      <c r="K240" s="30" t="s">
        <v>2023</v>
      </c>
      <c r="L240" s="30" t="s">
        <v>55</v>
      </c>
      <c r="M240" s="30" t="s">
        <v>1573</v>
      </c>
      <c r="N240" s="30" t="s">
        <v>2024</v>
      </c>
      <c r="O240" s="30" t="s">
        <v>1679</v>
      </c>
      <c r="P240" s="30" t="s">
        <v>2025</v>
      </c>
      <c r="Q240" s="28"/>
      <c r="R240" s="30" t="s">
        <v>2026</v>
      </c>
      <c r="S240" s="30" t="s">
        <v>53</v>
      </c>
      <c r="T240" s="30"/>
      <c r="U240" s="28" t="s">
        <v>1657</v>
      </c>
      <c r="V240" s="30" t="s">
        <v>63</v>
      </c>
      <c r="W240" s="30" t="s">
        <v>64</v>
      </c>
      <c r="X240" s="32">
        <v>44378</v>
      </c>
      <c r="Y240" s="32">
        <v>46204</v>
      </c>
      <c r="Z240" s="30" t="s">
        <v>65</v>
      </c>
      <c r="AA240" s="28" t="s">
        <v>134</v>
      </c>
      <c r="AB240" s="28" t="s">
        <v>67</v>
      </c>
      <c r="AC240" s="29"/>
      <c r="AD240" s="28">
        <v>0</v>
      </c>
      <c r="AE240" s="29"/>
      <c r="AF240" s="31"/>
      <c r="AG240" s="30" t="s">
        <v>1579</v>
      </c>
      <c r="AH240" s="28"/>
      <c r="AI240" s="28" t="s">
        <v>53</v>
      </c>
      <c r="AJ240" s="33">
        <v>37435</v>
      </c>
      <c r="AK240" s="28">
        <v>5</v>
      </c>
      <c r="AL240" s="28">
        <v>22</v>
      </c>
      <c r="AM240" s="21"/>
      <c r="AN240" s="27"/>
      <c r="AO240" s="27"/>
      <c r="AP240" s="27"/>
      <c r="AQ240" s="27"/>
    </row>
    <row r="241" spans="1:43" ht="15.75" customHeight="1">
      <c r="A241" s="28">
        <v>49</v>
      </c>
      <c r="B241" s="29" t="s">
        <v>2027</v>
      </c>
      <c r="C241" s="30"/>
      <c r="D241" s="31" t="s">
        <v>2028</v>
      </c>
      <c r="E241" s="30" t="s">
        <v>72</v>
      </c>
      <c r="F241" s="30" t="s">
        <v>50</v>
      </c>
      <c r="G241" s="30" t="s">
        <v>51</v>
      </c>
      <c r="H241" s="28" t="s">
        <v>85</v>
      </c>
      <c r="I241" s="30"/>
      <c r="J241" s="30" t="s">
        <v>53</v>
      </c>
      <c r="K241" s="30" t="s">
        <v>1866</v>
      </c>
      <c r="L241" s="30" t="s">
        <v>55</v>
      </c>
      <c r="M241" s="30" t="s">
        <v>1573</v>
      </c>
      <c r="N241" s="30" t="s">
        <v>2029</v>
      </c>
      <c r="O241" s="30" t="s">
        <v>1868</v>
      </c>
      <c r="P241" s="30" t="s">
        <v>2030</v>
      </c>
      <c r="Q241" s="28" t="s">
        <v>2031</v>
      </c>
      <c r="R241" s="30" t="s">
        <v>2032</v>
      </c>
      <c r="S241" s="30" t="s">
        <v>53</v>
      </c>
      <c r="T241" s="30"/>
      <c r="U241" s="28" t="s">
        <v>765</v>
      </c>
      <c r="V241" s="30" t="s">
        <v>63</v>
      </c>
      <c r="W241" s="30" t="s">
        <v>64</v>
      </c>
      <c r="X241" s="32">
        <v>44409</v>
      </c>
      <c r="Y241" s="32">
        <v>46174</v>
      </c>
      <c r="Z241" s="30" t="s">
        <v>65</v>
      </c>
      <c r="AA241" s="28" t="s">
        <v>67</v>
      </c>
      <c r="AB241" s="28" t="s">
        <v>67</v>
      </c>
      <c r="AC241" s="29"/>
      <c r="AD241" s="28">
        <v>0</v>
      </c>
      <c r="AE241" s="29"/>
      <c r="AF241" s="31"/>
      <c r="AG241" s="30" t="s">
        <v>1579</v>
      </c>
      <c r="AH241" s="28"/>
      <c r="AI241" s="28" t="s">
        <v>53</v>
      </c>
      <c r="AJ241" s="33">
        <v>37637</v>
      </c>
      <c r="AK241" s="28">
        <v>5</v>
      </c>
      <c r="AL241" s="28">
        <v>22</v>
      </c>
      <c r="AM241" s="21"/>
      <c r="AN241" s="27"/>
      <c r="AO241" s="27"/>
      <c r="AP241" s="27"/>
      <c r="AQ241" s="27"/>
    </row>
    <row r="242" spans="1:43" ht="15.75" customHeight="1">
      <c r="A242" s="28">
        <v>50</v>
      </c>
      <c r="B242" s="29" t="s">
        <v>2033</v>
      </c>
      <c r="C242" s="30" t="s">
        <v>2034</v>
      </c>
      <c r="D242" s="31" t="s">
        <v>2035</v>
      </c>
      <c r="E242" s="30" t="s">
        <v>72</v>
      </c>
      <c r="F242" s="30" t="s">
        <v>50</v>
      </c>
      <c r="G242" s="30" t="s">
        <v>51</v>
      </c>
      <c r="H242" s="28" t="s">
        <v>52</v>
      </c>
      <c r="I242" s="30"/>
      <c r="J242" s="30" t="s">
        <v>53</v>
      </c>
      <c r="K242" s="30" t="s">
        <v>2036</v>
      </c>
      <c r="L242" s="30" t="s">
        <v>55</v>
      </c>
      <c r="M242" s="30" t="s">
        <v>656</v>
      </c>
      <c r="N242" s="30" t="s">
        <v>2037</v>
      </c>
      <c r="O242" s="30" t="s">
        <v>2038</v>
      </c>
      <c r="P242" s="30" t="s">
        <v>2039</v>
      </c>
      <c r="Q242" s="28" t="s">
        <v>2040</v>
      </c>
      <c r="R242" s="30" t="s">
        <v>2041</v>
      </c>
      <c r="S242" s="30" t="s">
        <v>53</v>
      </c>
      <c r="T242" s="30"/>
      <c r="U242" s="28" t="s">
        <v>765</v>
      </c>
      <c r="V242" s="30" t="s">
        <v>63</v>
      </c>
      <c r="W242" s="30" t="s">
        <v>64</v>
      </c>
      <c r="X242" s="32">
        <v>43831</v>
      </c>
      <c r="Y242" s="32">
        <v>45627</v>
      </c>
      <c r="Z242" s="30" t="s">
        <v>65</v>
      </c>
      <c r="AA242" s="28" t="s">
        <v>67</v>
      </c>
      <c r="AB242" s="28" t="s">
        <v>67</v>
      </c>
      <c r="AC242" s="29"/>
      <c r="AD242" s="28">
        <v>0</v>
      </c>
      <c r="AE242" s="29"/>
      <c r="AF242" s="31"/>
      <c r="AG242" s="30" t="s">
        <v>1579</v>
      </c>
      <c r="AH242" s="28"/>
      <c r="AI242" s="28" t="s">
        <v>118</v>
      </c>
      <c r="AJ242" s="33">
        <v>37508</v>
      </c>
      <c r="AK242" s="28">
        <v>8</v>
      </c>
      <c r="AL242" s="28">
        <v>22</v>
      </c>
      <c r="AM242" s="21"/>
      <c r="AN242" s="27"/>
      <c r="AO242" s="27"/>
      <c r="AP242" s="27"/>
      <c r="AQ242" s="27"/>
    </row>
    <row r="243" spans="1:43" ht="15.75" customHeight="1">
      <c r="A243" s="28">
        <v>51</v>
      </c>
      <c r="B243" s="29" t="s">
        <v>2042</v>
      </c>
      <c r="C243" s="30" t="s">
        <v>2043</v>
      </c>
      <c r="D243" s="31" t="s">
        <v>2044</v>
      </c>
      <c r="E243" s="30" t="s">
        <v>72</v>
      </c>
      <c r="F243" s="30" t="s">
        <v>84</v>
      </c>
      <c r="G243" s="30" t="s">
        <v>51</v>
      </c>
      <c r="H243" s="28" t="s">
        <v>85</v>
      </c>
      <c r="I243" s="30"/>
      <c r="J243" s="30" t="s">
        <v>53</v>
      </c>
      <c r="K243" s="30" t="s">
        <v>2045</v>
      </c>
      <c r="L243" s="30" t="s">
        <v>55</v>
      </c>
      <c r="M243" s="30" t="s">
        <v>1573</v>
      </c>
      <c r="N243" s="30" t="s">
        <v>2046</v>
      </c>
      <c r="O243" s="30" t="s">
        <v>2047</v>
      </c>
      <c r="P243" s="30" t="s">
        <v>2048</v>
      </c>
      <c r="Q243" s="28" t="s">
        <v>2049</v>
      </c>
      <c r="R243" s="30" t="s">
        <v>2050</v>
      </c>
      <c r="S243" s="30" t="s">
        <v>53</v>
      </c>
      <c r="T243" s="30"/>
      <c r="U243" s="28" t="s">
        <v>2051</v>
      </c>
      <c r="V243" s="30" t="s">
        <v>63</v>
      </c>
      <c r="W243" s="30" t="s">
        <v>64</v>
      </c>
      <c r="X243" s="32">
        <v>43831</v>
      </c>
      <c r="Y243" s="32">
        <v>45383</v>
      </c>
      <c r="Z243" s="30" t="s">
        <v>65</v>
      </c>
      <c r="AA243" s="28" t="s">
        <v>66</v>
      </c>
      <c r="AB243" s="28" t="s">
        <v>67</v>
      </c>
      <c r="AC243" s="29"/>
      <c r="AD243" s="28">
        <v>0</v>
      </c>
      <c r="AE243" s="29"/>
      <c r="AF243" s="31"/>
      <c r="AG243" s="30" t="s">
        <v>1579</v>
      </c>
      <c r="AH243" s="28"/>
      <c r="AI243" s="28" t="s">
        <v>53</v>
      </c>
      <c r="AJ243" s="33">
        <v>36855</v>
      </c>
      <c r="AK243" s="28">
        <v>8</v>
      </c>
      <c r="AL243" s="28">
        <v>22</v>
      </c>
      <c r="AM243" s="21"/>
      <c r="AN243" s="27"/>
      <c r="AO243" s="27"/>
      <c r="AP243" s="27"/>
      <c r="AQ243" s="27"/>
    </row>
    <row r="244" spans="1:43" ht="15.75" customHeight="1">
      <c r="A244" s="28">
        <v>52</v>
      </c>
      <c r="B244" s="29" t="s">
        <v>2052</v>
      </c>
      <c r="C244" s="30" t="s">
        <v>2053</v>
      </c>
      <c r="D244" s="31" t="s">
        <v>2054</v>
      </c>
      <c r="E244" s="30" t="s">
        <v>72</v>
      </c>
      <c r="F244" s="30" t="s">
        <v>50</v>
      </c>
      <c r="G244" s="30" t="s">
        <v>51</v>
      </c>
      <c r="H244" s="28" t="s">
        <v>85</v>
      </c>
      <c r="I244" s="30"/>
      <c r="J244" s="30" t="s">
        <v>53</v>
      </c>
      <c r="K244" s="30" t="s">
        <v>2055</v>
      </c>
      <c r="L244" s="30" t="s">
        <v>55</v>
      </c>
      <c r="M244" s="30" t="s">
        <v>1573</v>
      </c>
      <c r="N244" s="30" t="s">
        <v>2056</v>
      </c>
      <c r="O244" s="30" t="s">
        <v>2057</v>
      </c>
      <c r="P244" s="30" t="s">
        <v>2058</v>
      </c>
      <c r="Q244" s="28"/>
      <c r="R244" s="30" t="s">
        <v>2059</v>
      </c>
      <c r="S244" s="30" t="s">
        <v>53</v>
      </c>
      <c r="T244" s="30"/>
      <c r="U244" s="28" t="s">
        <v>2060</v>
      </c>
      <c r="V244" s="30" t="s">
        <v>63</v>
      </c>
      <c r="W244" s="30" t="s">
        <v>64</v>
      </c>
      <c r="X244" s="32">
        <v>44228</v>
      </c>
      <c r="Y244" s="32">
        <v>46357</v>
      </c>
      <c r="Z244" s="30" t="s">
        <v>65</v>
      </c>
      <c r="AA244" s="28" t="s">
        <v>66</v>
      </c>
      <c r="AB244" s="28" t="s">
        <v>67</v>
      </c>
      <c r="AC244" s="29"/>
      <c r="AD244" s="28">
        <v>0</v>
      </c>
      <c r="AE244" s="29"/>
      <c r="AF244" s="31"/>
      <c r="AG244" s="30" t="s">
        <v>1579</v>
      </c>
      <c r="AH244" s="28"/>
      <c r="AI244" s="28" t="s">
        <v>53</v>
      </c>
      <c r="AJ244" s="33">
        <v>38376</v>
      </c>
      <c r="AK244" s="28">
        <v>5</v>
      </c>
      <c r="AL244" s="28">
        <v>22</v>
      </c>
      <c r="AM244" s="21"/>
      <c r="AN244" s="27"/>
      <c r="AO244" s="27"/>
      <c r="AP244" s="27"/>
      <c r="AQ244" s="27"/>
    </row>
    <row r="245" spans="1:43" ht="15.75" customHeight="1">
      <c r="A245" s="28">
        <v>53</v>
      </c>
      <c r="B245" s="29" t="s">
        <v>2061</v>
      </c>
      <c r="C245" s="30"/>
      <c r="D245" s="31" t="s">
        <v>2062</v>
      </c>
      <c r="E245" s="30" t="s">
        <v>72</v>
      </c>
      <c r="F245" s="30" t="s">
        <v>50</v>
      </c>
      <c r="G245" s="30" t="s">
        <v>51</v>
      </c>
      <c r="H245" s="28" t="s">
        <v>1121</v>
      </c>
      <c r="I245" s="30"/>
      <c r="J245" s="30" t="s">
        <v>53</v>
      </c>
      <c r="K245" s="30" t="s">
        <v>2063</v>
      </c>
      <c r="L245" s="30" t="s">
        <v>55</v>
      </c>
      <c r="M245" s="30" t="s">
        <v>1573</v>
      </c>
      <c r="N245" s="30" t="s">
        <v>2064</v>
      </c>
      <c r="O245" s="30" t="s">
        <v>1585</v>
      </c>
      <c r="P245" s="30" t="s">
        <v>2065</v>
      </c>
      <c r="Q245" s="28"/>
      <c r="R245" s="30" t="s">
        <v>2066</v>
      </c>
      <c r="S245" s="30" t="s">
        <v>53</v>
      </c>
      <c r="T245" s="30"/>
      <c r="U245" s="28" t="s">
        <v>1657</v>
      </c>
      <c r="V245" s="30" t="s">
        <v>63</v>
      </c>
      <c r="W245" s="30" t="s">
        <v>64</v>
      </c>
      <c r="X245" s="32">
        <v>44378</v>
      </c>
      <c r="Y245" s="32">
        <v>46204</v>
      </c>
      <c r="Z245" s="30" t="s">
        <v>65</v>
      </c>
      <c r="AA245" s="28" t="s">
        <v>134</v>
      </c>
      <c r="AB245" s="28" t="s">
        <v>67</v>
      </c>
      <c r="AC245" s="29"/>
      <c r="AD245" s="28">
        <v>0</v>
      </c>
      <c r="AE245" s="29"/>
      <c r="AF245" s="31"/>
      <c r="AG245" s="30" t="s">
        <v>1579</v>
      </c>
      <c r="AH245" s="28"/>
      <c r="AI245" s="28" t="s">
        <v>53</v>
      </c>
      <c r="AJ245" s="33">
        <v>37371</v>
      </c>
      <c r="AK245" s="28">
        <v>5</v>
      </c>
      <c r="AL245" s="28">
        <v>22</v>
      </c>
      <c r="AM245" s="21"/>
      <c r="AN245" s="27"/>
      <c r="AO245" s="27"/>
      <c r="AP245" s="27"/>
      <c r="AQ245" s="27"/>
    </row>
    <row r="246" spans="1:43" ht="15.75" customHeight="1">
      <c r="A246" s="28">
        <v>54</v>
      </c>
      <c r="B246" s="29" t="s">
        <v>2067</v>
      </c>
      <c r="C246" s="30"/>
      <c r="D246" s="31" t="s">
        <v>2068</v>
      </c>
      <c r="E246" s="30" t="s">
        <v>49</v>
      </c>
      <c r="F246" s="30" t="s">
        <v>50</v>
      </c>
      <c r="G246" s="30" t="s">
        <v>51</v>
      </c>
      <c r="H246" s="28" t="s">
        <v>1121</v>
      </c>
      <c r="I246" s="30"/>
      <c r="J246" s="30" t="s">
        <v>53</v>
      </c>
      <c r="K246" s="30" t="s">
        <v>2069</v>
      </c>
      <c r="L246" s="30" t="s">
        <v>55</v>
      </c>
      <c r="M246" s="30" t="s">
        <v>1573</v>
      </c>
      <c r="N246" s="30" t="s">
        <v>2070</v>
      </c>
      <c r="O246" s="30" t="s">
        <v>2071</v>
      </c>
      <c r="P246" s="30" t="s">
        <v>2072</v>
      </c>
      <c r="Q246" s="28"/>
      <c r="R246" s="30" t="s">
        <v>2073</v>
      </c>
      <c r="S246" s="30" t="s">
        <v>53</v>
      </c>
      <c r="T246" s="30"/>
      <c r="U246" s="28" t="s">
        <v>2074</v>
      </c>
      <c r="V246" s="30" t="s">
        <v>63</v>
      </c>
      <c r="W246" s="30" t="s">
        <v>64</v>
      </c>
      <c r="X246" s="32">
        <v>44197</v>
      </c>
      <c r="Y246" s="32">
        <v>45962</v>
      </c>
      <c r="Z246" s="30" t="s">
        <v>65</v>
      </c>
      <c r="AA246" s="28" t="s">
        <v>134</v>
      </c>
      <c r="AB246" s="28" t="s">
        <v>67</v>
      </c>
      <c r="AC246" s="29"/>
      <c r="AD246" s="28">
        <v>0</v>
      </c>
      <c r="AE246" s="29"/>
      <c r="AF246" s="31"/>
      <c r="AG246" s="30" t="s">
        <v>1579</v>
      </c>
      <c r="AH246" s="28"/>
      <c r="AI246" s="28" t="s">
        <v>53</v>
      </c>
      <c r="AJ246" s="33">
        <v>37543</v>
      </c>
      <c r="AK246" s="28">
        <v>6</v>
      </c>
      <c r="AL246" s="28">
        <v>22</v>
      </c>
      <c r="AM246" s="21"/>
      <c r="AN246" s="27"/>
      <c r="AO246" s="27"/>
      <c r="AP246" s="27"/>
      <c r="AQ246" s="27"/>
    </row>
    <row r="247" spans="1:43" ht="15.75" customHeight="1">
      <c r="A247" s="28">
        <v>55</v>
      </c>
      <c r="B247" s="29" t="s">
        <v>2075</v>
      </c>
      <c r="C247" s="30" t="s">
        <v>2076</v>
      </c>
      <c r="D247" s="31" t="s">
        <v>2077</v>
      </c>
      <c r="E247" s="30" t="s">
        <v>72</v>
      </c>
      <c r="F247" s="30" t="s">
        <v>50</v>
      </c>
      <c r="G247" s="30" t="s">
        <v>51</v>
      </c>
      <c r="H247" s="28" t="s">
        <v>52</v>
      </c>
      <c r="I247" s="30"/>
      <c r="J247" s="30" t="s">
        <v>53</v>
      </c>
      <c r="K247" s="30" t="s">
        <v>2078</v>
      </c>
      <c r="L247" s="30" t="s">
        <v>55</v>
      </c>
      <c r="M247" s="30" t="s">
        <v>656</v>
      </c>
      <c r="N247" s="30" t="s">
        <v>2079</v>
      </c>
      <c r="O247" s="30" t="s">
        <v>2080</v>
      </c>
      <c r="P247" s="30" t="s">
        <v>2081</v>
      </c>
      <c r="Q247" s="28"/>
      <c r="R247" s="30" t="s">
        <v>2082</v>
      </c>
      <c r="S247" s="30" t="s">
        <v>53</v>
      </c>
      <c r="T247" s="30"/>
      <c r="U247" s="28" t="s">
        <v>765</v>
      </c>
      <c r="V247" s="30" t="s">
        <v>63</v>
      </c>
      <c r="W247" s="30" t="s">
        <v>64</v>
      </c>
      <c r="X247" s="32">
        <v>44197</v>
      </c>
      <c r="Y247" s="32">
        <v>45658</v>
      </c>
      <c r="Z247" s="30" t="s">
        <v>65</v>
      </c>
      <c r="AA247" s="28" t="s">
        <v>66</v>
      </c>
      <c r="AB247" s="28" t="s">
        <v>67</v>
      </c>
      <c r="AC247" s="29"/>
      <c r="AD247" s="28">
        <v>0</v>
      </c>
      <c r="AE247" s="29"/>
      <c r="AF247" s="31"/>
      <c r="AG247" s="30" t="s">
        <v>1579</v>
      </c>
      <c r="AH247" s="28"/>
      <c r="AI247" s="28" t="s">
        <v>118</v>
      </c>
      <c r="AJ247" s="33">
        <v>37563.041666666701</v>
      </c>
      <c r="AK247" s="28">
        <v>6</v>
      </c>
      <c r="AL247" s="28">
        <v>22</v>
      </c>
      <c r="AM247" s="21"/>
      <c r="AN247" s="27"/>
      <c r="AO247" s="27"/>
      <c r="AP247" s="27"/>
      <c r="AQ247" s="27"/>
    </row>
    <row r="248" spans="1:43" ht="15.75" customHeight="1">
      <c r="A248" s="28">
        <v>56</v>
      </c>
      <c r="B248" s="29" t="s">
        <v>2083</v>
      </c>
      <c r="C248" s="30"/>
      <c r="D248" s="31" t="s">
        <v>2084</v>
      </c>
      <c r="E248" s="30" t="s">
        <v>49</v>
      </c>
      <c r="F248" s="30" t="s">
        <v>50</v>
      </c>
      <c r="G248" s="30" t="s">
        <v>51</v>
      </c>
      <c r="H248" s="28" t="s">
        <v>52</v>
      </c>
      <c r="I248" s="30"/>
      <c r="J248" s="30" t="s">
        <v>53</v>
      </c>
      <c r="K248" s="30" t="s">
        <v>2085</v>
      </c>
      <c r="L248" s="30" t="s">
        <v>55</v>
      </c>
      <c r="M248" s="30" t="s">
        <v>1573</v>
      </c>
      <c r="N248" s="30" t="s">
        <v>2086</v>
      </c>
      <c r="O248" s="30" t="s">
        <v>2087</v>
      </c>
      <c r="P248" s="30" t="s">
        <v>2088</v>
      </c>
      <c r="Q248" s="28"/>
      <c r="R248" s="30" t="s">
        <v>2089</v>
      </c>
      <c r="S248" s="30" t="s">
        <v>53</v>
      </c>
      <c r="T248" s="30"/>
      <c r="U248" s="28" t="s">
        <v>2051</v>
      </c>
      <c r="V248" s="30" t="s">
        <v>63</v>
      </c>
      <c r="W248" s="30" t="s">
        <v>64</v>
      </c>
      <c r="X248" s="32">
        <v>44409</v>
      </c>
      <c r="Y248" s="32">
        <v>46204</v>
      </c>
      <c r="Z248" s="30" t="s">
        <v>65</v>
      </c>
      <c r="AA248" s="28" t="s">
        <v>134</v>
      </c>
      <c r="AB248" s="28" t="s">
        <v>67</v>
      </c>
      <c r="AC248" s="29"/>
      <c r="AD248" s="28">
        <v>0</v>
      </c>
      <c r="AE248" s="29"/>
      <c r="AF248" s="31"/>
      <c r="AG248" s="30" t="s">
        <v>1579</v>
      </c>
      <c r="AH248" s="28"/>
      <c r="AI248" s="28" t="s">
        <v>118</v>
      </c>
      <c r="AJ248" s="33">
        <v>37538</v>
      </c>
      <c r="AK248" s="28">
        <v>5</v>
      </c>
      <c r="AL248" s="28">
        <v>22</v>
      </c>
      <c r="AM248" s="21"/>
      <c r="AN248" s="27"/>
      <c r="AO248" s="27"/>
      <c r="AP248" s="27"/>
      <c r="AQ248" s="27"/>
    </row>
    <row r="249" spans="1:43" ht="15.75" customHeight="1">
      <c r="A249" s="28">
        <v>57</v>
      </c>
      <c r="B249" s="29" t="s">
        <v>2090</v>
      </c>
      <c r="C249" s="30"/>
      <c r="D249" s="31" t="s">
        <v>2091</v>
      </c>
      <c r="E249" s="30" t="s">
        <v>72</v>
      </c>
      <c r="F249" s="30" t="s">
        <v>50</v>
      </c>
      <c r="G249" s="30" t="s">
        <v>51</v>
      </c>
      <c r="H249" s="28" t="s">
        <v>52</v>
      </c>
      <c r="I249" s="30"/>
      <c r="J249" s="30" t="s">
        <v>53</v>
      </c>
      <c r="K249" s="30" t="s">
        <v>2092</v>
      </c>
      <c r="L249" s="30" t="s">
        <v>55</v>
      </c>
      <c r="M249" s="30" t="s">
        <v>1573</v>
      </c>
      <c r="N249" s="30" t="s">
        <v>2093</v>
      </c>
      <c r="O249" s="30" t="s">
        <v>2094</v>
      </c>
      <c r="P249" s="30" t="s">
        <v>2095</v>
      </c>
      <c r="Q249" s="28"/>
      <c r="R249" s="30" t="s">
        <v>2096</v>
      </c>
      <c r="S249" s="30" t="s">
        <v>53</v>
      </c>
      <c r="T249" s="30"/>
      <c r="U249" s="28" t="s">
        <v>2097</v>
      </c>
      <c r="V249" s="30" t="s">
        <v>63</v>
      </c>
      <c r="W249" s="30" t="s">
        <v>64</v>
      </c>
      <c r="X249" s="32">
        <v>44044</v>
      </c>
      <c r="Y249" s="32">
        <v>45839</v>
      </c>
      <c r="Z249" s="30" t="s">
        <v>65</v>
      </c>
      <c r="AA249" s="28" t="s">
        <v>134</v>
      </c>
      <c r="AB249" s="28" t="s">
        <v>67</v>
      </c>
      <c r="AC249" s="29"/>
      <c r="AD249" s="28">
        <v>0</v>
      </c>
      <c r="AE249" s="29"/>
      <c r="AF249" s="31"/>
      <c r="AG249" s="30" t="s">
        <v>1579</v>
      </c>
      <c r="AH249" s="28"/>
      <c r="AI249" s="28" t="s">
        <v>53</v>
      </c>
      <c r="AJ249" s="33">
        <v>35295</v>
      </c>
      <c r="AK249" s="28">
        <v>8</v>
      </c>
      <c r="AL249" s="28">
        <v>22</v>
      </c>
      <c r="AM249" s="21"/>
      <c r="AN249" s="27"/>
      <c r="AO249" s="27"/>
      <c r="AP249" s="27"/>
      <c r="AQ249" s="27"/>
    </row>
    <row r="250" spans="1:43" ht="15.75" customHeight="1">
      <c r="A250" s="28">
        <v>58</v>
      </c>
      <c r="B250" s="29" t="s">
        <v>2098</v>
      </c>
      <c r="C250" s="30" t="s">
        <v>2099</v>
      </c>
      <c r="D250" s="31" t="s">
        <v>2100</v>
      </c>
      <c r="E250" s="30" t="s">
        <v>72</v>
      </c>
      <c r="F250" s="30" t="s">
        <v>50</v>
      </c>
      <c r="G250" s="30" t="s">
        <v>51</v>
      </c>
      <c r="H250" s="28" t="s">
        <v>85</v>
      </c>
      <c r="I250" s="30"/>
      <c r="J250" s="30" t="s">
        <v>53</v>
      </c>
      <c r="K250" s="30" t="s">
        <v>2101</v>
      </c>
      <c r="L250" s="30" t="s">
        <v>55</v>
      </c>
      <c r="M250" s="30" t="s">
        <v>1573</v>
      </c>
      <c r="N250" s="30" t="s">
        <v>2102</v>
      </c>
      <c r="O250" s="30" t="s">
        <v>1776</v>
      </c>
      <c r="P250" s="30" t="s">
        <v>2103</v>
      </c>
      <c r="Q250" s="28"/>
      <c r="R250" s="30" t="s">
        <v>2104</v>
      </c>
      <c r="S250" s="30" t="s">
        <v>53</v>
      </c>
      <c r="T250" s="30"/>
      <c r="U250" s="28" t="s">
        <v>732</v>
      </c>
      <c r="V250" s="30" t="s">
        <v>63</v>
      </c>
      <c r="W250" s="30" t="s">
        <v>64</v>
      </c>
      <c r="X250" s="32">
        <v>44287</v>
      </c>
      <c r="Y250" s="32">
        <v>45992</v>
      </c>
      <c r="Z250" s="30" t="s">
        <v>65</v>
      </c>
      <c r="AA250" s="28" t="s">
        <v>134</v>
      </c>
      <c r="AB250" s="28" t="s">
        <v>67</v>
      </c>
      <c r="AC250" s="29"/>
      <c r="AD250" s="28">
        <v>0</v>
      </c>
      <c r="AE250" s="29"/>
      <c r="AF250" s="31"/>
      <c r="AG250" s="30" t="s">
        <v>1579</v>
      </c>
      <c r="AH250" s="28"/>
      <c r="AI250" s="28" t="s">
        <v>53</v>
      </c>
      <c r="AJ250" s="33">
        <v>37471</v>
      </c>
      <c r="AK250" s="28">
        <v>6</v>
      </c>
      <c r="AL250" s="28">
        <v>22</v>
      </c>
      <c r="AM250" s="21"/>
      <c r="AN250" s="27"/>
      <c r="AO250" s="27"/>
      <c r="AP250" s="27"/>
      <c r="AQ250" s="27"/>
    </row>
    <row r="251" spans="1:43" ht="15.75" customHeight="1">
      <c r="A251" s="28">
        <v>59</v>
      </c>
      <c r="B251" s="29" t="s">
        <v>2105</v>
      </c>
      <c r="C251" s="30"/>
      <c r="D251" s="31" t="s">
        <v>2106</v>
      </c>
      <c r="E251" s="30" t="s">
        <v>49</v>
      </c>
      <c r="F251" s="30" t="s">
        <v>84</v>
      </c>
      <c r="G251" s="30" t="s">
        <v>51</v>
      </c>
      <c r="H251" s="28" t="s">
        <v>52</v>
      </c>
      <c r="I251" s="30"/>
      <c r="J251" s="30" t="s">
        <v>53</v>
      </c>
      <c r="K251" s="30" t="s">
        <v>2107</v>
      </c>
      <c r="L251" s="30" t="s">
        <v>55</v>
      </c>
      <c r="M251" s="30" t="s">
        <v>1573</v>
      </c>
      <c r="N251" s="30" t="s">
        <v>2108</v>
      </c>
      <c r="O251" s="30" t="s">
        <v>2109</v>
      </c>
      <c r="P251" s="30" t="s">
        <v>2110</v>
      </c>
      <c r="Q251" s="28"/>
      <c r="R251" s="30" t="s">
        <v>2111</v>
      </c>
      <c r="S251" s="30" t="s">
        <v>53</v>
      </c>
      <c r="T251" s="30"/>
      <c r="U251" s="28" t="s">
        <v>1625</v>
      </c>
      <c r="V251" s="30" t="s">
        <v>63</v>
      </c>
      <c r="W251" s="30" t="s">
        <v>64</v>
      </c>
      <c r="X251" s="32">
        <v>44348</v>
      </c>
      <c r="Y251" s="32">
        <v>46174</v>
      </c>
      <c r="Z251" s="30" t="s">
        <v>65</v>
      </c>
      <c r="AA251" s="28" t="s">
        <v>66</v>
      </c>
      <c r="AB251" s="28" t="s">
        <v>67</v>
      </c>
      <c r="AC251" s="29"/>
      <c r="AD251" s="28">
        <v>0</v>
      </c>
      <c r="AE251" s="29"/>
      <c r="AF251" s="31"/>
      <c r="AG251" s="30" t="s">
        <v>1579</v>
      </c>
      <c r="AH251" s="28"/>
      <c r="AI251" s="28" t="s">
        <v>118</v>
      </c>
      <c r="AJ251" s="33">
        <v>35704</v>
      </c>
      <c r="AK251" s="28">
        <v>5</v>
      </c>
      <c r="AL251" s="28">
        <v>21</v>
      </c>
      <c r="AM251" s="21"/>
      <c r="AN251" s="27"/>
      <c r="AO251" s="27"/>
      <c r="AP251" s="27"/>
      <c r="AQ251" s="27"/>
    </row>
    <row r="252" spans="1:43" ht="15.75" customHeight="1">
      <c r="A252" s="28">
        <v>60</v>
      </c>
      <c r="B252" s="29" t="s">
        <v>2112</v>
      </c>
      <c r="C252" s="30"/>
      <c r="D252" s="31" t="s">
        <v>2113</v>
      </c>
      <c r="E252" s="30" t="s">
        <v>49</v>
      </c>
      <c r="F252" s="30" t="s">
        <v>50</v>
      </c>
      <c r="G252" s="30" t="s">
        <v>51</v>
      </c>
      <c r="H252" s="28" t="s">
        <v>85</v>
      </c>
      <c r="I252" s="30"/>
      <c r="J252" s="30" t="s">
        <v>53</v>
      </c>
      <c r="K252" s="30" t="s">
        <v>2114</v>
      </c>
      <c r="L252" s="30" t="s">
        <v>55</v>
      </c>
      <c r="M252" s="30" t="s">
        <v>1573</v>
      </c>
      <c r="N252" s="30" t="s">
        <v>2115</v>
      </c>
      <c r="O252" s="30" t="s">
        <v>650</v>
      </c>
      <c r="P252" s="30" t="s">
        <v>2116</v>
      </c>
      <c r="Q252" s="28"/>
      <c r="R252" s="30" t="s">
        <v>2117</v>
      </c>
      <c r="S252" s="30" t="s">
        <v>53</v>
      </c>
      <c r="T252" s="30"/>
      <c r="U252" s="28" t="s">
        <v>732</v>
      </c>
      <c r="V252" s="30" t="s">
        <v>63</v>
      </c>
      <c r="W252" s="30" t="s">
        <v>64</v>
      </c>
      <c r="X252" s="32">
        <v>44409</v>
      </c>
      <c r="Y252" s="32">
        <v>46174</v>
      </c>
      <c r="Z252" s="30" t="s">
        <v>65</v>
      </c>
      <c r="AA252" s="28" t="s">
        <v>134</v>
      </c>
      <c r="AB252" s="28" t="s">
        <v>67</v>
      </c>
      <c r="AC252" s="29"/>
      <c r="AD252" s="28">
        <v>0</v>
      </c>
      <c r="AE252" s="29"/>
      <c r="AF252" s="31"/>
      <c r="AG252" s="30" t="s">
        <v>1579</v>
      </c>
      <c r="AH252" s="28"/>
      <c r="AI252" s="28" t="s">
        <v>53</v>
      </c>
      <c r="AJ252" s="33">
        <v>37319</v>
      </c>
      <c r="AK252" s="28">
        <v>5</v>
      </c>
      <c r="AL252" s="28">
        <v>21</v>
      </c>
      <c r="AM252" s="21"/>
      <c r="AN252" s="27"/>
      <c r="AO252" s="27"/>
      <c r="AP252" s="27"/>
      <c r="AQ252" s="27"/>
    </row>
    <row r="253" spans="1:43" ht="15.75" customHeight="1">
      <c r="A253" s="28">
        <v>61</v>
      </c>
      <c r="B253" s="29" t="s">
        <v>2118</v>
      </c>
      <c r="C253" s="30" t="s">
        <v>2119</v>
      </c>
      <c r="D253" s="31" t="s">
        <v>2120</v>
      </c>
      <c r="E253" s="30" t="s">
        <v>49</v>
      </c>
      <c r="F253" s="30" t="s">
        <v>50</v>
      </c>
      <c r="G253" s="30" t="s">
        <v>51</v>
      </c>
      <c r="H253" s="28" t="s">
        <v>52</v>
      </c>
      <c r="I253" s="30"/>
      <c r="J253" s="30" t="s">
        <v>53</v>
      </c>
      <c r="K253" s="30" t="s">
        <v>2121</v>
      </c>
      <c r="L253" s="30" t="s">
        <v>55</v>
      </c>
      <c r="M253" s="30" t="s">
        <v>656</v>
      </c>
      <c r="N253" s="30" t="s">
        <v>2122</v>
      </c>
      <c r="O253" s="30" t="s">
        <v>2123</v>
      </c>
      <c r="P253" s="30" t="s">
        <v>2124</v>
      </c>
      <c r="Q253" s="28"/>
      <c r="R253" s="30" t="s">
        <v>2125</v>
      </c>
      <c r="S253" s="30" t="s">
        <v>53</v>
      </c>
      <c r="T253" s="30"/>
      <c r="U253" s="28" t="s">
        <v>2126</v>
      </c>
      <c r="V253" s="30" t="s">
        <v>63</v>
      </c>
      <c r="W253" s="30" t="s">
        <v>64</v>
      </c>
      <c r="X253" s="32">
        <v>43862</v>
      </c>
      <c r="Y253" s="32">
        <v>45231</v>
      </c>
      <c r="Z253" s="30" t="s">
        <v>65</v>
      </c>
      <c r="AA253" s="28" t="s">
        <v>66</v>
      </c>
      <c r="AB253" s="28" t="s">
        <v>67</v>
      </c>
      <c r="AC253" s="29"/>
      <c r="AD253" s="28">
        <v>0</v>
      </c>
      <c r="AE253" s="29"/>
      <c r="AF253" s="31"/>
      <c r="AG253" s="30" t="s">
        <v>1579</v>
      </c>
      <c r="AH253" s="28"/>
      <c r="AI253" s="28" t="s">
        <v>53</v>
      </c>
      <c r="AJ253" s="33">
        <v>34644</v>
      </c>
      <c r="AK253" s="28">
        <v>7</v>
      </c>
      <c r="AL253" s="28">
        <v>21</v>
      </c>
      <c r="AM253" s="21"/>
      <c r="AN253" s="27"/>
      <c r="AO253" s="27"/>
      <c r="AP253" s="27"/>
      <c r="AQ253" s="27"/>
    </row>
    <row r="254" spans="1:43" ht="15.75" customHeight="1">
      <c r="A254" s="28">
        <v>62</v>
      </c>
      <c r="B254" s="29" t="s">
        <v>2127</v>
      </c>
      <c r="C254" s="30" t="s">
        <v>2128</v>
      </c>
      <c r="D254" s="31" t="s">
        <v>2129</v>
      </c>
      <c r="E254" s="30" t="s">
        <v>49</v>
      </c>
      <c r="F254" s="30" t="s">
        <v>50</v>
      </c>
      <c r="G254" s="30" t="s">
        <v>51</v>
      </c>
      <c r="H254" s="28" t="s">
        <v>85</v>
      </c>
      <c r="I254" s="30"/>
      <c r="J254" s="30" t="s">
        <v>53</v>
      </c>
      <c r="K254" s="30" t="s">
        <v>2130</v>
      </c>
      <c r="L254" s="30" t="s">
        <v>55</v>
      </c>
      <c r="M254" s="30" t="s">
        <v>1573</v>
      </c>
      <c r="N254" s="30" t="s">
        <v>2131</v>
      </c>
      <c r="O254" s="30" t="s">
        <v>2132</v>
      </c>
      <c r="P254" s="30" t="s">
        <v>2133</v>
      </c>
      <c r="Q254" s="28" t="s">
        <v>2134</v>
      </c>
      <c r="R254" s="30" t="s">
        <v>2135</v>
      </c>
      <c r="S254" s="30" t="s">
        <v>53</v>
      </c>
      <c r="T254" s="30"/>
      <c r="U254" s="28" t="s">
        <v>2136</v>
      </c>
      <c r="V254" s="30" t="s">
        <v>63</v>
      </c>
      <c r="W254" s="30" t="s">
        <v>64</v>
      </c>
      <c r="X254" s="32">
        <v>43831</v>
      </c>
      <c r="Y254" s="32">
        <v>45992</v>
      </c>
      <c r="Z254" s="30" t="s">
        <v>65</v>
      </c>
      <c r="AA254" s="28" t="s">
        <v>66</v>
      </c>
      <c r="AB254" s="28" t="s">
        <v>67</v>
      </c>
      <c r="AC254" s="29"/>
      <c r="AD254" s="28">
        <v>0</v>
      </c>
      <c r="AE254" s="29"/>
      <c r="AF254" s="31"/>
      <c r="AG254" s="30" t="s">
        <v>1579</v>
      </c>
      <c r="AH254" s="28"/>
      <c r="AI254" s="28" t="s">
        <v>53</v>
      </c>
      <c r="AJ254" s="33">
        <v>37279</v>
      </c>
      <c r="AK254" s="28">
        <v>8</v>
      </c>
      <c r="AL254" s="28">
        <v>21</v>
      </c>
      <c r="AM254" s="21"/>
      <c r="AN254" s="27"/>
      <c r="AO254" s="27"/>
      <c r="AP254" s="27"/>
      <c r="AQ254" s="27"/>
    </row>
    <row r="255" spans="1:43" ht="15.75" customHeight="1">
      <c r="A255" s="28">
        <v>63</v>
      </c>
      <c r="B255" s="29" t="s">
        <v>2137</v>
      </c>
      <c r="C255" s="30"/>
      <c r="D255" s="31" t="s">
        <v>2138</v>
      </c>
      <c r="E255" s="30" t="s">
        <v>72</v>
      </c>
      <c r="F255" s="30" t="s">
        <v>50</v>
      </c>
      <c r="G255" s="30" t="s">
        <v>51</v>
      </c>
      <c r="H255" s="28" t="s">
        <v>191</v>
      </c>
      <c r="I255" s="30"/>
      <c r="J255" s="30" t="s">
        <v>53</v>
      </c>
      <c r="K255" s="30" t="s">
        <v>2139</v>
      </c>
      <c r="L255" s="30" t="s">
        <v>55</v>
      </c>
      <c r="M255" s="30" t="s">
        <v>1573</v>
      </c>
      <c r="N255" s="30" t="s">
        <v>2140</v>
      </c>
      <c r="O255" s="30" t="s">
        <v>2141</v>
      </c>
      <c r="P255" s="30" t="s">
        <v>2142</v>
      </c>
      <c r="Q255" s="28"/>
      <c r="R255" s="30" t="s">
        <v>2143</v>
      </c>
      <c r="S255" s="30" t="s">
        <v>53</v>
      </c>
      <c r="T255" s="30"/>
      <c r="U255" s="28" t="s">
        <v>2144</v>
      </c>
      <c r="V255" s="30" t="s">
        <v>63</v>
      </c>
      <c r="W255" s="30" t="s">
        <v>64</v>
      </c>
      <c r="X255" s="32">
        <v>44044</v>
      </c>
      <c r="Y255" s="32">
        <v>45870</v>
      </c>
      <c r="Z255" s="30" t="s">
        <v>65</v>
      </c>
      <c r="AA255" s="28" t="s">
        <v>66</v>
      </c>
      <c r="AB255" s="28" t="s">
        <v>67</v>
      </c>
      <c r="AC255" s="29"/>
      <c r="AD255" s="28">
        <v>0</v>
      </c>
      <c r="AE255" s="29"/>
      <c r="AF255" s="31"/>
      <c r="AG255" s="30" t="s">
        <v>1579</v>
      </c>
      <c r="AH255" s="28"/>
      <c r="AI255" s="28" t="s">
        <v>53</v>
      </c>
      <c r="AJ255" s="33">
        <v>37421</v>
      </c>
      <c r="AK255" s="28">
        <v>5</v>
      </c>
      <c r="AL255" s="28">
        <v>21</v>
      </c>
      <c r="AM255" s="21"/>
      <c r="AN255" s="27"/>
      <c r="AO255" s="27"/>
      <c r="AP255" s="27"/>
      <c r="AQ255" s="27"/>
    </row>
    <row r="256" spans="1:43" ht="15.75" customHeight="1">
      <c r="A256" s="28">
        <v>64</v>
      </c>
      <c r="B256" s="29" t="s">
        <v>2145</v>
      </c>
      <c r="C256" s="30" t="s">
        <v>2146</v>
      </c>
      <c r="D256" s="31" t="s">
        <v>2147</v>
      </c>
      <c r="E256" s="30" t="s">
        <v>49</v>
      </c>
      <c r="F256" s="30" t="s">
        <v>50</v>
      </c>
      <c r="G256" s="30" t="s">
        <v>51</v>
      </c>
      <c r="H256" s="28" t="s">
        <v>52</v>
      </c>
      <c r="I256" s="30"/>
      <c r="J256" s="30" t="s">
        <v>53</v>
      </c>
      <c r="K256" s="30" t="s">
        <v>2148</v>
      </c>
      <c r="L256" s="30" t="s">
        <v>55</v>
      </c>
      <c r="M256" s="30" t="s">
        <v>656</v>
      </c>
      <c r="N256" s="30" t="s">
        <v>2149</v>
      </c>
      <c r="O256" s="30" t="s">
        <v>2150</v>
      </c>
      <c r="P256" s="30" t="s">
        <v>2151</v>
      </c>
      <c r="Q256" s="28"/>
      <c r="R256" s="30" t="s">
        <v>2152</v>
      </c>
      <c r="S256" s="30" t="s">
        <v>53</v>
      </c>
      <c r="T256" s="30"/>
      <c r="U256" s="28" t="s">
        <v>255</v>
      </c>
      <c r="V256" s="30" t="s">
        <v>63</v>
      </c>
      <c r="W256" s="30" t="s">
        <v>64</v>
      </c>
      <c r="X256" s="32">
        <v>43831</v>
      </c>
      <c r="Y256" s="32">
        <v>45658</v>
      </c>
      <c r="Z256" s="30" t="s">
        <v>65</v>
      </c>
      <c r="AA256" s="28" t="s">
        <v>134</v>
      </c>
      <c r="AB256" s="28" t="s">
        <v>67</v>
      </c>
      <c r="AC256" s="29"/>
      <c r="AD256" s="28">
        <v>0</v>
      </c>
      <c r="AE256" s="29"/>
      <c r="AF256" s="31"/>
      <c r="AG256" s="30" t="s">
        <v>1579</v>
      </c>
      <c r="AH256" s="28"/>
      <c r="AI256" s="28" t="s">
        <v>53</v>
      </c>
      <c r="AJ256" s="33">
        <v>37417</v>
      </c>
      <c r="AK256" s="28">
        <v>8</v>
      </c>
      <c r="AL256" s="28">
        <v>21</v>
      </c>
      <c r="AM256" s="21"/>
      <c r="AN256" s="27"/>
      <c r="AO256" s="27"/>
      <c r="AP256" s="27"/>
      <c r="AQ256" s="27"/>
    </row>
    <row r="257" spans="1:43" ht="15.75" customHeight="1">
      <c r="A257" s="28">
        <v>65</v>
      </c>
      <c r="B257" s="29" t="s">
        <v>2153</v>
      </c>
      <c r="C257" s="30"/>
      <c r="D257" s="31" t="s">
        <v>2154</v>
      </c>
      <c r="E257" s="30" t="s">
        <v>72</v>
      </c>
      <c r="F257" s="30" t="s">
        <v>50</v>
      </c>
      <c r="G257" s="30" t="s">
        <v>51</v>
      </c>
      <c r="H257" s="28" t="s">
        <v>85</v>
      </c>
      <c r="I257" s="30"/>
      <c r="J257" s="30" t="s">
        <v>53</v>
      </c>
      <c r="K257" s="30" t="s">
        <v>2155</v>
      </c>
      <c r="L257" s="30" t="s">
        <v>55</v>
      </c>
      <c r="M257" s="30" t="s">
        <v>1573</v>
      </c>
      <c r="N257" s="30" t="s">
        <v>2156</v>
      </c>
      <c r="O257" s="30" t="s">
        <v>1575</v>
      </c>
      <c r="P257" s="30" t="s">
        <v>2157</v>
      </c>
      <c r="Q257" s="28" t="s">
        <v>2158</v>
      </c>
      <c r="R257" s="30" t="s">
        <v>2159</v>
      </c>
      <c r="S257" s="30" t="s">
        <v>53</v>
      </c>
      <c r="T257" s="30"/>
      <c r="U257" s="28" t="s">
        <v>1732</v>
      </c>
      <c r="V257" s="30" t="s">
        <v>63</v>
      </c>
      <c r="W257" s="30" t="s">
        <v>64</v>
      </c>
      <c r="X257" s="32">
        <v>44409</v>
      </c>
      <c r="Y257" s="32">
        <v>45992</v>
      </c>
      <c r="Z257" s="30" t="s">
        <v>65</v>
      </c>
      <c r="AA257" s="28" t="s">
        <v>134</v>
      </c>
      <c r="AB257" s="28" t="s">
        <v>67</v>
      </c>
      <c r="AC257" s="29"/>
      <c r="AD257" s="28">
        <v>0</v>
      </c>
      <c r="AE257" s="29"/>
      <c r="AF257" s="31"/>
      <c r="AG257" s="30" t="s">
        <v>1579</v>
      </c>
      <c r="AH257" s="28"/>
      <c r="AI257" s="28" t="s">
        <v>53</v>
      </c>
      <c r="AJ257" s="33">
        <v>37580</v>
      </c>
      <c r="AK257" s="28">
        <v>6</v>
      </c>
      <c r="AL257" s="28">
        <v>21</v>
      </c>
      <c r="AM257" s="21"/>
      <c r="AN257" s="27"/>
      <c r="AO257" s="27"/>
      <c r="AP257" s="27"/>
      <c r="AQ257" s="27"/>
    </row>
    <row r="258" spans="1:43" ht="15.75" customHeight="1">
      <c r="A258" s="28">
        <v>66</v>
      </c>
      <c r="B258" s="29" t="s">
        <v>2160</v>
      </c>
      <c r="C258" s="30"/>
      <c r="D258" s="31" t="s">
        <v>2161</v>
      </c>
      <c r="E258" s="30" t="s">
        <v>49</v>
      </c>
      <c r="F258" s="30" t="s">
        <v>50</v>
      </c>
      <c r="G258" s="30" t="s">
        <v>51</v>
      </c>
      <c r="H258" s="28" t="s">
        <v>85</v>
      </c>
      <c r="I258" s="30"/>
      <c r="J258" s="30" t="s">
        <v>53</v>
      </c>
      <c r="K258" s="30" t="s">
        <v>2162</v>
      </c>
      <c r="L258" s="30" t="s">
        <v>55</v>
      </c>
      <c r="M258" s="30" t="s">
        <v>656</v>
      </c>
      <c r="N258" s="30" t="s">
        <v>2163</v>
      </c>
      <c r="O258" s="30" t="s">
        <v>2164</v>
      </c>
      <c r="P258" s="30" t="s">
        <v>2165</v>
      </c>
      <c r="Q258" s="28"/>
      <c r="R258" s="30" t="s">
        <v>2166</v>
      </c>
      <c r="S258" s="30" t="s">
        <v>53</v>
      </c>
      <c r="T258" s="30"/>
      <c r="U258" s="28" t="s">
        <v>1615</v>
      </c>
      <c r="V258" s="30" t="s">
        <v>63</v>
      </c>
      <c r="W258" s="30" t="s">
        <v>64</v>
      </c>
      <c r="X258" s="32">
        <v>45108</v>
      </c>
      <c r="Y258" s="32">
        <v>46204</v>
      </c>
      <c r="Z258" s="30" t="s">
        <v>65</v>
      </c>
      <c r="AA258" s="28" t="s">
        <v>134</v>
      </c>
      <c r="AB258" s="28" t="s">
        <v>67</v>
      </c>
      <c r="AC258" s="29"/>
      <c r="AD258" s="28">
        <v>0</v>
      </c>
      <c r="AE258" s="29"/>
      <c r="AF258" s="31"/>
      <c r="AG258" s="30" t="s">
        <v>1579</v>
      </c>
      <c r="AH258" s="28"/>
      <c r="AI258" s="28" t="s">
        <v>53</v>
      </c>
      <c r="AJ258" s="33">
        <v>37830</v>
      </c>
      <c r="AK258" s="28">
        <v>5</v>
      </c>
      <c r="AL258" s="28">
        <v>21</v>
      </c>
      <c r="AM258" s="21"/>
      <c r="AN258" s="27"/>
      <c r="AO258" s="27"/>
      <c r="AP258" s="27"/>
      <c r="AQ258" s="27"/>
    </row>
    <row r="259" spans="1:43" ht="15.75" customHeight="1">
      <c r="A259" s="28">
        <v>67</v>
      </c>
      <c r="B259" s="29" t="s">
        <v>2167</v>
      </c>
      <c r="C259" s="30"/>
      <c r="D259" s="31" t="s">
        <v>2168</v>
      </c>
      <c r="E259" s="30" t="s">
        <v>72</v>
      </c>
      <c r="F259" s="30" t="s">
        <v>50</v>
      </c>
      <c r="G259" s="30" t="s">
        <v>51</v>
      </c>
      <c r="H259" s="28" t="s">
        <v>85</v>
      </c>
      <c r="I259" s="30"/>
      <c r="J259" s="30" t="s">
        <v>53</v>
      </c>
      <c r="K259" s="30" t="s">
        <v>2169</v>
      </c>
      <c r="L259" s="30" t="s">
        <v>55</v>
      </c>
      <c r="M259" s="30" t="s">
        <v>656</v>
      </c>
      <c r="N259" s="30" t="s">
        <v>2170</v>
      </c>
      <c r="O259" s="30" t="s">
        <v>2171</v>
      </c>
      <c r="P259" s="30" t="s">
        <v>2172</v>
      </c>
      <c r="Q259" s="28"/>
      <c r="R259" s="30" t="s">
        <v>2173</v>
      </c>
      <c r="S259" s="30" t="s">
        <v>53</v>
      </c>
      <c r="T259" s="30"/>
      <c r="U259" s="28" t="s">
        <v>2174</v>
      </c>
      <c r="V259" s="30" t="s">
        <v>63</v>
      </c>
      <c r="W259" s="30" t="s">
        <v>64</v>
      </c>
      <c r="X259" s="32">
        <v>43466</v>
      </c>
      <c r="Y259" s="32">
        <v>45292</v>
      </c>
      <c r="Z259" s="30" t="s">
        <v>65</v>
      </c>
      <c r="AA259" s="28" t="s">
        <v>66</v>
      </c>
      <c r="AB259" s="28" t="s">
        <v>67</v>
      </c>
      <c r="AC259" s="29"/>
      <c r="AD259" s="28">
        <v>0</v>
      </c>
      <c r="AE259" s="29"/>
      <c r="AF259" s="31"/>
      <c r="AG259" s="30" t="s">
        <v>1579</v>
      </c>
      <c r="AH259" s="28"/>
      <c r="AI259" s="28" t="s">
        <v>53</v>
      </c>
      <c r="AJ259" s="33">
        <v>37012</v>
      </c>
      <c r="AK259" s="28">
        <v>7</v>
      </c>
      <c r="AL259" s="28">
        <v>21</v>
      </c>
      <c r="AM259" s="21"/>
      <c r="AN259" s="27"/>
      <c r="AO259" s="27"/>
      <c r="AP259" s="27"/>
      <c r="AQ259" s="27"/>
    </row>
    <row r="260" spans="1:43" ht="15.75" customHeight="1">
      <c r="A260" s="28">
        <v>68</v>
      </c>
      <c r="B260" s="29" t="s">
        <v>2175</v>
      </c>
      <c r="C260" s="30"/>
      <c r="D260" s="31" t="s">
        <v>2176</v>
      </c>
      <c r="E260" s="30" t="s">
        <v>49</v>
      </c>
      <c r="F260" s="30" t="s">
        <v>50</v>
      </c>
      <c r="G260" s="30" t="s">
        <v>51</v>
      </c>
      <c r="H260" s="28" t="s">
        <v>52</v>
      </c>
      <c r="I260" s="30"/>
      <c r="J260" s="30" t="s">
        <v>53</v>
      </c>
      <c r="K260" s="30" t="s">
        <v>2177</v>
      </c>
      <c r="L260" s="30" t="s">
        <v>55</v>
      </c>
      <c r="M260" s="30" t="s">
        <v>1573</v>
      </c>
      <c r="N260" s="30" t="s">
        <v>2178</v>
      </c>
      <c r="O260" s="30" t="s">
        <v>1688</v>
      </c>
      <c r="P260" s="30" t="s">
        <v>2179</v>
      </c>
      <c r="Q260" s="28"/>
      <c r="R260" s="30" t="s">
        <v>2180</v>
      </c>
      <c r="S260" s="30" t="s">
        <v>53</v>
      </c>
      <c r="T260" s="30"/>
      <c r="U260" s="28" t="s">
        <v>2010</v>
      </c>
      <c r="V260" s="30" t="s">
        <v>63</v>
      </c>
      <c r="W260" s="30" t="s">
        <v>64</v>
      </c>
      <c r="X260" s="32">
        <v>43132</v>
      </c>
      <c r="Y260" s="32">
        <v>45323</v>
      </c>
      <c r="Z260" s="30" t="s">
        <v>65</v>
      </c>
      <c r="AA260" s="28" t="s">
        <v>134</v>
      </c>
      <c r="AB260" s="28" t="s">
        <v>67</v>
      </c>
      <c r="AC260" s="29"/>
      <c r="AD260" s="28">
        <v>0</v>
      </c>
      <c r="AE260" s="29"/>
      <c r="AF260" s="31"/>
      <c r="AG260" s="30" t="s">
        <v>1579</v>
      </c>
      <c r="AH260" s="28"/>
      <c r="AI260" s="28" t="s">
        <v>53</v>
      </c>
      <c r="AJ260" s="33">
        <v>36580</v>
      </c>
      <c r="AK260" s="28">
        <v>9</v>
      </c>
      <c r="AL260" s="28">
        <v>21</v>
      </c>
      <c r="AM260" s="21"/>
      <c r="AN260" s="27"/>
      <c r="AO260" s="27"/>
      <c r="AP260" s="27"/>
      <c r="AQ260" s="27"/>
    </row>
    <row r="261" spans="1:43" ht="15.75" customHeight="1">
      <c r="A261" s="28">
        <v>69</v>
      </c>
      <c r="B261" s="29" t="s">
        <v>2181</v>
      </c>
      <c r="C261" s="30"/>
      <c r="D261" s="31" t="s">
        <v>2182</v>
      </c>
      <c r="E261" s="30" t="s">
        <v>72</v>
      </c>
      <c r="F261" s="30" t="s">
        <v>50</v>
      </c>
      <c r="G261" s="30" t="s">
        <v>51</v>
      </c>
      <c r="H261" s="28" t="s">
        <v>85</v>
      </c>
      <c r="I261" s="30"/>
      <c r="J261" s="30" t="s">
        <v>53</v>
      </c>
      <c r="K261" s="30" t="s">
        <v>2183</v>
      </c>
      <c r="L261" s="30" t="s">
        <v>55</v>
      </c>
      <c r="M261" s="30" t="s">
        <v>656</v>
      </c>
      <c r="N261" s="30" t="s">
        <v>2184</v>
      </c>
      <c r="O261" s="30" t="s">
        <v>2185</v>
      </c>
      <c r="P261" s="30" t="s">
        <v>2186</v>
      </c>
      <c r="Q261" s="28"/>
      <c r="R261" s="30" t="s">
        <v>2187</v>
      </c>
      <c r="S261" s="30" t="s">
        <v>53</v>
      </c>
      <c r="T261" s="30"/>
      <c r="U261" s="28" t="s">
        <v>1756</v>
      </c>
      <c r="V261" s="30" t="s">
        <v>63</v>
      </c>
      <c r="W261" s="30" t="s">
        <v>64</v>
      </c>
      <c r="X261" s="32">
        <v>43862</v>
      </c>
      <c r="Y261" s="32">
        <v>45627</v>
      </c>
      <c r="Z261" s="30" t="s">
        <v>65</v>
      </c>
      <c r="AA261" s="28" t="s">
        <v>66</v>
      </c>
      <c r="AB261" s="28" t="s">
        <v>67</v>
      </c>
      <c r="AC261" s="29"/>
      <c r="AD261" s="28">
        <v>0</v>
      </c>
      <c r="AE261" s="29"/>
      <c r="AF261" s="31"/>
      <c r="AG261" s="30" t="s">
        <v>1579</v>
      </c>
      <c r="AH261" s="28"/>
      <c r="AI261" s="28" t="s">
        <v>118</v>
      </c>
      <c r="AJ261" s="33">
        <v>37466</v>
      </c>
      <c r="AK261" s="28">
        <v>8</v>
      </c>
      <c r="AL261" s="28">
        <v>21</v>
      </c>
      <c r="AM261" s="21"/>
      <c r="AN261" s="27"/>
      <c r="AO261" s="27"/>
      <c r="AP261" s="27"/>
      <c r="AQ261" s="27"/>
    </row>
    <row r="262" spans="1:43" ht="15.75" customHeight="1">
      <c r="A262" s="28">
        <v>70</v>
      </c>
      <c r="B262" s="29" t="s">
        <v>2188</v>
      </c>
      <c r="C262" s="30" t="s">
        <v>2189</v>
      </c>
      <c r="D262" s="31" t="s">
        <v>2190</v>
      </c>
      <c r="E262" s="30" t="s">
        <v>72</v>
      </c>
      <c r="F262" s="30" t="s">
        <v>50</v>
      </c>
      <c r="G262" s="30" t="s">
        <v>51</v>
      </c>
      <c r="H262" s="28" t="s">
        <v>601</v>
      </c>
      <c r="I262" s="30"/>
      <c r="J262" s="30" t="s">
        <v>53</v>
      </c>
      <c r="K262" s="30" t="s">
        <v>1572</v>
      </c>
      <c r="L262" s="30" t="s">
        <v>55</v>
      </c>
      <c r="M262" s="30" t="s">
        <v>1573</v>
      </c>
      <c r="N262" s="30" t="s">
        <v>2191</v>
      </c>
      <c r="O262" s="30" t="s">
        <v>1575</v>
      </c>
      <c r="P262" s="30" t="s">
        <v>2192</v>
      </c>
      <c r="Q262" s="28"/>
      <c r="R262" s="30" t="s">
        <v>2193</v>
      </c>
      <c r="S262" s="30" t="s">
        <v>53</v>
      </c>
      <c r="T262" s="30"/>
      <c r="U262" s="28" t="s">
        <v>765</v>
      </c>
      <c r="V262" s="30" t="s">
        <v>63</v>
      </c>
      <c r="W262" s="30" t="s">
        <v>64</v>
      </c>
      <c r="X262" s="32">
        <v>43831</v>
      </c>
      <c r="Y262" s="32">
        <v>45627</v>
      </c>
      <c r="Z262" s="30" t="s">
        <v>65</v>
      </c>
      <c r="AA262" s="28" t="s">
        <v>134</v>
      </c>
      <c r="AB262" s="28" t="s">
        <v>67</v>
      </c>
      <c r="AC262" s="29"/>
      <c r="AD262" s="28">
        <v>0</v>
      </c>
      <c r="AE262" s="29"/>
      <c r="AF262" s="31"/>
      <c r="AG262" s="30" t="s">
        <v>1579</v>
      </c>
      <c r="AH262" s="28"/>
      <c r="AI262" s="28" t="s">
        <v>53</v>
      </c>
      <c r="AJ262" s="33">
        <v>37386</v>
      </c>
      <c r="AK262" s="28">
        <v>8</v>
      </c>
      <c r="AL262" s="28">
        <v>21</v>
      </c>
      <c r="AM262" s="21"/>
      <c r="AN262" s="27"/>
      <c r="AO262" s="27"/>
      <c r="AP262" s="27"/>
      <c r="AQ262" s="27"/>
    </row>
    <row r="263" spans="1:43" ht="15.75" customHeight="1">
      <c r="A263" s="28">
        <v>71</v>
      </c>
      <c r="B263" s="29" t="s">
        <v>2194</v>
      </c>
      <c r="C263" s="30" t="s">
        <v>2195</v>
      </c>
      <c r="D263" s="31" t="s">
        <v>2196</v>
      </c>
      <c r="E263" s="30" t="s">
        <v>72</v>
      </c>
      <c r="F263" s="30" t="s">
        <v>50</v>
      </c>
      <c r="G263" s="30" t="s">
        <v>51</v>
      </c>
      <c r="H263" s="28" t="s">
        <v>85</v>
      </c>
      <c r="I263" s="30"/>
      <c r="J263" s="30" t="s">
        <v>53</v>
      </c>
      <c r="K263" s="30" t="s">
        <v>2197</v>
      </c>
      <c r="L263" s="30" t="s">
        <v>55</v>
      </c>
      <c r="M263" s="30" t="s">
        <v>1573</v>
      </c>
      <c r="N263" s="30" t="s">
        <v>2198</v>
      </c>
      <c r="O263" s="30" t="s">
        <v>2199</v>
      </c>
      <c r="P263" s="30" t="s">
        <v>2200</v>
      </c>
      <c r="Q263" s="28" t="s">
        <v>2201</v>
      </c>
      <c r="R263" s="30" t="s">
        <v>2202</v>
      </c>
      <c r="S263" s="30" t="s">
        <v>53</v>
      </c>
      <c r="T263" s="30"/>
      <c r="U263" s="28" t="s">
        <v>765</v>
      </c>
      <c r="V263" s="30" t="s">
        <v>63</v>
      </c>
      <c r="W263" s="30" t="s">
        <v>64</v>
      </c>
      <c r="X263" s="32">
        <v>44197</v>
      </c>
      <c r="Y263" s="32">
        <v>45992</v>
      </c>
      <c r="Z263" s="30" t="s">
        <v>65</v>
      </c>
      <c r="AA263" s="28" t="s">
        <v>66</v>
      </c>
      <c r="AB263" s="28" t="s">
        <v>67</v>
      </c>
      <c r="AC263" s="29"/>
      <c r="AD263" s="28">
        <v>0</v>
      </c>
      <c r="AE263" s="29"/>
      <c r="AF263" s="31"/>
      <c r="AG263" s="30" t="s">
        <v>1579</v>
      </c>
      <c r="AH263" s="28"/>
      <c r="AI263" s="28" t="s">
        <v>53</v>
      </c>
      <c r="AJ263" s="33">
        <v>37657</v>
      </c>
      <c r="AK263" s="28">
        <v>6</v>
      </c>
      <c r="AL263" s="28">
        <v>21</v>
      </c>
      <c r="AM263" s="21"/>
      <c r="AN263" s="27"/>
      <c r="AO263" s="27"/>
      <c r="AP263" s="27"/>
      <c r="AQ263" s="27"/>
    </row>
    <row r="264" spans="1:43" ht="15.75" customHeight="1">
      <c r="A264" s="28">
        <v>72</v>
      </c>
      <c r="B264" s="29" t="s">
        <v>2203</v>
      </c>
      <c r="C264" s="30"/>
      <c r="D264" s="31" t="s">
        <v>2204</v>
      </c>
      <c r="E264" s="30" t="s">
        <v>49</v>
      </c>
      <c r="F264" s="30" t="s">
        <v>50</v>
      </c>
      <c r="G264" s="30" t="s">
        <v>51</v>
      </c>
      <c r="H264" s="28" t="s">
        <v>85</v>
      </c>
      <c r="I264" s="30"/>
      <c r="J264" s="30" t="s">
        <v>53</v>
      </c>
      <c r="K264" s="30" t="s">
        <v>2205</v>
      </c>
      <c r="L264" s="30" t="s">
        <v>55</v>
      </c>
      <c r="M264" s="30" t="s">
        <v>1573</v>
      </c>
      <c r="N264" s="30" t="s">
        <v>2206</v>
      </c>
      <c r="O264" s="30" t="s">
        <v>2207</v>
      </c>
      <c r="P264" s="30" t="s">
        <v>2208</v>
      </c>
      <c r="Q264" s="28"/>
      <c r="R264" s="30" t="s">
        <v>2209</v>
      </c>
      <c r="S264" s="30" t="s">
        <v>53</v>
      </c>
      <c r="T264" s="30"/>
      <c r="U264" s="28" t="s">
        <v>2210</v>
      </c>
      <c r="V264" s="30" t="s">
        <v>63</v>
      </c>
      <c r="W264" s="30" t="s">
        <v>64</v>
      </c>
      <c r="X264" s="32">
        <v>44986</v>
      </c>
      <c r="Y264" s="32">
        <v>46753</v>
      </c>
      <c r="Z264" s="30" t="s">
        <v>65</v>
      </c>
      <c r="AA264" s="28" t="s">
        <v>66</v>
      </c>
      <c r="AB264" s="28" t="s">
        <v>67</v>
      </c>
      <c r="AC264" s="29"/>
      <c r="AD264" s="28">
        <v>0</v>
      </c>
      <c r="AE264" s="29"/>
      <c r="AF264" s="31"/>
      <c r="AG264" s="30" t="s">
        <v>1579</v>
      </c>
      <c r="AH264" s="28"/>
      <c r="AI264" s="28" t="s">
        <v>53</v>
      </c>
      <c r="AJ264" s="33">
        <v>38369</v>
      </c>
      <c r="AK264" s="28">
        <v>5</v>
      </c>
      <c r="AL264" s="28">
        <v>21</v>
      </c>
      <c r="AM264" s="21"/>
      <c r="AN264" s="27"/>
      <c r="AO264" s="27"/>
      <c r="AP264" s="27"/>
      <c r="AQ264" s="27"/>
    </row>
    <row r="265" spans="1:43" ht="15.75" customHeight="1">
      <c r="A265" s="28">
        <v>73</v>
      </c>
      <c r="B265" s="29" t="s">
        <v>2211</v>
      </c>
      <c r="C265" s="30" t="s">
        <v>2212</v>
      </c>
      <c r="D265" s="31" t="s">
        <v>2213</v>
      </c>
      <c r="E265" s="30" t="s">
        <v>49</v>
      </c>
      <c r="F265" s="30" t="s">
        <v>50</v>
      </c>
      <c r="G265" s="30" t="s">
        <v>51</v>
      </c>
      <c r="H265" s="28" t="s">
        <v>85</v>
      </c>
      <c r="I265" s="30"/>
      <c r="J265" s="30" t="s">
        <v>53</v>
      </c>
      <c r="K265" s="30" t="s">
        <v>2214</v>
      </c>
      <c r="L265" s="30" t="s">
        <v>55</v>
      </c>
      <c r="M265" s="30" t="s">
        <v>1573</v>
      </c>
      <c r="N265" s="30" t="s">
        <v>2215</v>
      </c>
      <c r="O265" s="30" t="s">
        <v>1842</v>
      </c>
      <c r="P265" s="30" t="s">
        <v>2216</v>
      </c>
      <c r="Q265" s="28"/>
      <c r="R265" s="30" t="s">
        <v>2217</v>
      </c>
      <c r="S265" s="30" t="s">
        <v>53</v>
      </c>
      <c r="T265" s="30"/>
      <c r="U265" s="28" t="s">
        <v>2010</v>
      </c>
      <c r="V265" s="30" t="s">
        <v>63</v>
      </c>
      <c r="W265" s="30" t="s">
        <v>64</v>
      </c>
      <c r="X265" s="32">
        <v>43831</v>
      </c>
      <c r="Y265" s="32">
        <v>45627</v>
      </c>
      <c r="Z265" s="30" t="s">
        <v>65</v>
      </c>
      <c r="AA265" s="28" t="s">
        <v>134</v>
      </c>
      <c r="AB265" s="28" t="s">
        <v>67</v>
      </c>
      <c r="AC265" s="29"/>
      <c r="AD265" s="28">
        <v>0</v>
      </c>
      <c r="AE265" s="29"/>
      <c r="AF265" s="31"/>
      <c r="AG265" s="30" t="s">
        <v>1579</v>
      </c>
      <c r="AH265" s="28"/>
      <c r="AI265" s="28" t="s">
        <v>53</v>
      </c>
      <c r="AJ265" s="33">
        <v>37399</v>
      </c>
      <c r="AK265" s="28">
        <v>8</v>
      </c>
      <c r="AL265" s="28">
        <v>21</v>
      </c>
      <c r="AM265" s="21"/>
      <c r="AN265" s="27"/>
      <c r="AO265" s="27"/>
      <c r="AP265" s="27"/>
      <c r="AQ265" s="27"/>
    </row>
    <row r="266" spans="1:43" ht="15.75" customHeight="1">
      <c r="A266" s="28">
        <v>74</v>
      </c>
      <c r="B266" s="29" t="s">
        <v>2218</v>
      </c>
      <c r="C266" s="30"/>
      <c r="D266" s="31" t="s">
        <v>2219</v>
      </c>
      <c r="E266" s="30" t="s">
        <v>49</v>
      </c>
      <c r="F266" s="30" t="s">
        <v>50</v>
      </c>
      <c r="G266" s="30" t="s">
        <v>51</v>
      </c>
      <c r="H266" s="28" t="s">
        <v>52</v>
      </c>
      <c r="I266" s="30"/>
      <c r="J266" s="30" t="s">
        <v>53</v>
      </c>
      <c r="K266" s="30" t="s">
        <v>2220</v>
      </c>
      <c r="L266" s="30" t="s">
        <v>55</v>
      </c>
      <c r="M266" s="30" t="s">
        <v>1573</v>
      </c>
      <c r="N266" s="30" t="s">
        <v>2221</v>
      </c>
      <c r="O266" s="30" t="s">
        <v>2222</v>
      </c>
      <c r="P266" s="30" t="s">
        <v>2223</v>
      </c>
      <c r="Q266" s="28"/>
      <c r="R266" s="30" t="s">
        <v>2224</v>
      </c>
      <c r="S266" s="30" t="s">
        <v>53</v>
      </c>
      <c r="T266" s="30"/>
      <c r="U266" s="28" t="s">
        <v>2051</v>
      </c>
      <c r="V266" s="30" t="s">
        <v>63</v>
      </c>
      <c r="W266" s="30" t="s">
        <v>64</v>
      </c>
      <c r="X266" s="32">
        <v>43678</v>
      </c>
      <c r="Y266" s="32">
        <v>45505</v>
      </c>
      <c r="Z266" s="30" t="s">
        <v>65</v>
      </c>
      <c r="AA266" s="28" t="s">
        <v>66</v>
      </c>
      <c r="AB266" s="28" t="s">
        <v>67</v>
      </c>
      <c r="AC266" s="29"/>
      <c r="AD266" s="28">
        <v>0</v>
      </c>
      <c r="AE266" s="29"/>
      <c r="AF266" s="31"/>
      <c r="AG266" s="30" t="s">
        <v>1579</v>
      </c>
      <c r="AH266" s="28"/>
      <c r="AI266" s="28" t="s">
        <v>53</v>
      </c>
      <c r="AJ266" s="33">
        <v>36168</v>
      </c>
      <c r="AK266" s="28">
        <v>9</v>
      </c>
      <c r="AL266" s="28">
        <v>21</v>
      </c>
      <c r="AM266" s="21"/>
      <c r="AN266" s="27"/>
      <c r="AO266" s="27"/>
      <c r="AP266" s="27"/>
      <c r="AQ266" s="27"/>
    </row>
    <row r="267" spans="1:43" ht="15.75" customHeight="1">
      <c r="A267" s="28">
        <v>75</v>
      </c>
      <c r="B267" s="29" t="s">
        <v>2225</v>
      </c>
      <c r="C267" s="30" t="s">
        <v>2226</v>
      </c>
      <c r="D267" s="31" t="s">
        <v>2227</v>
      </c>
      <c r="E267" s="30" t="s">
        <v>49</v>
      </c>
      <c r="F267" s="30" t="s">
        <v>50</v>
      </c>
      <c r="G267" s="30" t="s">
        <v>51</v>
      </c>
      <c r="H267" s="28" t="s">
        <v>85</v>
      </c>
      <c r="I267" s="30"/>
      <c r="J267" s="30" t="s">
        <v>53</v>
      </c>
      <c r="K267" s="30" t="s">
        <v>2228</v>
      </c>
      <c r="L267" s="30" t="s">
        <v>55</v>
      </c>
      <c r="M267" s="30" t="s">
        <v>250</v>
      </c>
      <c r="N267" s="30" t="s">
        <v>2229</v>
      </c>
      <c r="O267" s="30" t="s">
        <v>58</v>
      </c>
      <c r="P267" s="30" t="s">
        <v>2230</v>
      </c>
      <c r="Q267" s="28" t="s">
        <v>2231</v>
      </c>
      <c r="R267" s="30" t="s">
        <v>2232</v>
      </c>
      <c r="S267" s="30" t="s">
        <v>118</v>
      </c>
      <c r="T267" s="30" t="s">
        <v>2233</v>
      </c>
      <c r="U267" s="28" t="s">
        <v>1657</v>
      </c>
      <c r="V267" s="30" t="s">
        <v>63</v>
      </c>
      <c r="W267" s="30" t="s">
        <v>64</v>
      </c>
      <c r="X267" s="32">
        <v>44378</v>
      </c>
      <c r="Y267" s="32">
        <v>45992</v>
      </c>
      <c r="Z267" s="30" t="s">
        <v>65</v>
      </c>
      <c r="AA267" s="28" t="s">
        <v>134</v>
      </c>
      <c r="AB267" s="28" t="s">
        <v>67</v>
      </c>
      <c r="AC267" s="29"/>
      <c r="AD267" s="28">
        <v>0</v>
      </c>
      <c r="AE267" s="29"/>
      <c r="AF267" s="31"/>
      <c r="AG267" s="30" t="s">
        <v>1579</v>
      </c>
      <c r="AH267" s="28" t="s">
        <v>122</v>
      </c>
      <c r="AI267" s="28" t="s">
        <v>53</v>
      </c>
      <c r="AJ267" s="33">
        <v>36569</v>
      </c>
      <c r="AK267" s="28">
        <v>5</v>
      </c>
      <c r="AL267" s="28">
        <v>21</v>
      </c>
      <c r="AM267" s="21"/>
      <c r="AN267" s="27"/>
      <c r="AO267" s="27"/>
      <c r="AP267" s="27"/>
      <c r="AQ267" s="27"/>
    </row>
    <row r="268" spans="1:43" ht="15.75" customHeight="1">
      <c r="A268" s="28">
        <v>76</v>
      </c>
      <c r="B268" s="29" t="s">
        <v>2234</v>
      </c>
      <c r="C268" s="30" t="s">
        <v>2235</v>
      </c>
      <c r="D268" s="31" t="s">
        <v>2236</v>
      </c>
      <c r="E268" s="30" t="s">
        <v>72</v>
      </c>
      <c r="F268" s="30" t="s">
        <v>50</v>
      </c>
      <c r="G268" s="30" t="s">
        <v>51</v>
      </c>
      <c r="H268" s="28" t="s">
        <v>52</v>
      </c>
      <c r="I268" s="30"/>
      <c r="J268" s="30" t="s">
        <v>53</v>
      </c>
      <c r="K268" s="30" t="s">
        <v>2237</v>
      </c>
      <c r="L268" s="30" t="s">
        <v>55</v>
      </c>
      <c r="M268" s="30" t="s">
        <v>656</v>
      </c>
      <c r="N268" s="30" t="s">
        <v>2238</v>
      </c>
      <c r="O268" s="30" t="s">
        <v>747</v>
      </c>
      <c r="P268" s="30" t="s">
        <v>2239</v>
      </c>
      <c r="Q268" s="28" t="s">
        <v>2240</v>
      </c>
      <c r="R268" s="30" t="s">
        <v>2241</v>
      </c>
      <c r="S268" s="30" t="s">
        <v>53</v>
      </c>
      <c r="T268" s="30"/>
      <c r="U268" s="28" t="s">
        <v>1798</v>
      </c>
      <c r="V268" s="30" t="s">
        <v>63</v>
      </c>
      <c r="W268" s="30" t="s">
        <v>64</v>
      </c>
      <c r="X268" s="32">
        <v>44228</v>
      </c>
      <c r="Y268" s="32">
        <v>45809</v>
      </c>
      <c r="Z268" s="30" t="s">
        <v>65</v>
      </c>
      <c r="AA268" s="28" t="s">
        <v>66</v>
      </c>
      <c r="AB268" s="28" t="s">
        <v>67</v>
      </c>
      <c r="AC268" s="29"/>
      <c r="AD268" s="28">
        <v>0</v>
      </c>
      <c r="AE268" s="29"/>
      <c r="AF268" s="31"/>
      <c r="AG268" s="30" t="s">
        <v>1579</v>
      </c>
      <c r="AH268" s="28"/>
      <c r="AI268" s="28" t="s">
        <v>118</v>
      </c>
      <c r="AJ268" s="33">
        <v>37213</v>
      </c>
      <c r="AK268" s="28">
        <v>5</v>
      </c>
      <c r="AL268" s="28">
        <v>21</v>
      </c>
      <c r="AM268" s="21"/>
      <c r="AN268" s="27"/>
      <c r="AO268" s="27"/>
      <c r="AP268" s="27"/>
      <c r="AQ268" s="27"/>
    </row>
    <row r="269" spans="1:43" ht="15.75" customHeight="1">
      <c r="A269" s="28">
        <v>77</v>
      </c>
      <c r="B269" s="29" t="s">
        <v>2242</v>
      </c>
      <c r="C269" s="30" t="s">
        <v>2243</v>
      </c>
      <c r="D269" s="31" t="s">
        <v>2244</v>
      </c>
      <c r="E269" s="30" t="s">
        <v>72</v>
      </c>
      <c r="F269" s="30" t="s">
        <v>50</v>
      </c>
      <c r="G269" s="30" t="s">
        <v>51</v>
      </c>
      <c r="H269" s="28" t="s">
        <v>52</v>
      </c>
      <c r="I269" s="30"/>
      <c r="J269" s="30" t="s">
        <v>53</v>
      </c>
      <c r="K269" s="30" t="s">
        <v>2245</v>
      </c>
      <c r="L269" s="30" t="s">
        <v>55</v>
      </c>
      <c r="M269" s="30" t="s">
        <v>1573</v>
      </c>
      <c r="N269" s="30" t="s">
        <v>2246</v>
      </c>
      <c r="O269" s="30" t="s">
        <v>2247</v>
      </c>
      <c r="P269" s="30" t="s">
        <v>2248</v>
      </c>
      <c r="Q269" s="28"/>
      <c r="R269" s="30" t="s">
        <v>2249</v>
      </c>
      <c r="S269" s="30" t="s">
        <v>53</v>
      </c>
      <c r="T269" s="30"/>
      <c r="U269" s="28" t="s">
        <v>2250</v>
      </c>
      <c r="V269" s="30" t="s">
        <v>63</v>
      </c>
      <c r="W269" s="30" t="s">
        <v>64</v>
      </c>
      <c r="X269" s="32">
        <v>43862</v>
      </c>
      <c r="Y269" s="32">
        <v>45627</v>
      </c>
      <c r="Z269" s="30" t="s">
        <v>65</v>
      </c>
      <c r="AA269" s="28" t="s">
        <v>66</v>
      </c>
      <c r="AB269" s="28" t="s">
        <v>67</v>
      </c>
      <c r="AC269" s="29"/>
      <c r="AD269" s="28">
        <v>0</v>
      </c>
      <c r="AE269" s="29"/>
      <c r="AF269" s="31"/>
      <c r="AG269" s="30" t="s">
        <v>1579</v>
      </c>
      <c r="AH269" s="28"/>
      <c r="AI269" s="28" t="s">
        <v>118</v>
      </c>
      <c r="AJ269" s="33">
        <v>36517</v>
      </c>
      <c r="AK269" s="28">
        <v>8</v>
      </c>
      <c r="AL269" s="28">
        <v>20</v>
      </c>
      <c r="AM269" s="21"/>
      <c r="AN269" s="27"/>
      <c r="AO269" s="27"/>
      <c r="AP269" s="27"/>
      <c r="AQ269" s="27"/>
    </row>
    <row r="270" spans="1:43" ht="15.75" customHeight="1">
      <c r="A270" s="28">
        <v>78</v>
      </c>
      <c r="B270" s="29" t="s">
        <v>2251</v>
      </c>
      <c r="C270" s="30"/>
      <c r="D270" s="31" t="s">
        <v>2252</v>
      </c>
      <c r="E270" s="30" t="s">
        <v>49</v>
      </c>
      <c r="F270" s="30" t="s">
        <v>50</v>
      </c>
      <c r="G270" s="30" t="s">
        <v>51</v>
      </c>
      <c r="H270" s="28" t="s">
        <v>85</v>
      </c>
      <c r="I270" s="30"/>
      <c r="J270" s="30" t="s">
        <v>53</v>
      </c>
      <c r="K270" s="30" t="s">
        <v>2253</v>
      </c>
      <c r="L270" s="30" t="s">
        <v>55</v>
      </c>
      <c r="M270" s="30" t="s">
        <v>1573</v>
      </c>
      <c r="N270" s="30" t="s">
        <v>2254</v>
      </c>
      <c r="O270" s="30" t="s">
        <v>1768</v>
      </c>
      <c r="P270" s="30" t="s">
        <v>2255</v>
      </c>
      <c r="Q270" s="28" t="s">
        <v>2256</v>
      </c>
      <c r="R270" s="30" t="s">
        <v>2257</v>
      </c>
      <c r="S270" s="30" t="s">
        <v>53</v>
      </c>
      <c r="T270" s="30"/>
      <c r="U270" s="28" t="s">
        <v>1657</v>
      </c>
      <c r="V270" s="30" t="s">
        <v>63</v>
      </c>
      <c r="W270" s="30" t="s">
        <v>64</v>
      </c>
      <c r="X270" s="32">
        <v>44197</v>
      </c>
      <c r="Y270" s="32">
        <v>45627</v>
      </c>
      <c r="Z270" s="30" t="s">
        <v>65</v>
      </c>
      <c r="AA270" s="28" t="s">
        <v>66</v>
      </c>
      <c r="AB270" s="28" t="s">
        <v>67</v>
      </c>
      <c r="AC270" s="29"/>
      <c r="AD270" s="28">
        <v>0</v>
      </c>
      <c r="AE270" s="29"/>
      <c r="AF270" s="31"/>
      <c r="AG270" s="30" t="s">
        <v>1579</v>
      </c>
      <c r="AH270" s="28"/>
      <c r="AI270" s="28" t="s">
        <v>53</v>
      </c>
      <c r="AJ270" s="33">
        <v>37057</v>
      </c>
      <c r="AK270" s="28">
        <v>8</v>
      </c>
      <c r="AL270" s="28">
        <v>20</v>
      </c>
      <c r="AM270" s="21"/>
      <c r="AN270" s="27"/>
      <c r="AO270" s="27"/>
      <c r="AP270" s="27"/>
      <c r="AQ270" s="27"/>
    </row>
    <row r="271" spans="1:43" ht="15.75" customHeight="1">
      <c r="A271" s="28">
        <v>79</v>
      </c>
      <c r="B271" s="29" t="s">
        <v>2258</v>
      </c>
      <c r="C271" s="30" t="s">
        <v>2259</v>
      </c>
      <c r="D271" s="31" t="s">
        <v>2260</v>
      </c>
      <c r="E271" s="30" t="s">
        <v>72</v>
      </c>
      <c r="F271" s="30" t="s">
        <v>50</v>
      </c>
      <c r="G271" s="30" t="s">
        <v>51</v>
      </c>
      <c r="H271" s="28" t="s">
        <v>52</v>
      </c>
      <c r="I271" s="30"/>
      <c r="J271" s="30" t="s">
        <v>53</v>
      </c>
      <c r="K271" s="30" t="s">
        <v>2261</v>
      </c>
      <c r="L271" s="30" t="s">
        <v>55</v>
      </c>
      <c r="M271" s="30" t="s">
        <v>1573</v>
      </c>
      <c r="N271" s="30" t="s">
        <v>2262</v>
      </c>
      <c r="O271" s="30" t="s">
        <v>2263</v>
      </c>
      <c r="P271" s="30" t="s">
        <v>2264</v>
      </c>
      <c r="Q271" s="28" t="s">
        <v>2265</v>
      </c>
      <c r="R271" s="30" t="s">
        <v>2266</v>
      </c>
      <c r="S271" s="30" t="s">
        <v>53</v>
      </c>
      <c r="T271" s="30"/>
      <c r="U271" s="28" t="s">
        <v>2267</v>
      </c>
      <c r="V271" s="30" t="s">
        <v>63</v>
      </c>
      <c r="W271" s="30" t="s">
        <v>64</v>
      </c>
      <c r="X271" s="32">
        <v>43831</v>
      </c>
      <c r="Y271" s="32">
        <v>46357</v>
      </c>
      <c r="Z271" s="30" t="s">
        <v>65</v>
      </c>
      <c r="AA271" s="28" t="s">
        <v>134</v>
      </c>
      <c r="AB271" s="28" t="s">
        <v>67</v>
      </c>
      <c r="AC271" s="29"/>
      <c r="AD271" s="28">
        <v>0</v>
      </c>
      <c r="AE271" s="29"/>
      <c r="AF271" s="31"/>
      <c r="AG271" s="30" t="s">
        <v>1579</v>
      </c>
      <c r="AH271" s="28"/>
      <c r="AI271" s="28" t="s">
        <v>118</v>
      </c>
      <c r="AJ271" s="33">
        <v>37913.041666666701</v>
      </c>
      <c r="AK271" s="28">
        <v>5</v>
      </c>
      <c r="AL271" s="28">
        <v>20</v>
      </c>
      <c r="AM271" s="21"/>
      <c r="AN271" s="27"/>
      <c r="AO271" s="27"/>
      <c r="AP271" s="27"/>
      <c r="AQ271" s="27"/>
    </row>
    <row r="272" spans="1:43" ht="15.75" customHeight="1">
      <c r="A272" s="28">
        <v>80</v>
      </c>
      <c r="B272" s="29" t="s">
        <v>2268</v>
      </c>
      <c r="C272" s="30"/>
      <c r="D272" s="31" t="s">
        <v>2269</v>
      </c>
      <c r="E272" s="30" t="s">
        <v>49</v>
      </c>
      <c r="F272" s="30" t="s">
        <v>50</v>
      </c>
      <c r="G272" s="30" t="s">
        <v>51</v>
      </c>
      <c r="H272" s="28" t="s">
        <v>52</v>
      </c>
      <c r="I272" s="30"/>
      <c r="J272" s="30" t="s">
        <v>53</v>
      </c>
      <c r="K272" s="30" t="s">
        <v>2270</v>
      </c>
      <c r="L272" s="30" t="s">
        <v>55</v>
      </c>
      <c r="M272" s="30" t="s">
        <v>656</v>
      </c>
      <c r="N272" s="30" t="s">
        <v>2271</v>
      </c>
      <c r="O272" s="30" t="s">
        <v>2272</v>
      </c>
      <c r="P272" s="30" t="s">
        <v>2273</v>
      </c>
      <c r="Q272" s="28"/>
      <c r="R272" s="30" t="s">
        <v>2274</v>
      </c>
      <c r="S272" s="30" t="s">
        <v>53</v>
      </c>
      <c r="T272" s="30"/>
      <c r="U272" s="28" t="s">
        <v>672</v>
      </c>
      <c r="V272" s="30" t="s">
        <v>63</v>
      </c>
      <c r="W272" s="30" t="s">
        <v>64</v>
      </c>
      <c r="X272" s="32">
        <v>43831</v>
      </c>
      <c r="Y272" s="32">
        <v>45992</v>
      </c>
      <c r="Z272" s="30" t="s">
        <v>65</v>
      </c>
      <c r="AA272" s="28" t="s">
        <v>134</v>
      </c>
      <c r="AB272" s="28" t="s">
        <v>67</v>
      </c>
      <c r="AC272" s="29"/>
      <c r="AD272" s="28">
        <v>0</v>
      </c>
      <c r="AE272" s="29"/>
      <c r="AF272" s="31"/>
      <c r="AG272" s="30" t="s">
        <v>1579</v>
      </c>
      <c r="AH272" s="28"/>
      <c r="AI272" s="28" t="s">
        <v>53</v>
      </c>
      <c r="AJ272" s="33">
        <v>37454</v>
      </c>
      <c r="AK272" s="28">
        <v>8</v>
      </c>
      <c r="AL272" s="28">
        <v>20</v>
      </c>
      <c r="AM272" s="21"/>
      <c r="AN272" s="27"/>
      <c r="AO272" s="27"/>
      <c r="AP272" s="27"/>
      <c r="AQ272" s="27"/>
    </row>
    <row r="273" spans="1:43" ht="15.75" customHeight="1">
      <c r="A273" s="28">
        <v>81</v>
      </c>
      <c r="B273" s="29" t="s">
        <v>2275</v>
      </c>
      <c r="C273" s="30" t="s">
        <v>2276</v>
      </c>
      <c r="D273" s="31" t="s">
        <v>2277</v>
      </c>
      <c r="E273" s="30" t="s">
        <v>72</v>
      </c>
      <c r="F273" s="30" t="s">
        <v>50</v>
      </c>
      <c r="G273" s="30" t="s">
        <v>51</v>
      </c>
      <c r="H273" s="28" t="s">
        <v>85</v>
      </c>
      <c r="I273" s="30"/>
      <c r="J273" s="30" t="s">
        <v>53</v>
      </c>
      <c r="K273" s="30" t="s">
        <v>2278</v>
      </c>
      <c r="L273" s="30" t="s">
        <v>55</v>
      </c>
      <c r="M273" s="30" t="s">
        <v>1573</v>
      </c>
      <c r="N273" s="30" t="s">
        <v>2279</v>
      </c>
      <c r="O273" s="30" t="s">
        <v>2280</v>
      </c>
      <c r="P273" s="30" t="s">
        <v>2281</v>
      </c>
      <c r="Q273" s="28"/>
      <c r="R273" s="30" t="s">
        <v>2282</v>
      </c>
      <c r="S273" s="30" t="s">
        <v>53</v>
      </c>
      <c r="T273" s="30"/>
      <c r="U273" s="28" t="s">
        <v>1657</v>
      </c>
      <c r="V273" s="30" t="s">
        <v>63</v>
      </c>
      <c r="W273" s="30" t="s">
        <v>64</v>
      </c>
      <c r="X273" s="32">
        <v>44682</v>
      </c>
      <c r="Y273" s="32">
        <v>46357</v>
      </c>
      <c r="Z273" s="30" t="s">
        <v>65</v>
      </c>
      <c r="AA273" s="28" t="s">
        <v>134</v>
      </c>
      <c r="AB273" s="28" t="s">
        <v>67</v>
      </c>
      <c r="AC273" s="29"/>
      <c r="AD273" s="28">
        <v>0</v>
      </c>
      <c r="AE273" s="29"/>
      <c r="AF273" s="31"/>
      <c r="AG273" s="30" t="s">
        <v>1579</v>
      </c>
      <c r="AH273" s="28"/>
      <c r="AI273" s="28" t="s">
        <v>53</v>
      </c>
      <c r="AJ273" s="33">
        <v>38156</v>
      </c>
      <c r="AK273" s="28">
        <v>5</v>
      </c>
      <c r="AL273" s="28">
        <v>20</v>
      </c>
      <c r="AM273" s="21"/>
      <c r="AN273" s="27"/>
      <c r="AO273" s="27"/>
      <c r="AP273" s="27"/>
      <c r="AQ273" s="27"/>
    </row>
    <row r="274" spans="1:43" ht="15.75" customHeight="1">
      <c r="A274" s="28">
        <v>82</v>
      </c>
      <c r="B274" s="29" t="s">
        <v>2283</v>
      </c>
      <c r="C274" s="30"/>
      <c r="D274" s="31" t="s">
        <v>2284</v>
      </c>
      <c r="E274" s="30" t="s">
        <v>72</v>
      </c>
      <c r="F274" s="30" t="s">
        <v>50</v>
      </c>
      <c r="G274" s="30" t="s">
        <v>51</v>
      </c>
      <c r="H274" s="28" t="s">
        <v>85</v>
      </c>
      <c r="I274" s="30"/>
      <c r="J274" s="30" t="s">
        <v>53</v>
      </c>
      <c r="K274" s="30" t="s">
        <v>2285</v>
      </c>
      <c r="L274" s="30" t="s">
        <v>55</v>
      </c>
      <c r="M274" s="30" t="s">
        <v>1573</v>
      </c>
      <c r="N274" s="30" t="s">
        <v>2286</v>
      </c>
      <c r="O274" s="30" t="s">
        <v>2287</v>
      </c>
      <c r="P274" s="30" t="s">
        <v>2288</v>
      </c>
      <c r="Q274" s="28"/>
      <c r="R274" s="30" t="s">
        <v>2289</v>
      </c>
      <c r="S274" s="30" t="s">
        <v>53</v>
      </c>
      <c r="T274" s="30"/>
      <c r="U274" s="28" t="s">
        <v>1732</v>
      </c>
      <c r="V274" s="30" t="s">
        <v>63</v>
      </c>
      <c r="W274" s="30" t="s">
        <v>64</v>
      </c>
      <c r="X274" s="32">
        <v>44317</v>
      </c>
      <c r="Y274" s="32">
        <v>46054</v>
      </c>
      <c r="Z274" s="30" t="s">
        <v>65</v>
      </c>
      <c r="AA274" s="28" t="s">
        <v>134</v>
      </c>
      <c r="AB274" s="28" t="s">
        <v>67</v>
      </c>
      <c r="AC274" s="29"/>
      <c r="AD274" s="28">
        <v>0</v>
      </c>
      <c r="AE274" s="29"/>
      <c r="AF274" s="31"/>
      <c r="AG274" s="30" t="s">
        <v>1579</v>
      </c>
      <c r="AH274" s="28"/>
      <c r="AI274" s="28" t="s">
        <v>53</v>
      </c>
      <c r="AJ274" s="33">
        <v>38085</v>
      </c>
      <c r="AK274" s="28">
        <v>5</v>
      </c>
      <c r="AL274" s="28">
        <v>20</v>
      </c>
      <c r="AM274" s="21"/>
      <c r="AN274" s="27"/>
      <c r="AO274" s="27"/>
      <c r="AP274" s="27"/>
      <c r="AQ274" s="27"/>
    </row>
    <row r="275" spans="1:43" ht="15.75" customHeight="1">
      <c r="A275" s="28">
        <v>83</v>
      </c>
      <c r="B275" s="29" t="s">
        <v>2290</v>
      </c>
      <c r="C275" s="30" t="s">
        <v>2291</v>
      </c>
      <c r="D275" s="31" t="s">
        <v>2292</v>
      </c>
      <c r="E275" s="30" t="s">
        <v>49</v>
      </c>
      <c r="F275" s="30" t="s">
        <v>50</v>
      </c>
      <c r="G275" s="30" t="s">
        <v>51</v>
      </c>
      <c r="H275" s="28" t="s">
        <v>52</v>
      </c>
      <c r="I275" s="30"/>
      <c r="J275" s="30" t="s">
        <v>53</v>
      </c>
      <c r="K275" s="30" t="s">
        <v>2293</v>
      </c>
      <c r="L275" s="30" t="s">
        <v>55</v>
      </c>
      <c r="M275" s="30" t="s">
        <v>656</v>
      </c>
      <c r="N275" s="30" t="s">
        <v>2294</v>
      </c>
      <c r="O275" s="30" t="s">
        <v>2295</v>
      </c>
      <c r="P275" s="30" t="s">
        <v>2296</v>
      </c>
      <c r="Q275" s="28" t="s">
        <v>2297</v>
      </c>
      <c r="R275" s="30" t="s">
        <v>2298</v>
      </c>
      <c r="S275" s="30" t="s">
        <v>53</v>
      </c>
      <c r="T275" s="30"/>
      <c r="U275" s="28" t="s">
        <v>2299</v>
      </c>
      <c r="V275" s="30" t="s">
        <v>63</v>
      </c>
      <c r="W275" s="30" t="s">
        <v>64</v>
      </c>
      <c r="X275" s="32">
        <v>43466</v>
      </c>
      <c r="Y275" s="32">
        <v>45627</v>
      </c>
      <c r="Z275" s="30" t="s">
        <v>65</v>
      </c>
      <c r="AA275" s="28" t="s">
        <v>66</v>
      </c>
      <c r="AB275" s="28" t="s">
        <v>67</v>
      </c>
      <c r="AC275" s="29"/>
      <c r="AD275" s="28">
        <v>0</v>
      </c>
      <c r="AE275" s="29"/>
      <c r="AF275" s="31"/>
      <c r="AG275" s="30" t="s">
        <v>1579</v>
      </c>
      <c r="AH275" s="28"/>
      <c r="AI275" s="28" t="s">
        <v>53</v>
      </c>
      <c r="AJ275" s="33">
        <v>36514</v>
      </c>
      <c r="AK275" s="28">
        <v>8</v>
      </c>
      <c r="AL275" s="28">
        <v>20</v>
      </c>
      <c r="AM275" s="21"/>
      <c r="AN275" s="27"/>
      <c r="AO275" s="27"/>
      <c r="AP275" s="27"/>
      <c r="AQ275" s="27"/>
    </row>
    <row r="276" spans="1:43" ht="15.75" customHeight="1">
      <c r="A276" s="28">
        <v>84</v>
      </c>
      <c r="B276" s="29" t="s">
        <v>2300</v>
      </c>
      <c r="C276" s="30" t="s">
        <v>2301</v>
      </c>
      <c r="D276" s="31" t="s">
        <v>2302</v>
      </c>
      <c r="E276" s="30" t="s">
        <v>72</v>
      </c>
      <c r="F276" s="30" t="s">
        <v>50</v>
      </c>
      <c r="G276" s="30" t="s">
        <v>51</v>
      </c>
      <c r="H276" s="28" t="s">
        <v>52</v>
      </c>
      <c r="I276" s="30"/>
      <c r="J276" s="30" t="s">
        <v>53</v>
      </c>
      <c r="K276" s="30" t="s">
        <v>2303</v>
      </c>
      <c r="L276" s="30" t="s">
        <v>55</v>
      </c>
      <c r="M276" s="30" t="s">
        <v>656</v>
      </c>
      <c r="N276" s="30" t="s">
        <v>2304</v>
      </c>
      <c r="O276" s="30" t="s">
        <v>2305</v>
      </c>
      <c r="P276" s="30" t="s">
        <v>2306</v>
      </c>
      <c r="Q276" s="28" t="s">
        <v>2307</v>
      </c>
      <c r="R276" s="30" t="s">
        <v>2308</v>
      </c>
      <c r="S276" s="30" t="s">
        <v>53</v>
      </c>
      <c r="T276" s="30"/>
      <c r="U276" s="28" t="s">
        <v>2309</v>
      </c>
      <c r="V276" s="30" t="s">
        <v>63</v>
      </c>
      <c r="W276" s="30" t="s">
        <v>64</v>
      </c>
      <c r="X276" s="32">
        <v>43313</v>
      </c>
      <c r="Y276" s="32">
        <v>45108</v>
      </c>
      <c r="Z276" s="30" t="s">
        <v>65</v>
      </c>
      <c r="AA276" s="28" t="s">
        <v>66</v>
      </c>
      <c r="AB276" s="28" t="s">
        <v>67</v>
      </c>
      <c r="AC276" s="29"/>
      <c r="AD276" s="28">
        <v>0</v>
      </c>
      <c r="AE276" s="29"/>
      <c r="AF276" s="31"/>
      <c r="AG276" s="30" t="s">
        <v>1579</v>
      </c>
      <c r="AH276" s="28"/>
      <c r="AI276" s="28" t="s">
        <v>53</v>
      </c>
      <c r="AJ276" s="33">
        <v>36643</v>
      </c>
      <c r="AK276" s="28">
        <v>9</v>
      </c>
      <c r="AL276" s="28">
        <v>20</v>
      </c>
      <c r="AM276" s="21"/>
      <c r="AN276" s="27"/>
      <c r="AO276" s="27"/>
      <c r="AP276" s="27"/>
      <c r="AQ276" s="27"/>
    </row>
    <row r="277" spans="1:43" ht="15.75" customHeight="1">
      <c r="A277" s="28">
        <v>85</v>
      </c>
      <c r="B277" s="29" t="s">
        <v>2310</v>
      </c>
      <c r="C277" s="30"/>
      <c r="D277" s="31" t="s">
        <v>2311</v>
      </c>
      <c r="E277" s="30" t="s">
        <v>72</v>
      </c>
      <c r="F277" s="30" t="s">
        <v>50</v>
      </c>
      <c r="G277" s="30" t="s">
        <v>51</v>
      </c>
      <c r="H277" s="28" t="s">
        <v>85</v>
      </c>
      <c r="I277" s="30"/>
      <c r="J277" s="30" t="s">
        <v>53</v>
      </c>
      <c r="K277" s="30" t="s">
        <v>2312</v>
      </c>
      <c r="L277" s="30" t="s">
        <v>55</v>
      </c>
      <c r="M277" s="30" t="s">
        <v>1573</v>
      </c>
      <c r="N277" s="30" t="s">
        <v>2313</v>
      </c>
      <c r="O277" s="30" t="s">
        <v>1575</v>
      </c>
      <c r="P277" s="30" t="s">
        <v>2314</v>
      </c>
      <c r="Q277" s="28"/>
      <c r="R277" s="30" t="s">
        <v>2315</v>
      </c>
      <c r="S277" s="30" t="s">
        <v>53</v>
      </c>
      <c r="T277" s="30"/>
      <c r="U277" s="28" t="s">
        <v>1692</v>
      </c>
      <c r="V277" s="30" t="s">
        <v>63</v>
      </c>
      <c r="W277" s="30" t="s">
        <v>64</v>
      </c>
      <c r="X277" s="32">
        <v>43862</v>
      </c>
      <c r="Y277" s="32">
        <v>45627</v>
      </c>
      <c r="Z277" s="30" t="s">
        <v>65</v>
      </c>
      <c r="AA277" s="28" t="s">
        <v>134</v>
      </c>
      <c r="AB277" s="28" t="s">
        <v>67</v>
      </c>
      <c r="AC277" s="29"/>
      <c r="AD277" s="28">
        <v>0</v>
      </c>
      <c r="AE277" s="29"/>
      <c r="AF277" s="31"/>
      <c r="AG277" s="30" t="s">
        <v>1579</v>
      </c>
      <c r="AH277" s="28"/>
      <c r="AI277" s="28" t="s">
        <v>53</v>
      </c>
      <c r="AJ277" s="33">
        <v>37036</v>
      </c>
      <c r="AK277" s="28">
        <v>8</v>
      </c>
      <c r="AL277" s="28">
        <v>20</v>
      </c>
      <c r="AM277" s="21"/>
      <c r="AN277" s="27"/>
      <c r="AO277" s="27"/>
      <c r="AP277" s="27"/>
      <c r="AQ277" s="27"/>
    </row>
    <row r="278" spans="1:43" ht="15.75" customHeight="1">
      <c r="A278" s="28">
        <v>86</v>
      </c>
      <c r="B278" s="29" t="s">
        <v>2316</v>
      </c>
      <c r="C278" s="30"/>
      <c r="D278" s="31" t="s">
        <v>2317</v>
      </c>
      <c r="E278" s="30" t="s">
        <v>72</v>
      </c>
      <c r="F278" s="30" t="s">
        <v>50</v>
      </c>
      <c r="G278" s="30" t="s">
        <v>51</v>
      </c>
      <c r="H278" s="28" t="s">
        <v>85</v>
      </c>
      <c r="I278" s="30"/>
      <c r="J278" s="30" t="s">
        <v>53</v>
      </c>
      <c r="K278" s="30" t="s">
        <v>2318</v>
      </c>
      <c r="L278" s="30" t="s">
        <v>55</v>
      </c>
      <c r="M278" s="30" t="s">
        <v>1573</v>
      </c>
      <c r="N278" s="30" t="s">
        <v>2319</v>
      </c>
      <c r="O278" s="30" t="s">
        <v>2071</v>
      </c>
      <c r="P278" s="30" t="s">
        <v>2320</v>
      </c>
      <c r="Q278" s="28"/>
      <c r="R278" s="30" t="s">
        <v>2321</v>
      </c>
      <c r="S278" s="30" t="s">
        <v>53</v>
      </c>
      <c r="T278" s="30"/>
      <c r="U278" s="28" t="s">
        <v>2322</v>
      </c>
      <c r="V278" s="30" t="s">
        <v>63</v>
      </c>
      <c r="W278" s="30" t="s">
        <v>64</v>
      </c>
      <c r="X278" s="32">
        <v>43831</v>
      </c>
      <c r="Y278" s="32">
        <v>45627</v>
      </c>
      <c r="Z278" s="30" t="s">
        <v>65</v>
      </c>
      <c r="AA278" s="28" t="s">
        <v>66</v>
      </c>
      <c r="AB278" s="28" t="s">
        <v>67</v>
      </c>
      <c r="AC278" s="29"/>
      <c r="AD278" s="28">
        <v>0</v>
      </c>
      <c r="AE278" s="29"/>
      <c r="AF278" s="31"/>
      <c r="AG278" s="30" t="s">
        <v>1579</v>
      </c>
      <c r="AH278" s="28"/>
      <c r="AI278" s="28" t="s">
        <v>53</v>
      </c>
      <c r="AJ278" s="33">
        <v>35679</v>
      </c>
      <c r="AK278" s="28">
        <v>8</v>
      </c>
      <c r="AL278" s="28">
        <v>20</v>
      </c>
      <c r="AM278" s="21"/>
      <c r="AN278" s="27"/>
      <c r="AO278" s="27"/>
      <c r="AP278" s="27"/>
      <c r="AQ278" s="27"/>
    </row>
    <row r="279" spans="1:43" ht="15.75" customHeight="1">
      <c r="A279" s="28">
        <v>87</v>
      </c>
      <c r="B279" s="29" t="s">
        <v>2323</v>
      </c>
      <c r="C279" s="30"/>
      <c r="D279" s="31" t="s">
        <v>2324</v>
      </c>
      <c r="E279" s="30" t="s">
        <v>72</v>
      </c>
      <c r="F279" s="30" t="s">
        <v>50</v>
      </c>
      <c r="G279" s="30" t="s">
        <v>51</v>
      </c>
      <c r="H279" s="28" t="s">
        <v>52</v>
      </c>
      <c r="I279" s="30"/>
      <c r="J279" s="30" t="s">
        <v>53</v>
      </c>
      <c r="K279" s="30" t="s">
        <v>2325</v>
      </c>
      <c r="L279" s="30" t="s">
        <v>55</v>
      </c>
      <c r="M279" s="30" t="s">
        <v>1573</v>
      </c>
      <c r="N279" s="30" t="s">
        <v>2326</v>
      </c>
      <c r="O279" s="30" t="s">
        <v>2327</v>
      </c>
      <c r="P279" s="30" t="s">
        <v>2328</v>
      </c>
      <c r="Q279" s="28" t="s">
        <v>2329</v>
      </c>
      <c r="R279" s="30" t="s">
        <v>2330</v>
      </c>
      <c r="S279" s="30" t="s">
        <v>53</v>
      </c>
      <c r="T279" s="30"/>
      <c r="U279" s="28" t="s">
        <v>2331</v>
      </c>
      <c r="V279" s="30" t="s">
        <v>63</v>
      </c>
      <c r="W279" s="30" t="s">
        <v>64</v>
      </c>
      <c r="X279" s="32">
        <v>44621</v>
      </c>
      <c r="Y279" s="32">
        <v>46327</v>
      </c>
      <c r="Z279" s="30" t="s">
        <v>65</v>
      </c>
      <c r="AA279" s="28" t="s">
        <v>134</v>
      </c>
      <c r="AB279" s="28" t="s">
        <v>67</v>
      </c>
      <c r="AC279" s="29"/>
      <c r="AD279" s="28">
        <v>0</v>
      </c>
      <c r="AE279" s="29"/>
      <c r="AF279" s="31"/>
      <c r="AG279" s="30" t="s">
        <v>1579</v>
      </c>
      <c r="AH279" s="28"/>
      <c r="AI279" s="28" t="s">
        <v>53</v>
      </c>
      <c r="AJ279" s="33">
        <v>37917</v>
      </c>
      <c r="AK279" s="28">
        <v>5</v>
      </c>
      <c r="AL279" s="28">
        <v>20</v>
      </c>
      <c r="AM279" s="21"/>
      <c r="AN279" s="27"/>
      <c r="AO279" s="27"/>
      <c r="AP279" s="27"/>
      <c r="AQ279" s="27"/>
    </row>
    <row r="280" spans="1:43" ht="15.75" customHeight="1">
      <c r="A280" s="28">
        <v>88</v>
      </c>
      <c r="B280" s="29" t="s">
        <v>2332</v>
      </c>
      <c r="C280" s="30" t="s">
        <v>2333</v>
      </c>
      <c r="D280" s="31" t="s">
        <v>2334</v>
      </c>
      <c r="E280" s="30" t="s">
        <v>49</v>
      </c>
      <c r="F280" s="30" t="s">
        <v>50</v>
      </c>
      <c r="G280" s="30" t="s">
        <v>51</v>
      </c>
      <c r="H280" s="28" t="s">
        <v>85</v>
      </c>
      <c r="I280" s="30"/>
      <c r="J280" s="30" t="s">
        <v>53</v>
      </c>
      <c r="K280" s="30" t="s">
        <v>2335</v>
      </c>
      <c r="L280" s="30" t="s">
        <v>55</v>
      </c>
      <c r="M280" s="30" t="s">
        <v>1573</v>
      </c>
      <c r="N280" s="30" t="s">
        <v>2336</v>
      </c>
      <c r="O280" s="30" t="s">
        <v>1575</v>
      </c>
      <c r="P280" s="30" t="s">
        <v>2337</v>
      </c>
      <c r="Q280" s="28"/>
      <c r="R280" s="30" t="s">
        <v>2338</v>
      </c>
      <c r="S280" s="30" t="s">
        <v>53</v>
      </c>
      <c r="T280" s="30"/>
      <c r="U280" s="28" t="s">
        <v>2339</v>
      </c>
      <c r="V280" s="30" t="s">
        <v>63</v>
      </c>
      <c r="W280" s="30" t="s">
        <v>64</v>
      </c>
      <c r="X280" s="32">
        <v>44593</v>
      </c>
      <c r="Y280" s="32">
        <v>46722</v>
      </c>
      <c r="Z280" s="30" t="s">
        <v>65</v>
      </c>
      <c r="AA280" s="28" t="s">
        <v>134</v>
      </c>
      <c r="AB280" s="28" t="s">
        <v>67</v>
      </c>
      <c r="AC280" s="29"/>
      <c r="AD280" s="28">
        <v>0</v>
      </c>
      <c r="AE280" s="29"/>
      <c r="AF280" s="31"/>
      <c r="AG280" s="30" t="s">
        <v>1579</v>
      </c>
      <c r="AH280" s="28"/>
      <c r="AI280" s="28" t="s">
        <v>53</v>
      </c>
      <c r="AJ280" s="33">
        <v>36589</v>
      </c>
      <c r="AK280" s="28">
        <v>5</v>
      </c>
      <c r="AL280" s="28">
        <v>20</v>
      </c>
      <c r="AM280" s="21"/>
      <c r="AN280" s="27"/>
      <c r="AO280" s="27"/>
      <c r="AP280" s="27"/>
      <c r="AQ280" s="27"/>
    </row>
    <row r="281" spans="1:43" ht="15.75" customHeight="1">
      <c r="A281" s="28">
        <v>89</v>
      </c>
      <c r="B281" s="29" t="s">
        <v>2340</v>
      </c>
      <c r="C281" s="30" t="s">
        <v>2341</v>
      </c>
      <c r="D281" s="31" t="s">
        <v>2342</v>
      </c>
      <c r="E281" s="30" t="s">
        <v>72</v>
      </c>
      <c r="F281" s="30" t="s">
        <v>50</v>
      </c>
      <c r="G281" s="30" t="s">
        <v>51</v>
      </c>
      <c r="H281" s="28" t="s">
        <v>52</v>
      </c>
      <c r="I281" s="30"/>
      <c r="J281" s="30" t="s">
        <v>53</v>
      </c>
      <c r="K281" s="30" t="s">
        <v>1940</v>
      </c>
      <c r="L281" s="30" t="s">
        <v>55</v>
      </c>
      <c r="M281" s="30" t="s">
        <v>656</v>
      </c>
      <c r="N281" s="30" t="s">
        <v>2343</v>
      </c>
      <c r="O281" s="30" t="s">
        <v>1942</v>
      </c>
      <c r="P281" s="30" t="s">
        <v>2344</v>
      </c>
      <c r="Q281" s="28" t="s">
        <v>2345</v>
      </c>
      <c r="R281" s="30" t="s">
        <v>2346</v>
      </c>
      <c r="S281" s="30" t="s">
        <v>53</v>
      </c>
      <c r="T281" s="30"/>
      <c r="U281" s="28" t="s">
        <v>2144</v>
      </c>
      <c r="V281" s="30" t="s">
        <v>63</v>
      </c>
      <c r="W281" s="30" t="s">
        <v>64</v>
      </c>
      <c r="X281" s="32">
        <v>43862</v>
      </c>
      <c r="Y281" s="32">
        <v>45627</v>
      </c>
      <c r="Z281" s="30" t="s">
        <v>65</v>
      </c>
      <c r="AA281" s="28" t="s">
        <v>66</v>
      </c>
      <c r="AB281" s="28" t="s">
        <v>67</v>
      </c>
      <c r="AC281" s="29"/>
      <c r="AD281" s="28">
        <v>0</v>
      </c>
      <c r="AE281" s="29"/>
      <c r="AF281" s="31"/>
      <c r="AG281" s="30" t="s">
        <v>1579</v>
      </c>
      <c r="AH281" s="28"/>
      <c r="AI281" s="28" t="s">
        <v>53</v>
      </c>
      <c r="AJ281" s="33">
        <v>35601</v>
      </c>
      <c r="AK281" s="28">
        <v>8</v>
      </c>
      <c r="AL281" s="28">
        <v>20</v>
      </c>
      <c r="AM281" s="21"/>
      <c r="AN281" s="27"/>
      <c r="AO281" s="27"/>
      <c r="AP281" s="27"/>
      <c r="AQ281" s="27"/>
    </row>
    <row r="282" spans="1:43" ht="15.75" customHeight="1">
      <c r="A282" s="28">
        <v>90</v>
      </c>
      <c r="B282" s="29" t="s">
        <v>2347</v>
      </c>
      <c r="C282" s="30"/>
      <c r="D282" s="31" t="s">
        <v>2348</v>
      </c>
      <c r="E282" s="30" t="s">
        <v>72</v>
      </c>
      <c r="F282" s="30" t="s">
        <v>50</v>
      </c>
      <c r="G282" s="30" t="s">
        <v>51</v>
      </c>
      <c r="H282" s="28" t="s">
        <v>191</v>
      </c>
      <c r="I282" s="30"/>
      <c r="J282" s="30" t="s">
        <v>53</v>
      </c>
      <c r="K282" s="30" t="s">
        <v>2349</v>
      </c>
      <c r="L282" s="30" t="s">
        <v>55</v>
      </c>
      <c r="M282" s="30" t="s">
        <v>656</v>
      </c>
      <c r="N282" s="30" t="s">
        <v>2350</v>
      </c>
      <c r="O282" s="30" t="s">
        <v>2351</v>
      </c>
      <c r="P282" s="30" t="s">
        <v>2352</v>
      </c>
      <c r="Q282" s="28" t="s">
        <v>2353</v>
      </c>
      <c r="R282" s="30" t="s">
        <v>2354</v>
      </c>
      <c r="S282" s="30" t="s">
        <v>53</v>
      </c>
      <c r="T282" s="30"/>
      <c r="U282" s="28" t="s">
        <v>765</v>
      </c>
      <c r="V282" s="30" t="s">
        <v>63</v>
      </c>
      <c r="W282" s="30" t="s">
        <v>64</v>
      </c>
      <c r="X282" s="32">
        <v>44228</v>
      </c>
      <c r="Y282" s="32">
        <v>45689</v>
      </c>
      <c r="Z282" s="30" t="s">
        <v>65</v>
      </c>
      <c r="AA282" s="28" t="s">
        <v>134</v>
      </c>
      <c r="AB282" s="28" t="s">
        <v>67</v>
      </c>
      <c r="AC282" s="29"/>
      <c r="AD282" s="28">
        <v>0</v>
      </c>
      <c r="AE282" s="29"/>
      <c r="AF282" s="31"/>
      <c r="AG282" s="30" t="s">
        <v>1579</v>
      </c>
      <c r="AH282" s="28"/>
      <c r="AI282" s="28" t="s">
        <v>53</v>
      </c>
      <c r="AJ282" s="33">
        <v>37967</v>
      </c>
      <c r="AK282" s="28">
        <v>6</v>
      </c>
      <c r="AL282" s="28">
        <v>20</v>
      </c>
      <c r="AM282" s="21"/>
      <c r="AN282" s="27"/>
      <c r="AO282" s="27"/>
      <c r="AP282" s="27"/>
      <c r="AQ282" s="27"/>
    </row>
    <row r="283" spans="1:43" ht="15.75" customHeight="1">
      <c r="A283" s="28">
        <v>91</v>
      </c>
      <c r="B283" s="29" t="s">
        <v>2355</v>
      </c>
      <c r="C283" s="30"/>
      <c r="D283" s="31" t="s">
        <v>2356</v>
      </c>
      <c r="E283" s="30" t="s">
        <v>72</v>
      </c>
      <c r="F283" s="30" t="s">
        <v>50</v>
      </c>
      <c r="G283" s="30" t="s">
        <v>51</v>
      </c>
      <c r="H283" s="28" t="s">
        <v>85</v>
      </c>
      <c r="I283" s="30"/>
      <c r="J283" s="30" t="s">
        <v>53</v>
      </c>
      <c r="K283" s="30" t="s">
        <v>2357</v>
      </c>
      <c r="L283" s="30" t="s">
        <v>55</v>
      </c>
      <c r="M283" s="30" t="s">
        <v>1573</v>
      </c>
      <c r="N283" s="30" t="s">
        <v>2358</v>
      </c>
      <c r="O283" s="30" t="s">
        <v>1585</v>
      </c>
      <c r="P283" s="30" t="s">
        <v>2359</v>
      </c>
      <c r="Q283" s="28"/>
      <c r="R283" s="30" t="s">
        <v>2360</v>
      </c>
      <c r="S283" s="30" t="s">
        <v>53</v>
      </c>
      <c r="T283" s="30"/>
      <c r="U283" s="28" t="s">
        <v>1898</v>
      </c>
      <c r="V283" s="30" t="s">
        <v>63</v>
      </c>
      <c r="W283" s="30" t="s">
        <v>64</v>
      </c>
      <c r="X283" s="32">
        <v>44593</v>
      </c>
      <c r="Y283" s="32">
        <v>46357</v>
      </c>
      <c r="Z283" s="30" t="s">
        <v>65</v>
      </c>
      <c r="AA283" s="28" t="s">
        <v>134</v>
      </c>
      <c r="AB283" s="28" t="s">
        <v>67</v>
      </c>
      <c r="AC283" s="29"/>
      <c r="AD283" s="28">
        <v>0</v>
      </c>
      <c r="AE283" s="29"/>
      <c r="AF283" s="31"/>
      <c r="AG283" s="30" t="s">
        <v>1579</v>
      </c>
      <c r="AH283" s="28"/>
      <c r="AI283" s="28" t="s">
        <v>53</v>
      </c>
      <c r="AJ283" s="33">
        <v>37606</v>
      </c>
      <c r="AK283" s="28">
        <v>5</v>
      </c>
      <c r="AL283" s="28">
        <v>20</v>
      </c>
      <c r="AM283" s="21"/>
      <c r="AN283" s="27"/>
      <c r="AO283" s="27"/>
      <c r="AP283" s="27"/>
      <c r="AQ283" s="27"/>
    </row>
    <row r="284" spans="1:43" ht="15.75" customHeight="1">
      <c r="A284" s="28">
        <v>92</v>
      </c>
      <c r="B284" s="29" t="s">
        <v>2361</v>
      </c>
      <c r="C284" s="30"/>
      <c r="D284" s="31" t="s">
        <v>2362</v>
      </c>
      <c r="E284" s="30" t="s">
        <v>72</v>
      </c>
      <c r="F284" s="30" t="s">
        <v>50</v>
      </c>
      <c r="G284" s="30" t="s">
        <v>51</v>
      </c>
      <c r="H284" s="28" t="s">
        <v>52</v>
      </c>
      <c r="I284" s="30"/>
      <c r="J284" s="30" t="s">
        <v>53</v>
      </c>
      <c r="K284" s="30" t="s">
        <v>2363</v>
      </c>
      <c r="L284" s="30" t="s">
        <v>55</v>
      </c>
      <c r="M284" s="30" t="s">
        <v>1573</v>
      </c>
      <c r="N284" s="30" t="s">
        <v>2364</v>
      </c>
      <c r="O284" s="30" t="s">
        <v>2365</v>
      </c>
      <c r="P284" s="30" t="s">
        <v>2366</v>
      </c>
      <c r="Q284" s="28" t="s">
        <v>2367</v>
      </c>
      <c r="R284" s="30" t="s">
        <v>2368</v>
      </c>
      <c r="S284" s="30" t="s">
        <v>53</v>
      </c>
      <c r="T284" s="30"/>
      <c r="U284" s="28" t="s">
        <v>2369</v>
      </c>
      <c r="V284" s="30" t="s">
        <v>63</v>
      </c>
      <c r="W284" s="30" t="s">
        <v>64</v>
      </c>
      <c r="X284" s="32">
        <v>44197</v>
      </c>
      <c r="Y284" s="32">
        <v>45992</v>
      </c>
      <c r="Z284" s="30" t="s">
        <v>65</v>
      </c>
      <c r="AA284" s="28" t="s">
        <v>134</v>
      </c>
      <c r="AB284" s="28" t="s">
        <v>67</v>
      </c>
      <c r="AC284" s="29"/>
      <c r="AD284" s="28">
        <v>0</v>
      </c>
      <c r="AE284" s="29"/>
      <c r="AF284" s="31"/>
      <c r="AG284" s="30" t="s">
        <v>1579</v>
      </c>
      <c r="AH284" s="28"/>
      <c r="AI284" s="28" t="s">
        <v>53</v>
      </c>
      <c r="AJ284" s="33">
        <v>37196</v>
      </c>
      <c r="AK284" s="28">
        <v>6</v>
      </c>
      <c r="AL284" s="28">
        <v>20</v>
      </c>
      <c r="AM284" s="21"/>
      <c r="AN284" s="27"/>
      <c r="AO284" s="27"/>
      <c r="AP284" s="27"/>
      <c r="AQ284" s="27"/>
    </row>
    <row r="285" spans="1:43" ht="15.75" customHeight="1">
      <c r="A285" s="28">
        <v>93</v>
      </c>
      <c r="B285" s="29" t="s">
        <v>2370</v>
      </c>
      <c r="C285" s="30"/>
      <c r="D285" s="31" t="s">
        <v>2371</v>
      </c>
      <c r="E285" s="30" t="s">
        <v>72</v>
      </c>
      <c r="F285" s="30" t="s">
        <v>50</v>
      </c>
      <c r="G285" s="30" t="s">
        <v>51</v>
      </c>
      <c r="H285" s="28" t="s">
        <v>85</v>
      </c>
      <c r="I285" s="30"/>
      <c r="J285" s="30" t="s">
        <v>53</v>
      </c>
      <c r="K285" s="30" t="s">
        <v>2372</v>
      </c>
      <c r="L285" s="30" t="s">
        <v>55</v>
      </c>
      <c r="M285" s="30" t="s">
        <v>1573</v>
      </c>
      <c r="N285" s="30" t="s">
        <v>2373</v>
      </c>
      <c r="O285" s="30" t="s">
        <v>2374</v>
      </c>
      <c r="P285" s="30" t="s">
        <v>2375</v>
      </c>
      <c r="Q285" s="28"/>
      <c r="R285" s="30" t="s">
        <v>2376</v>
      </c>
      <c r="S285" s="30" t="s">
        <v>53</v>
      </c>
      <c r="T285" s="30"/>
      <c r="U285" s="28" t="s">
        <v>1756</v>
      </c>
      <c r="V285" s="30" t="s">
        <v>63</v>
      </c>
      <c r="W285" s="30" t="s">
        <v>64</v>
      </c>
      <c r="X285" s="32">
        <v>44562</v>
      </c>
      <c r="Y285" s="32">
        <v>46357</v>
      </c>
      <c r="Z285" s="30" t="s">
        <v>65</v>
      </c>
      <c r="AA285" s="28" t="s">
        <v>134</v>
      </c>
      <c r="AB285" s="28" t="s">
        <v>67</v>
      </c>
      <c r="AC285" s="29"/>
      <c r="AD285" s="28">
        <v>0</v>
      </c>
      <c r="AE285" s="29"/>
      <c r="AF285" s="31"/>
      <c r="AG285" s="30" t="s">
        <v>1579</v>
      </c>
      <c r="AH285" s="28"/>
      <c r="AI285" s="28" t="s">
        <v>53</v>
      </c>
      <c r="AJ285" s="33">
        <v>37767</v>
      </c>
      <c r="AK285" s="28">
        <v>5</v>
      </c>
      <c r="AL285" s="28">
        <v>20</v>
      </c>
      <c r="AM285" s="21"/>
      <c r="AN285" s="27"/>
      <c r="AO285" s="27"/>
      <c r="AP285" s="27"/>
      <c r="AQ285" s="27"/>
    </row>
    <row r="286" spans="1:43" ht="15.75" customHeight="1">
      <c r="A286" s="28">
        <v>94</v>
      </c>
      <c r="B286" s="29" t="s">
        <v>2377</v>
      </c>
      <c r="C286" s="30" t="s">
        <v>2378</v>
      </c>
      <c r="D286" s="31" t="s">
        <v>2379</v>
      </c>
      <c r="E286" s="30" t="s">
        <v>72</v>
      </c>
      <c r="F286" s="30" t="s">
        <v>50</v>
      </c>
      <c r="G286" s="30" t="s">
        <v>51</v>
      </c>
      <c r="H286" s="28" t="s">
        <v>52</v>
      </c>
      <c r="I286" s="30"/>
      <c r="J286" s="30" t="s">
        <v>53</v>
      </c>
      <c r="K286" s="30" t="s">
        <v>2380</v>
      </c>
      <c r="L286" s="30" t="s">
        <v>55</v>
      </c>
      <c r="M286" s="30" t="s">
        <v>1573</v>
      </c>
      <c r="N286" s="30" t="s">
        <v>2381</v>
      </c>
      <c r="O286" s="30" t="s">
        <v>2382</v>
      </c>
      <c r="P286" s="30" t="s">
        <v>2383</v>
      </c>
      <c r="Q286" s="28"/>
      <c r="R286" s="30" t="s">
        <v>2384</v>
      </c>
      <c r="S286" s="30" t="s">
        <v>53</v>
      </c>
      <c r="T286" s="30"/>
      <c r="U286" s="28" t="s">
        <v>765</v>
      </c>
      <c r="V286" s="30" t="s">
        <v>63</v>
      </c>
      <c r="W286" s="30" t="s">
        <v>64</v>
      </c>
      <c r="X286" s="32">
        <v>43862</v>
      </c>
      <c r="Y286" s="32">
        <v>45627</v>
      </c>
      <c r="Z286" s="30" t="s">
        <v>65</v>
      </c>
      <c r="AA286" s="28" t="s">
        <v>66</v>
      </c>
      <c r="AB286" s="28" t="s">
        <v>67</v>
      </c>
      <c r="AC286" s="29"/>
      <c r="AD286" s="28">
        <v>0</v>
      </c>
      <c r="AE286" s="29"/>
      <c r="AF286" s="31"/>
      <c r="AG286" s="30" t="s">
        <v>1579</v>
      </c>
      <c r="AH286" s="28"/>
      <c r="AI286" s="28" t="s">
        <v>53</v>
      </c>
      <c r="AJ286" s="33">
        <v>33577</v>
      </c>
      <c r="AK286" s="28">
        <v>6</v>
      </c>
      <c r="AL286" s="28">
        <v>20</v>
      </c>
      <c r="AM286" s="21"/>
      <c r="AN286" s="27"/>
      <c r="AO286" s="27"/>
      <c r="AP286" s="27"/>
      <c r="AQ286" s="27"/>
    </row>
    <row r="287" spans="1:43" ht="15.75" customHeight="1">
      <c r="A287" s="28">
        <v>95</v>
      </c>
      <c r="B287" s="29" t="s">
        <v>2385</v>
      </c>
      <c r="C287" s="30" t="s">
        <v>2386</v>
      </c>
      <c r="D287" s="31" t="s">
        <v>2387</v>
      </c>
      <c r="E287" s="30" t="s">
        <v>72</v>
      </c>
      <c r="F287" s="30" t="s">
        <v>50</v>
      </c>
      <c r="G287" s="30" t="s">
        <v>51</v>
      </c>
      <c r="H287" s="28" t="s">
        <v>191</v>
      </c>
      <c r="I287" s="30"/>
      <c r="J287" s="30" t="s">
        <v>53</v>
      </c>
      <c r="K287" s="30" t="s">
        <v>2388</v>
      </c>
      <c r="L287" s="30" t="s">
        <v>55</v>
      </c>
      <c r="M287" s="30" t="s">
        <v>1573</v>
      </c>
      <c r="N287" s="30" t="s">
        <v>2389</v>
      </c>
      <c r="O287" s="30" t="s">
        <v>2390</v>
      </c>
      <c r="P287" s="30" t="s">
        <v>2391</v>
      </c>
      <c r="Q287" s="28"/>
      <c r="R287" s="30" t="s">
        <v>2392</v>
      </c>
      <c r="S287" s="30" t="s">
        <v>53</v>
      </c>
      <c r="T287" s="30"/>
      <c r="U287" s="28" t="s">
        <v>765</v>
      </c>
      <c r="V287" s="30" t="s">
        <v>63</v>
      </c>
      <c r="W287" s="30" t="s">
        <v>64</v>
      </c>
      <c r="X287" s="32">
        <v>44197</v>
      </c>
      <c r="Y287" s="32">
        <v>45658</v>
      </c>
      <c r="Z287" s="30" t="s">
        <v>65</v>
      </c>
      <c r="AA287" s="28" t="s">
        <v>66</v>
      </c>
      <c r="AB287" s="28" t="s">
        <v>67</v>
      </c>
      <c r="AC287" s="29"/>
      <c r="AD287" s="28">
        <v>0</v>
      </c>
      <c r="AE287" s="29"/>
      <c r="AF287" s="31"/>
      <c r="AG287" s="30" t="s">
        <v>1579</v>
      </c>
      <c r="AH287" s="28"/>
      <c r="AI287" s="28" t="s">
        <v>118</v>
      </c>
      <c r="AJ287" s="33">
        <v>36747</v>
      </c>
      <c r="AK287" s="28">
        <v>6</v>
      </c>
      <c r="AL287" s="28">
        <v>20</v>
      </c>
      <c r="AM287" s="21"/>
      <c r="AN287" s="27"/>
      <c r="AO287" s="27"/>
      <c r="AP287" s="27"/>
      <c r="AQ287" s="27"/>
    </row>
    <row r="288" spans="1:43" ht="15.75" customHeight="1">
      <c r="A288" s="28">
        <v>96</v>
      </c>
      <c r="B288" s="29" t="s">
        <v>2393</v>
      </c>
      <c r="C288" s="30" t="s">
        <v>2394</v>
      </c>
      <c r="D288" s="31" t="s">
        <v>2395</v>
      </c>
      <c r="E288" s="30" t="s">
        <v>72</v>
      </c>
      <c r="F288" s="30" t="s">
        <v>50</v>
      </c>
      <c r="G288" s="30" t="s">
        <v>51</v>
      </c>
      <c r="H288" s="28" t="s">
        <v>52</v>
      </c>
      <c r="I288" s="30"/>
      <c r="J288" s="30" t="s">
        <v>53</v>
      </c>
      <c r="K288" s="30" t="s">
        <v>2396</v>
      </c>
      <c r="L288" s="30" t="s">
        <v>55</v>
      </c>
      <c r="M288" s="30" t="s">
        <v>1573</v>
      </c>
      <c r="N288" s="30" t="s">
        <v>2397</v>
      </c>
      <c r="O288" s="30" t="s">
        <v>2398</v>
      </c>
      <c r="P288" s="30" t="s">
        <v>2399</v>
      </c>
      <c r="Q288" s="28" t="s">
        <v>2400</v>
      </c>
      <c r="R288" s="30" t="s">
        <v>2401</v>
      </c>
      <c r="S288" s="30" t="s">
        <v>53</v>
      </c>
      <c r="T288" s="30"/>
      <c r="U288" s="28" t="s">
        <v>765</v>
      </c>
      <c r="V288" s="30" t="s">
        <v>63</v>
      </c>
      <c r="W288" s="30" t="s">
        <v>64</v>
      </c>
      <c r="X288" s="32">
        <v>44409</v>
      </c>
      <c r="Y288" s="32">
        <v>46174</v>
      </c>
      <c r="Z288" s="30" t="s">
        <v>65</v>
      </c>
      <c r="AA288" s="28" t="s">
        <v>67</v>
      </c>
      <c r="AB288" s="28" t="s">
        <v>67</v>
      </c>
      <c r="AC288" s="29"/>
      <c r="AD288" s="28">
        <v>0</v>
      </c>
      <c r="AE288" s="29"/>
      <c r="AF288" s="31"/>
      <c r="AG288" s="30" t="s">
        <v>1579</v>
      </c>
      <c r="AH288" s="28"/>
      <c r="AI288" s="28" t="s">
        <v>118</v>
      </c>
      <c r="AJ288" s="33">
        <v>37179</v>
      </c>
      <c r="AK288" s="28">
        <v>5</v>
      </c>
      <c r="AL288" s="28">
        <v>20</v>
      </c>
      <c r="AM288" s="21"/>
      <c r="AN288" s="27"/>
      <c r="AO288" s="27"/>
      <c r="AP288" s="27"/>
      <c r="AQ288" s="27"/>
    </row>
    <row r="289" spans="1:43" ht="15.75" customHeight="1">
      <c r="A289" s="28">
        <v>97</v>
      </c>
      <c r="B289" s="29" t="s">
        <v>2402</v>
      </c>
      <c r="C289" s="30" t="s">
        <v>2403</v>
      </c>
      <c r="D289" s="31" t="s">
        <v>2404</v>
      </c>
      <c r="E289" s="30" t="s">
        <v>72</v>
      </c>
      <c r="F289" s="30" t="s">
        <v>50</v>
      </c>
      <c r="G289" s="30" t="s">
        <v>51</v>
      </c>
      <c r="H289" s="28" t="s">
        <v>85</v>
      </c>
      <c r="I289" s="30"/>
      <c r="J289" s="30" t="s">
        <v>53</v>
      </c>
      <c r="K289" s="30" t="s">
        <v>2405</v>
      </c>
      <c r="L289" s="30" t="s">
        <v>55</v>
      </c>
      <c r="M289" s="30" t="s">
        <v>656</v>
      </c>
      <c r="N289" s="30" t="s">
        <v>2406</v>
      </c>
      <c r="O289" s="30" t="s">
        <v>2295</v>
      </c>
      <c r="P289" s="30" t="s">
        <v>2407</v>
      </c>
      <c r="Q289" s="28" t="s">
        <v>2408</v>
      </c>
      <c r="R289" s="30" t="s">
        <v>2409</v>
      </c>
      <c r="S289" s="30" t="s">
        <v>53</v>
      </c>
      <c r="T289" s="30"/>
      <c r="U289" s="28" t="s">
        <v>2410</v>
      </c>
      <c r="V289" s="30" t="s">
        <v>63</v>
      </c>
      <c r="W289" s="30" t="s">
        <v>64</v>
      </c>
      <c r="X289" s="32">
        <v>43497</v>
      </c>
      <c r="Y289" s="32">
        <v>45627</v>
      </c>
      <c r="Z289" s="30" t="s">
        <v>65</v>
      </c>
      <c r="AA289" s="28" t="s">
        <v>66</v>
      </c>
      <c r="AB289" s="28" t="s">
        <v>67</v>
      </c>
      <c r="AC289" s="29"/>
      <c r="AD289" s="28">
        <v>0</v>
      </c>
      <c r="AE289" s="29"/>
      <c r="AF289" s="31"/>
      <c r="AG289" s="30" t="s">
        <v>1579</v>
      </c>
      <c r="AH289" s="28"/>
      <c r="AI289" s="28" t="s">
        <v>53</v>
      </c>
      <c r="AJ289" s="33">
        <v>36772</v>
      </c>
      <c r="AK289" s="28">
        <v>8</v>
      </c>
      <c r="AL289" s="28">
        <v>20</v>
      </c>
      <c r="AM289" s="21"/>
      <c r="AN289" s="27"/>
      <c r="AO289" s="27"/>
      <c r="AP289" s="27"/>
      <c r="AQ289" s="27"/>
    </row>
    <row r="290" spans="1:43" ht="15.75" customHeight="1">
      <c r="A290" s="28">
        <v>98</v>
      </c>
      <c r="B290" s="29" t="s">
        <v>2411</v>
      </c>
      <c r="C290" s="30" t="s">
        <v>2412</v>
      </c>
      <c r="D290" s="31" t="s">
        <v>2413</v>
      </c>
      <c r="E290" s="30" t="s">
        <v>72</v>
      </c>
      <c r="F290" s="30" t="s">
        <v>84</v>
      </c>
      <c r="G290" s="30" t="s">
        <v>51</v>
      </c>
      <c r="H290" s="28" t="s">
        <v>85</v>
      </c>
      <c r="I290" s="30"/>
      <c r="J290" s="30" t="s">
        <v>53</v>
      </c>
      <c r="K290" s="30" t="s">
        <v>2414</v>
      </c>
      <c r="L290" s="30" t="s">
        <v>55</v>
      </c>
      <c r="M290" s="30" t="s">
        <v>656</v>
      </c>
      <c r="N290" s="30" t="s">
        <v>2415</v>
      </c>
      <c r="O290" s="30" t="s">
        <v>95</v>
      </c>
      <c r="P290" s="30" t="s">
        <v>2416</v>
      </c>
      <c r="Q290" s="28" t="s">
        <v>2417</v>
      </c>
      <c r="R290" s="30" t="s">
        <v>2418</v>
      </c>
      <c r="S290" s="30" t="s">
        <v>53</v>
      </c>
      <c r="T290" s="30"/>
      <c r="U290" s="28" t="s">
        <v>2419</v>
      </c>
      <c r="V290" s="30" t="s">
        <v>63</v>
      </c>
      <c r="W290" s="30" t="s">
        <v>64</v>
      </c>
      <c r="X290" s="32">
        <v>43160</v>
      </c>
      <c r="Y290" s="32">
        <v>45658</v>
      </c>
      <c r="Z290" s="30" t="s">
        <v>65</v>
      </c>
      <c r="AA290" s="28" t="s">
        <v>66</v>
      </c>
      <c r="AB290" s="28" t="s">
        <v>67</v>
      </c>
      <c r="AC290" s="29"/>
      <c r="AD290" s="28">
        <v>0</v>
      </c>
      <c r="AE290" s="29"/>
      <c r="AF290" s="31"/>
      <c r="AG290" s="30" t="s">
        <v>1579</v>
      </c>
      <c r="AH290" s="28"/>
      <c r="AI290" s="28" t="s">
        <v>53</v>
      </c>
      <c r="AJ290" s="33">
        <v>30985</v>
      </c>
      <c r="AK290" s="28">
        <v>5</v>
      </c>
      <c r="AL290" s="28">
        <v>20</v>
      </c>
      <c r="AM290" s="21"/>
      <c r="AN290" s="27"/>
      <c r="AO290" s="27"/>
      <c r="AP290" s="27"/>
      <c r="AQ290" s="27"/>
    </row>
    <row r="291" spans="1:43" ht="15.75" customHeight="1">
      <c r="A291" s="28">
        <v>99</v>
      </c>
      <c r="B291" s="29" t="s">
        <v>2420</v>
      </c>
      <c r="C291" s="30" t="s">
        <v>2421</v>
      </c>
      <c r="D291" s="31" t="s">
        <v>2422</v>
      </c>
      <c r="E291" s="30" t="s">
        <v>49</v>
      </c>
      <c r="F291" s="30" t="s">
        <v>50</v>
      </c>
      <c r="G291" s="30" t="s">
        <v>51</v>
      </c>
      <c r="H291" s="28" t="s">
        <v>85</v>
      </c>
      <c r="I291" s="30"/>
      <c r="J291" s="30" t="s">
        <v>53</v>
      </c>
      <c r="K291" s="30" t="s">
        <v>2423</v>
      </c>
      <c r="L291" s="30" t="s">
        <v>55</v>
      </c>
      <c r="M291" s="30" t="s">
        <v>1573</v>
      </c>
      <c r="N291" s="30" t="s">
        <v>2424</v>
      </c>
      <c r="O291" s="30" t="s">
        <v>2425</v>
      </c>
      <c r="P291" s="30" t="s">
        <v>2426</v>
      </c>
      <c r="Q291" s="28"/>
      <c r="R291" s="30" t="s">
        <v>2427</v>
      </c>
      <c r="S291" s="30" t="s">
        <v>53</v>
      </c>
      <c r="T291" s="30"/>
      <c r="U291" s="28" t="s">
        <v>2428</v>
      </c>
      <c r="V291" s="30" t="s">
        <v>63</v>
      </c>
      <c r="W291" s="30" t="s">
        <v>64</v>
      </c>
      <c r="X291" s="32">
        <v>44197</v>
      </c>
      <c r="Y291" s="32">
        <v>46357</v>
      </c>
      <c r="Z291" s="30" t="s">
        <v>65</v>
      </c>
      <c r="AA291" s="28" t="s">
        <v>66</v>
      </c>
      <c r="AB291" s="28" t="s">
        <v>67</v>
      </c>
      <c r="AC291" s="29"/>
      <c r="AD291" s="28">
        <v>0</v>
      </c>
      <c r="AE291" s="29"/>
      <c r="AF291" s="31"/>
      <c r="AG291" s="30" t="s">
        <v>1579</v>
      </c>
      <c r="AH291" s="28"/>
      <c r="AI291" s="28" t="s">
        <v>53</v>
      </c>
      <c r="AJ291" s="33">
        <v>37714</v>
      </c>
      <c r="AK291" s="28">
        <v>5</v>
      </c>
      <c r="AL291" s="28">
        <v>20</v>
      </c>
      <c r="AM291" s="21"/>
      <c r="AN291" s="27"/>
      <c r="AO291" s="27"/>
      <c r="AP291" s="27"/>
      <c r="AQ291" s="27"/>
    </row>
    <row r="292" spans="1:43" ht="15.75" customHeight="1">
      <c r="A292" s="28">
        <v>100</v>
      </c>
      <c r="B292" s="29" t="s">
        <v>2429</v>
      </c>
      <c r="C292" s="30" t="s">
        <v>2430</v>
      </c>
      <c r="D292" s="31" t="s">
        <v>2431</v>
      </c>
      <c r="E292" s="30" t="s">
        <v>72</v>
      </c>
      <c r="F292" s="30" t="s">
        <v>50</v>
      </c>
      <c r="G292" s="30" t="s">
        <v>51</v>
      </c>
      <c r="H292" s="28" t="s">
        <v>52</v>
      </c>
      <c r="I292" s="30"/>
      <c r="J292" s="30" t="s">
        <v>53</v>
      </c>
      <c r="K292" s="30" t="s">
        <v>2432</v>
      </c>
      <c r="L292" s="30" t="s">
        <v>55</v>
      </c>
      <c r="M292" s="30" t="s">
        <v>656</v>
      </c>
      <c r="N292" s="30" t="s">
        <v>2433</v>
      </c>
      <c r="O292" s="30" t="s">
        <v>2434</v>
      </c>
      <c r="P292" s="30" t="s">
        <v>2435</v>
      </c>
      <c r="Q292" s="28"/>
      <c r="R292" s="30" t="s">
        <v>2436</v>
      </c>
      <c r="S292" s="30" t="s">
        <v>53</v>
      </c>
      <c r="T292" s="30"/>
      <c r="U292" s="28" t="s">
        <v>2437</v>
      </c>
      <c r="V292" s="30" t="s">
        <v>63</v>
      </c>
      <c r="W292" s="30" t="s">
        <v>64</v>
      </c>
      <c r="X292" s="32">
        <v>44228</v>
      </c>
      <c r="Y292" s="32">
        <v>45992</v>
      </c>
      <c r="Z292" s="30" t="s">
        <v>65</v>
      </c>
      <c r="AA292" s="28" t="s">
        <v>66</v>
      </c>
      <c r="AB292" s="28" t="s">
        <v>67</v>
      </c>
      <c r="AC292" s="29"/>
      <c r="AD292" s="28">
        <v>0</v>
      </c>
      <c r="AE292" s="29"/>
      <c r="AF292" s="31"/>
      <c r="AG292" s="30" t="s">
        <v>1579</v>
      </c>
      <c r="AH292" s="28"/>
      <c r="AI292" s="28" t="s">
        <v>118</v>
      </c>
      <c r="AJ292" s="33">
        <v>37107</v>
      </c>
      <c r="AK292" s="28">
        <v>6</v>
      </c>
      <c r="AL292" s="28">
        <v>20</v>
      </c>
      <c r="AM292" s="21"/>
      <c r="AN292" s="27"/>
      <c r="AO292" s="27"/>
      <c r="AP292" s="27"/>
      <c r="AQ292" s="27"/>
    </row>
    <row r="293" spans="1:43" ht="15.75" customHeight="1">
      <c r="A293" s="28">
        <v>101</v>
      </c>
      <c r="B293" s="29" t="s">
        <v>2438</v>
      </c>
      <c r="C293" s="30"/>
      <c r="D293" s="31" t="s">
        <v>2439</v>
      </c>
      <c r="E293" s="30" t="s">
        <v>72</v>
      </c>
      <c r="F293" s="30" t="s">
        <v>50</v>
      </c>
      <c r="G293" s="30" t="s">
        <v>51</v>
      </c>
      <c r="H293" s="28" t="s">
        <v>85</v>
      </c>
      <c r="I293" s="30"/>
      <c r="J293" s="30" t="s">
        <v>53</v>
      </c>
      <c r="K293" s="30" t="s">
        <v>2440</v>
      </c>
      <c r="L293" s="30" t="s">
        <v>55</v>
      </c>
      <c r="M293" s="30" t="s">
        <v>1573</v>
      </c>
      <c r="N293" s="30" t="s">
        <v>2441</v>
      </c>
      <c r="O293" s="30" t="s">
        <v>2442</v>
      </c>
      <c r="P293" s="30" t="s">
        <v>2443</v>
      </c>
      <c r="Q293" s="28"/>
      <c r="R293" s="30" t="s">
        <v>2444</v>
      </c>
      <c r="S293" s="30" t="s">
        <v>53</v>
      </c>
      <c r="T293" s="30"/>
      <c r="U293" s="28" t="s">
        <v>2445</v>
      </c>
      <c r="V293" s="30" t="s">
        <v>63</v>
      </c>
      <c r="W293" s="30" t="s">
        <v>64</v>
      </c>
      <c r="X293" s="32">
        <v>44228</v>
      </c>
      <c r="Y293" s="32">
        <v>46296</v>
      </c>
      <c r="Z293" s="30" t="s">
        <v>65</v>
      </c>
      <c r="AA293" s="28" t="s">
        <v>134</v>
      </c>
      <c r="AB293" s="28" t="s">
        <v>67</v>
      </c>
      <c r="AC293" s="29"/>
      <c r="AD293" s="28">
        <v>0</v>
      </c>
      <c r="AE293" s="29"/>
      <c r="AF293" s="31"/>
      <c r="AG293" s="30" t="s">
        <v>1579</v>
      </c>
      <c r="AH293" s="28"/>
      <c r="AI293" s="28" t="s">
        <v>53</v>
      </c>
      <c r="AJ293" s="33">
        <v>37849</v>
      </c>
      <c r="AK293" s="28">
        <v>5</v>
      </c>
      <c r="AL293" s="28">
        <v>20</v>
      </c>
      <c r="AM293" s="21"/>
      <c r="AN293" s="27"/>
      <c r="AO293" s="27"/>
      <c r="AP293" s="27"/>
      <c r="AQ293" s="27"/>
    </row>
    <row r="294" spans="1:43" ht="15.75" customHeight="1">
      <c r="A294" s="28">
        <v>102</v>
      </c>
      <c r="B294" s="29" t="s">
        <v>2446</v>
      </c>
      <c r="C294" s="30"/>
      <c r="D294" s="31" t="s">
        <v>2447</v>
      </c>
      <c r="E294" s="30" t="s">
        <v>49</v>
      </c>
      <c r="F294" s="30" t="s">
        <v>50</v>
      </c>
      <c r="G294" s="30" t="s">
        <v>51</v>
      </c>
      <c r="H294" s="28" t="s">
        <v>52</v>
      </c>
      <c r="I294" s="30"/>
      <c r="J294" s="30" t="s">
        <v>53</v>
      </c>
      <c r="K294" s="30" t="s">
        <v>2448</v>
      </c>
      <c r="L294" s="30" t="s">
        <v>55</v>
      </c>
      <c r="M294" s="30" t="s">
        <v>2449</v>
      </c>
      <c r="N294" s="30" t="s">
        <v>2450</v>
      </c>
      <c r="O294" s="30" t="s">
        <v>2451</v>
      </c>
      <c r="P294" s="30" t="s">
        <v>2452</v>
      </c>
      <c r="Q294" s="28" t="s">
        <v>2453</v>
      </c>
      <c r="R294" s="30" t="s">
        <v>2454</v>
      </c>
      <c r="S294" s="30" t="s">
        <v>53</v>
      </c>
      <c r="T294" s="30"/>
      <c r="U294" s="28" t="s">
        <v>2455</v>
      </c>
      <c r="V294" s="30" t="s">
        <v>63</v>
      </c>
      <c r="W294" s="30" t="s">
        <v>64</v>
      </c>
      <c r="X294" s="32">
        <v>43862</v>
      </c>
      <c r="Y294" s="32">
        <v>45627</v>
      </c>
      <c r="Z294" s="30" t="s">
        <v>65</v>
      </c>
      <c r="AA294" s="28" t="s">
        <v>134</v>
      </c>
      <c r="AB294" s="28" t="s">
        <v>67</v>
      </c>
      <c r="AC294" s="29"/>
      <c r="AD294" s="28">
        <v>0</v>
      </c>
      <c r="AE294" s="29"/>
      <c r="AF294" s="31"/>
      <c r="AG294" s="30" t="s">
        <v>1579</v>
      </c>
      <c r="AH294" s="28"/>
      <c r="AI294" s="28" t="s">
        <v>118</v>
      </c>
      <c r="AJ294" s="33">
        <v>37290</v>
      </c>
      <c r="AK294" s="28">
        <v>8</v>
      </c>
      <c r="AL294" s="28">
        <v>19</v>
      </c>
      <c r="AM294" s="21"/>
      <c r="AN294" s="27"/>
      <c r="AO294" s="27"/>
      <c r="AP294" s="27"/>
      <c r="AQ294" s="27"/>
    </row>
    <row r="295" spans="1:43" ht="15.75" customHeight="1">
      <c r="A295" s="28">
        <v>103</v>
      </c>
      <c r="B295" s="29" t="s">
        <v>2456</v>
      </c>
      <c r="C295" s="30" t="s">
        <v>2457</v>
      </c>
      <c r="D295" s="31" t="s">
        <v>2458</v>
      </c>
      <c r="E295" s="30" t="s">
        <v>72</v>
      </c>
      <c r="F295" s="30" t="s">
        <v>50</v>
      </c>
      <c r="G295" s="30" t="s">
        <v>51</v>
      </c>
      <c r="H295" s="28" t="s">
        <v>191</v>
      </c>
      <c r="I295" s="30"/>
      <c r="J295" s="30" t="s">
        <v>53</v>
      </c>
      <c r="K295" s="30" t="s">
        <v>2459</v>
      </c>
      <c r="L295" s="30" t="s">
        <v>55</v>
      </c>
      <c r="M295" s="30" t="s">
        <v>1573</v>
      </c>
      <c r="N295" s="30" t="s">
        <v>2460</v>
      </c>
      <c r="O295" s="30" t="s">
        <v>1942</v>
      </c>
      <c r="P295" s="30" t="s">
        <v>2461</v>
      </c>
      <c r="Q295" s="28" t="s">
        <v>2462</v>
      </c>
      <c r="R295" s="30" t="s">
        <v>2463</v>
      </c>
      <c r="S295" s="30" t="s">
        <v>53</v>
      </c>
      <c r="T295" s="30"/>
      <c r="U295" s="28" t="s">
        <v>2464</v>
      </c>
      <c r="V295" s="30" t="s">
        <v>63</v>
      </c>
      <c r="W295" s="30" t="s">
        <v>64</v>
      </c>
      <c r="X295" s="32">
        <v>44593</v>
      </c>
      <c r="Y295" s="32">
        <v>46357</v>
      </c>
      <c r="Z295" s="30" t="s">
        <v>65</v>
      </c>
      <c r="AA295" s="28" t="s">
        <v>66</v>
      </c>
      <c r="AB295" s="28" t="s">
        <v>67</v>
      </c>
      <c r="AC295" s="29"/>
      <c r="AD295" s="28">
        <v>0</v>
      </c>
      <c r="AE295" s="29"/>
      <c r="AF295" s="31"/>
      <c r="AG295" s="30" t="s">
        <v>1579</v>
      </c>
      <c r="AH295" s="28" t="s">
        <v>431</v>
      </c>
      <c r="AI295" s="28" t="s">
        <v>53</v>
      </c>
      <c r="AJ295" s="33">
        <v>37769</v>
      </c>
      <c r="AK295" s="28">
        <v>5</v>
      </c>
      <c r="AL295" s="28">
        <v>19</v>
      </c>
      <c r="AM295" s="21"/>
      <c r="AN295" s="27"/>
      <c r="AO295" s="27"/>
      <c r="AP295" s="27"/>
      <c r="AQ295" s="27"/>
    </row>
    <row r="296" spans="1:43" ht="15.75" customHeight="1">
      <c r="A296" s="28">
        <v>104</v>
      </c>
      <c r="B296" s="29" t="s">
        <v>2465</v>
      </c>
      <c r="C296" s="30"/>
      <c r="D296" s="31" t="s">
        <v>2466</v>
      </c>
      <c r="E296" s="30" t="s">
        <v>72</v>
      </c>
      <c r="F296" s="30" t="s">
        <v>50</v>
      </c>
      <c r="G296" s="30" t="s">
        <v>51</v>
      </c>
      <c r="H296" s="28" t="s">
        <v>52</v>
      </c>
      <c r="I296" s="30"/>
      <c r="J296" s="30" t="s">
        <v>53</v>
      </c>
      <c r="K296" s="30" t="s">
        <v>1743</v>
      </c>
      <c r="L296" s="30" t="s">
        <v>55</v>
      </c>
      <c r="M296" s="30" t="s">
        <v>1573</v>
      </c>
      <c r="N296" s="30" t="s">
        <v>2467</v>
      </c>
      <c r="O296" s="30" t="s">
        <v>95</v>
      </c>
      <c r="P296" s="30" t="s">
        <v>2468</v>
      </c>
      <c r="Q296" s="28"/>
      <c r="R296" s="30" t="s">
        <v>2469</v>
      </c>
      <c r="S296" s="30" t="s">
        <v>53</v>
      </c>
      <c r="T296" s="30"/>
      <c r="U296" s="28" t="s">
        <v>2470</v>
      </c>
      <c r="V296" s="30" t="s">
        <v>63</v>
      </c>
      <c r="W296" s="30" t="s">
        <v>64</v>
      </c>
      <c r="X296" s="32">
        <v>44197</v>
      </c>
      <c r="Y296" s="32">
        <v>45992</v>
      </c>
      <c r="Z296" s="30" t="s">
        <v>65</v>
      </c>
      <c r="AA296" s="28" t="s">
        <v>66</v>
      </c>
      <c r="AB296" s="28" t="s">
        <v>67</v>
      </c>
      <c r="AC296" s="29"/>
      <c r="AD296" s="28">
        <v>0</v>
      </c>
      <c r="AE296" s="29"/>
      <c r="AF296" s="31"/>
      <c r="AG296" s="30" t="s">
        <v>1579</v>
      </c>
      <c r="AH296" s="28"/>
      <c r="AI296" s="28" t="s">
        <v>53</v>
      </c>
      <c r="AJ296" s="33">
        <v>37347</v>
      </c>
      <c r="AK296" s="28">
        <v>6</v>
      </c>
      <c r="AL296" s="28">
        <v>19</v>
      </c>
      <c r="AM296" s="21"/>
      <c r="AN296" s="27"/>
      <c r="AO296" s="27"/>
      <c r="AP296" s="27"/>
      <c r="AQ296" s="27"/>
    </row>
    <row r="297" spans="1:43" ht="15.75" customHeight="1">
      <c r="A297" s="28">
        <v>105</v>
      </c>
      <c r="B297" s="29" t="s">
        <v>2471</v>
      </c>
      <c r="C297" s="30" t="s">
        <v>2472</v>
      </c>
      <c r="D297" s="31" t="s">
        <v>2473</v>
      </c>
      <c r="E297" s="30" t="s">
        <v>72</v>
      </c>
      <c r="F297" s="30" t="s">
        <v>50</v>
      </c>
      <c r="G297" s="30" t="s">
        <v>51</v>
      </c>
      <c r="H297" s="28" t="s">
        <v>52</v>
      </c>
      <c r="I297" s="30"/>
      <c r="J297" s="30" t="s">
        <v>53</v>
      </c>
      <c r="K297" s="30" t="s">
        <v>2474</v>
      </c>
      <c r="L297" s="30" t="s">
        <v>55</v>
      </c>
      <c r="M297" s="30" t="s">
        <v>1573</v>
      </c>
      <c r="N297" s="30" t="s">
        <v>2475</v>
      </c>
      <c r="O297" s="30" t="s">
        <v>1585</v>
      </c>
      <c r="P297" s="30" t="s">
        <v>2476</v>
      </c>
      <c r="Q297" s="28"/>
      <c r="R297" s="30" t="s">
        <v>2477</v>
      </c>
      <c r="S297" s="30" t="s">
        <v>53</v>
      </c>
      <c r="T297" s="30"/>
      <c r="U297" s="28" t="s">
        <v>1898</v>
      </c>
      <c r="V297" s="30" t="s">
        <v>63</v>
      </c>
      <c r="W297" s="30" t="s">
        <v>64</v>
      </c>
      <c r="X297" s="32">
        <v>43862</v>
      </c>
      <c r="Y297" s="32">
        <v>45627</v>
      </c>
      <c r="Z297" s="30" t="s">
        <v>65</v>
      </c>
      <c r="AA297" s="28" t="s">
        <v>66</v>
      </c>
      <c r="AB297" s="28" t="s">
        <v>67</v>
      </c>
      <c r="AC297" s="29"/>
      <c r="AD297" s="28">
        <v>0</v>
      </c>
      <c r="AE297" s="29"/>
      <c r="AF297" s="31"/>
      <c r="AG297" s="30" t="s">
        <v>1579</v>
      </c>
      <c r="AH297" s="28"/>
      <c r="AI297" s="28" t="s">
        <v>53</v>
      </c>
      <c r="AJ297" s="33">
        <v>37357</v>
      </c>
      <c r="AK297" s="28">
        <v>8</v>
      </c>
      <c r="AL297" s="28">
        <v>19</v>
      </c>
      <c r="AM297" s="21"/>
      <c r="AN297" s="27"/>
      <c r="AO297" s="27"/>
      <c r="AP297" s="27"/>
      <c r="AQ297" s="27"/>
    </row>
    <row r="298" spans="1:43" ht="15.75" customHeight="1">
      <c r="A298" s="28">
        <v>106</v>
      </c>
      <c r="B298" s="29" t="s">
        <v>2478</v>
      </c>
      <c r="C298" s="30" t="s">
        <v>2479</v>
      </c>
      <c r="D298" s="31" t="s">
        <v>2480</v>
      </c>
      <c r="E298" s="30" t="s">
        <v>49</v>
      </c>
      <c r="F298" s="30" t="s">
        <v>50</v>
      </c>
      <c r="G298" s="30" t="s">
        <v>51</v>
      </c>
      <c r="H298" s="28" t="s">
        <v>85</v>
      </c>
      <c r="I298" s="30"/>
      <c r="J298" s="30" t="s">
        <v>53</v>
      </c>
      <c r="K298" s="30" t="s">
        <v>2481</v>
      </c>
      <c r="L298" s="30" t="s">
        <v>55</v>
      </c>
      <c r="M298" s="30" t="s">
        <v>1573</v>
      </c>
      <c r="N298" s="30" t="s">
        <v>2482</v>
      </c>
      <c r="O298" s="30" t="s">
        <v>2263</v>
      </c>
      <c r="P298" s="30" t="s">
        <v>2483</v>
      </c>
      <c r="Q298" s="28" t="s">
        <v>2484</v>
      </c>
      <c r="R298" s="30" t="s">
        <v>2485</v>
      </c>
      <c r="S298" s="30" t="s">
        <v>53</v>
      </c>
      <c r="T298" s="30"/>
      <c r="U298" s="28" t="s">
        <v>1615</v>
      </c>
      <c r="V298" s="30" t="s">
        <v>63</v>
      </c>
      <c r="W298" s="30" t="s">
        <v>64</v>
      </c>
      <c r="X298" s="32">
        <v>44593</v>
      </c>
      <c r="Y298" s="32">
        <v>46357</v>
      </c>
      <c r="Z298" s="30" t="s">
        <v>65</v>
      </c>
      <c r="AA298" s="28" t="s">
        <v>134</v>
      </c>
      <c r="AB298" s="28" t="s">
        <v>67</v>
      </c>
      <c r="AC298" s="29"/>
      <c r="AD298" s="28">
        <v>0</v>
      </c>
      <c r="AE298" s="29"/>
      <c r="AF298" s="31"/>
      <c r="AG298" s="30" t="s">
        <v>1579</v>
      </c>
      <c r="AH298" s="28"/>
      <c r="AI298" s="28" t="s">
        <v>53</v>
      </c>
      <c r="AJ298" s="33">
        <v>37744</v>
      </c>
      <c r="AK298" s="28">
        <v>5</v>
      </c>
      <c r="AL298" s="28">
        <v>19</v>
      </c>
      <c r="AM298" s="21"/>
      <c r="AN298" s="27"/>
      <c r="AO298" s="27"/>
      <c r="AP298" s="27"/>
      <c r="AQ298" s="27"/>
    </row>
    <row r="299" spans="1:43" ht="15.75" customHeight="1">
      <c r="A299" s="28">
        <v>107</v>
      </c>
      <c r="B299" s="29" t="s">
        <v>2486</v>
      </c>
      <c r="C299" s="30" t="s">
        <v>2487</v>
      </c>
      <c r="D299" s="31" t="s">
        <v>2488</v>
      </c>
      <c r="E299" s="30" t="s">
        <v>72</v>
      </c>
      <c r="F299" s="30" t="s">
        <v>84</v>
      </c>
      <c r="G299" s="30" t="s">
        <v>51</v>
      </c>
      <c r="H299" s="28" t="s">
        <v>52</v>
      </c>
      <c r="I299" s="30"/>
      <c r="J299" s="30" t="s">
        <v>53</v>
      </c>
      <c r="K299" s="30" t="s">
        <v>2489</v>
      </c>
      <c r="L299" s="30" t="s">
        <v>55</v>
      </c>
      <c r="M299" s="30" t="s">
        <v>1573</v>
      </c>
      <c r="N299" s="30" t="s">
        <v>2490</v>
      </c>
      <c r="O299" s="30" t="s">
        <v>1894</v>
      </c>
      <c r="P299" s="30" t="s">
        <v>2491</v>
      </c>
      <c r="Q299" s="28" t="s">
        <v>2492</v>
      </c>
      <c r="R299" s="30" t="s">
        <v>2493</v>
      </c>
      <c r="S299" s="30" t="s">
        <v>53</v>
      </c>
      <c r="T299" s="30"/>
      <c r="U299" s="28" t="s">
        <v>2494</v>
      </c>
      <c r="V299" s="30" t="s">
        <v>63</v>
      </c>
      <c r="W299" s="30" t="s">
        <v>64</v>
      </c>
      <c r="X299" s="32">
        <v>44044</v>
      </c>
      <c r="Y299" s="32">
        <v>45809</v>
      </c>
      <c r="Z299" s="30" t="s">
        <v>65</v>
      </c>
      <c r="AA299" s="28" t="s">
        <v>66</v>
      </c>
      <c r="AB299" s="28" t="s">
        <v>67</v>
      </c>
      <c r="AC299" s="29"/>
      <c r="AD299" s="28">
        <v>0</v>
      </c>
      <c r="AE299" s="29"/>
      <c r="AF299" s="31"/>
      <c r="AG299" s="30" t="s">
        <v>1579</v>
      </c>
      <c r="AH299" s="28"/>
      <c r="AI299" s="28" t="s">
        <v>53</v>
      </c>
      <c r="AJ299" s="33">
        <v>31128</v>
      </c>
      <c r="AK299" s="28">
        <v>7</v>
      </c>
      <c r="AL299" s="28">
        <v>19</v>
      </c>
      <c r="AM299" s="21"/>
      <c r="AN299" s="27"/>
      <c r="AO299" s="27"/>
      <c r="AP299" s="27"/>
      <c r="AQ299" s="27"/>
    </row>
    <row r="300" spans="1:43" ht="15.75" customHeight="1">
      <c r="A300" s="28">
        <v>108</v>
      </c>
      <c r="B300" s="29" t="s">
        <v>2495</v>
      </c>
      <c r="C300" s="30"/>
      <c r="D300" s="31" t="s">
        <v>2496</v>
      </c>
      <c r="E300" s="30" t="s">
        <v>49</v>
      </c>
      <c r="F300" s="30" t="s">
        <v>50</v>
      </c>
      <c r="G300" s="30" t="s">
        <v>51</v>
      </c>
      <c r="H300" s="28" t="s">
        <v>85</v>
      </c>
      <c r="I300" s="30"/>
      <c r="J300" s="30" t="s">
        <v>53</v>
      </c>
      <c r="K300" s="30" t="s">
        <v>2101</v>
      </c>
      <c r="L300" s="30" t="s">
        <v>55</v>
      </c>
      <c r="M300" s="30" t="s">
        <v>656</v>
      </c>
      <c r="N300" s="30" t="s">
        <v>2497</v>
      </c>
      <c r="O300" s="30" t="s">
        <v>1776</v>
      </c>
      <c r="P300" s="30" t="s">
        <v>2498</v>
      </c>
      <c r="Q300" s="28"/>
      <c r="R300" s="30" t="s">
        <v>2499</v>
      </c>
      <c r="S300" s="30" t="s">
        <v>53</v>
      </c>
      <c r="T300" s="30"/>
      <c r="U300" s="28" t="s">
        <v>1898</v>
      </c>
      <c r="V300" s="30" t="s">
        <v>63</v>
      </c>
      <c r="W300" s="30" t="s">
        <v>64</v>
      </c>
      <c r="X300" s="32">
        <v>44409</v>
      </c>
      <c r="Y300" s="32">
        <v>46174</v>
      </c>
      <c r="Z300" s="30" t="s">
        <v>65</v>
      </c>
      <c r="AA300" s="28" t="s">
        <v>134</v>
      </c>
      <c r="AB300" s="28" t="s">
        <v>67</v>
      </c>
      <c r="AC300" s="29"/>
      <c r="AD300" s="28">
        <v>0</v>
      </c>
      <c r="AE300" s="29"/>
      <c r="AF300" s="31"/>
      <c r="AG300" s="30" t="s">
        <v>1579</v>
      </c>
      <c r="AH300" s="28"/>
      <c r="AI300" s="28" t="s">
        <v>53</v>
      </c>
      <c r="AJ300" s="33">
        <v>37715</v>
      </c>
      <c r="AK300" s="28">
        <v>5</v>
      </c>
      <c r="AL300" s="28">
        <v>19</v>
      </c>
      <c r="AM300" s="21"/>
      <c r="AN300" s="27"/>
      <c r="AO300" s="27"/>
      <c r="AP300" s="27"/>
      <c r="AQ300" s="27"/>
    </row>
    <row r="301" spans="1:43" ht="15.75" customHeight="1">
      <c r="A301" s="28">
        <v>109</v>
      </c>
      <c r="B301" s="29" t="s">
        <v>2500</v>
      </c>
      <c r="C301" s="30" t="s">
        <v>2501</v>
      </c>
      <c r="D301" s="31" t="s">
        <v>2502</v>
      </c>
      <c r="E301" s="30" t="s">
        <v>49</v>
      </c>
      <c r="F301" s="30" t="s">
        <v>50</v>
      </c>
      <c r="G301" s="30" t="s">
        <v>51</v>
      </c>
      <c r="H301" s="28" t="s">
        <v>85</v>
      </c>
      <c r="I301" s="30"/>
      <c r="J301" s="30" t="s">
        <v>53</v>
      </c>
      <c r="K301" s="30" t="s">
        <v>2503</v>
      </c>
      <c r="L301" s="30" t="s">
        <v>55</v>
      </c>
      <c r="M301" s="30" t="s">
        <v>1573</v>
      </c>
      <c r="N301" s="30" t="s">
        <v>2504</v>
      </c>
      <c r="O301" s="30" t="s">
        <v>1776</v>
      </c>
      <c r="P301" s="30" t="s">
        <v>2505</v>
      </c>
      <c r="Q301" s="28"/>
      <c r="R301" s="30" t="s">
        <v>2506</v>
      </c>
      <c r="S301" s="30" t="s">
        <v>53</v>
      </c>
      <c r="T301" s="30"/>
      <c r="U301" s="28" t="s">
        <v>1756</v>
      </c>
      <c r="V301" s="30" t="s">
        <v>63</v>
      </c>
      <c r="W301" s="30" t="s">
        <v>64</v>
      </c>
      <c r="X301" s="32">
        <v>44228</v>
      </c>
      <c r="Y301" s="32">
        <v>45992</v>
      </c>
      <c r="Z301" s="30" t="s">
        <v>65</v>
      </c>
      <c r="AA301" s="28" t="s">
        <v>134</v>
      </c>
      <c r="AB301" s="28" t="s">
        <v>67</v>
      </c>
      <c r="AC301" s="29"/>
      <c r="AD301" s="28">
        <v>0</v>
      </c>
      <c r="AE301" s="29"/>
      <c r="AF301" s="31"/>
      <c r="AG301" s="30" t="s">
        <v>1579</v>
      </c>
      <c r="AH301" s="28"/>
      <c r="AI301" s="28" t="s">
        <v>53</v>
      </c>
      <c r="AJ301" s="33">
        <v>37492</v>
      </c>
      <c r="AK301" s="28">
        <v>6</v>
      </c>
      <c r="AL301" s="28">
        <v>19</v>
      </c>
      <c r="AM301" s="21"/>
      <c r="AN301" s="27"/>
      <c r="AO301" s="27"/>
      <c r="AP301" s="27"/>
      <c r="AQ301" s="27"/>
    </row>
    <row r="302" spans="1:43" ht="15.75" customHeight="1">
      <c r="A302" s="28">
        <v>110</v>
      </c>
      <c r="B302" s="29" t="s">
        <v>2507</v>
      </c>
      <c r="C302" s="30"/>
      <c r="D302" s="31" t="s">
        <v>2508</v>
      </c>
      <c r="E302" s="30" t="s">
        <v>72</v>
      </c>
      <c r="F302" s="30" t="s">
        <v>50</v>
      </c>
      <c r="G302" s="30" t="s">
        <v>51</v>
      </c>
      <c r="H302" s="28" t="s">
        <v>85</v>
      </c>
      <c r="I302" s="30"/>
      <c r="J302" s="30" t="s">
        <v>53</v>
      </c>
      <c r="K302" s="30" t="s">
        <v>2509</v>
      </c>
      <c r="L302" s="30" t="s">
        <v>55</v>
      </c>
      <c r="M302" s="30" t="s">
        <v>656</v>
      </c>
      <c r="N302" s="30" t="s">
        <v>2510</v>
      </c>
      <c r="O302" s="30" t="s">
        <v>1575</v>
      </c>
      <c r="P302" s="30" t="s">
        <v>2511</v>
      </c>
      <c r="Q302" s="28"/>
      <c r="R302" s="30" t="s">
        <v>2512</v>
      </c>
      <c r="S302" s="30" t="s">
        <v>53</v>
      </c>
      <c r="T302" s="30"/>
      <c r="U302" s="28" t="s">
        <v>2513</v>
      </c>
      <c r="V302" s="30" t="s">
        <v>63</v>
      </c>
      <c r="W302" s="30" t="s">
        <v>64</v>
      </c>
      <c r="X302" s="32">
        <v>43922</v>
      </c>
      <c r="Y302" s="32">
        <v>45748</v>
      </c>
      <c r="Z302" s="30" t="s">
        <v>65</v>
      </c>
      <c r="AA302" s="28" t="s">
        <v>134</v>
      </c>
      <c r="AB302" s="28" t="s">
        <v>67</v>
      </c>
      <c r="AC302" s="29"/>
      <c r="AD302" s="28">
        <v>0</v>
      </c>
      <c r="AE302" s="29"/>
      <c r="AF302" s="31"/>
      <c r="AG302" s="30" t="s">
        <v>1579</v>
      </c>
      <c r="AH302" s="28"/>
      <c r="AI302" s="28" t="s">
        <v>53</v>
      </c>
      <c r="AJ302" s="33">
        <v>37677</v>
      </c>
      <c r="AK302" s="28">
        <v>6</v>
      </c>
      <c r="AL302" s="28">
        <v>19</v>
      </c>
      <c r="AM302" s="21"/>
      <c r="AN302" s="27"/>
      <c r="AO302" s="27"/>
      <c r="AP302" s="27"/>
      <c r="AQ302" s="27"/>
    </row>
    <row r="303" spans="1:43" ht="15.75" customHeight="1">
      <c r="A303" s="28">
        <v>111</v>
      </c>
      <c r="B303" s="29" t="s">
        <v>2514</v>
      </c>
      <c r="C303" s="30" t="s">
        <v>2515</v>
      </c>
      <c r="D303" s="31" t="s">
        <v>2516</v>
      </c>
      <c r="E303" s="30" t="s">
        <v>49</v>
      </c>
      <c r="F303" s="30" t="s">
        <v>50</v>
      </c>
      <c r="G303" s="30" t="s">
        <v>51</v>
      </c>
      <c r="H303" s="28" t="s">
        <v>52</v>
      </c>
      <c r="I303" s="30"/>
      <c r="J303" s="30" t="s">
        <v>53</v>
      </c>
      <c r="K303" s="30" t="s">
        <v>2517</v>
      </c>
      <c r="L303" s="30" t="s">
        <v>795</v>
      </c>
      <c r="M303" s="30" t="s">
        <v>2518</v>
      </c>
      <c r="N303" s="30" t="s">
        <v>2519</v>
      </c>
      <c r="O303" s="30" t="s">
        <v>2520</v>
      </c>
      <c r="P303" s="30" t="s">
        <v>2521</v>
      </c>
      <c r="Q303" s="28"/>
      <c r="R303" s="30" t="s">
        <v>2522</v>
      </c>
      <c r="S303" s="30" t="s">
        <v>53</v>
      </c>
      <c r="T303" s="30"/>
      <c r="U303" s="28" t="s">
        <v>2523</v>
      </c>
      <c r="V303" s="30" t="s">
        <v>63</v>
      </c>
      <c r="W303" s="30" t="s">
        <v>64</v>
      </c>
      <c r="X303" s="32">
        <v>43497</v>
      </c>
      <c r="Y303" s="32">
        <v>45627</v>
      </c>
      <c r="Z303" s="30" t="s">
        <v>65</v>
      </c>
      <c r="AA303" s="28" t="s">
        <v>246</v>
      </c>
      <c r="AB303" s="28" t="s">
        <v>67</v>
      </c>
      <c r="AC303" s="29"/>
      <c r="AD303" s="28">
        <v>0</v>
      </c>
      <c r="AE303" s="29"/>
      <c r="AF303" s="31"/>
      <c r="AG303" s="30" t="s">
        <v>1579</v>
      </c>
      <c r="AH303" s="28"/>
      <c r="AI303" s="28" t="s">
        <v>53</v>
      </c>
      <c r="AJ303" s="33">
        <v>36759</v>
      </c>
      <c r="AK303" s="28">
        <v>8</v>
      </c>
      <c r="AL303" s="28">
        <v>19</v>
      </c>
      <c r="AM303" s="21"/>
      <c r="AN303" s="27"/>
      <c r="AO303" s="27"/>
      <c r="AP303" s="27"/>
      <c r="AQ303" s="27"/>
    </row>
    <row r="304" spans="1:43" ht="15.75" customHeight="1">
      <c r="A304" s="28">
        <v>112</v>
      </c>
      <c r="B304" s="29" t="s">
        <v>2524</v>
      </c>
      <c r="C304" s="30" t="s">
        <v>2525</v>
      </c>
      <c r="D304" s="31" t="s">
        <v>2526</v>
      </c>
      <c r="E304" s="30" t="s">
        <v>72</v>
      </c>
      <c r="F304" s="30" t="s">
        <v>50</v>
      </c>
      <c r="G304" s="30" t="s">
        <v>51</v>
      </c>
      <c r="H304" s="28" t="s">
        <v>85</v>
      </c>
      <c r="I304" s="30"/>
      <c r="J304" s="30" t="s">
        <v>53</v>
      </c>
      <c r="K304" s="30" t="s">
        <v>2527</v>
      </c>
      <c r="L304" s="30" t="s">
        <v>55</v>
      </c>
      <c r="M304" s="30" t="s">
        <v>1573</v>
      </c>
      <c r="N304" s="30" t="s">
        <v>2528</v>
      </c>
      <c r="O304" s="30" t="s">
        <v>1679</v>
      </c>
      <c r="P304" s="30" t="s">
        <v>2529</v>
      </c>
      <c r="Q304" s="28"/>
      <c r="R304" s="30" t="s">
        <v>2530</v>
      </c>
      <c r="S304" s="30" t="s">
        <v>53</v>
      </c>
      <c r="T304" s="30"/>
      <c r="U304" s="28" t="s">
        <v>2531</v>
      </c>
      <c r="V304" s="30" t="s">
        <v>63</v>
      </c>
      <c r="W304" s="30" t="s">
        <v>64</v>
      </c>
      <c r="X304" s="32">
        <v>44044</v>
      </c>
      <c r="Y304" s="32">
        <v>45809</v>
      </c>
      <c r="Z304" s="30" t="s">
        <v>65</v>
      </c>
      <c r="AA304" s="28" t="s">
        <v>66</v>
      </c>
      <c r="AB304" s="28" t="s">
        <v>67</v>
      </c>
      <c r="AC304" s="29"/>
      <c r="AD304" s="28">
        <v>0</v>
      </c>
      <c r="AE304" s="29"/>
      <c r="AF304" s="31"/>
      <c r="AG304" s="30" t="s">
        <v>1579</v>
      </c>
      <c r="AH304" s="28"/>
      <c r="AI304" s="28" t="s">
        <v>53</v>
      </c>
      <c r="AJ304" s="33">
        <v>36472</v>
      </c>
      <c r="AK304" s="28">
        <v>7</v>
      </c>
      <c r="AL304" s="28">
        <v>19</v>
      </c>
      <c r="AM304" s="21"/>
      <c r="AN304" s="27"/>
      <c r="AO304" s="27"/>
      <c r="AP304" s="27"/>
      <c r="AQ304" s="27"/>
    </row>
    <row r="305" spans="1:43" ht="15.75" customHeight="1">
      <c r="A305" s="28">
        <v>113</v>
      </c>
      <c r="B305" s="29" t="s">
        <v>2532</v>
      </c>
      <c r="C305" s="30" t="s">
        <v>2533</v>
      </c>
      <c r="D305" s="31" t="s">
        <v>2534</v>
      </c>
      <c r="E305" s="30" t="s">
        <v>72</v>
      </c>
      <c r="F305" s="30" t="s">
        <v>50</v>
      </c>
      <c r="G305" s="30" t="s">
        <v>51</v>
      </c>
      <c r="H305" s="28" t="s">
        <v>52</v>
      </c>
      <c r="I305" s="30"/>
      <c r="J305" s="30" t="s">
        <v>53</v>
      </c>
      <c r="K305" s="30" t="s">
        <v>2535</v>
      </c>
      <c r="L305" s="30" t="s">
        <v>55</v>
      </c>
      <c r="M305" s="30" t="s">
        <v>1573</v>
      </c>
      <c r="N305" s="30" t="s">
        <v>2536</v>
      </c>
      <c r="O305" s="30" t="s">
        <v>2537</v>
      </c>
      <c r="P305" s="30" t="s">
        <v>2538</v>
      </c>
      <c r="Q305" s="28"/>
      <c r="R305" s="30" t="s">
        <v>2539</v>
      </c>
      <c r="S305" s="30" t="s">
        <v>53</v>
      </c>
      <c r="T305" s="30"/>
      <c r="U305" s="28" t="s">
        <v>2540</v>
      </c>
      <c r="V305" s="30" t="s">
        <v>63</v>
      </c>
      <c r="W305" s="30" t="s">
        <v>64</v>
      </c>
      <c r="X305" s="32">
        <v>43862</v>
      </c>
      <c r="Y305" s="32">
        <v>45627</v>
      </c>
      <c r="Z305" s="30" t="s">
        <v>65</v>
      </c>
      <c r="AA305" s="28" t="s">
        <v>134</v>
      </c>
      <c r="AB305" s="28" t="s">
        <v>67</v>
      </c>
      <c r="AC305" s="29"/>
      <c r="AD305" s="28">
        <v>0</v>
      </c>
      <c r="AE305" s="29"/>
      <c r="AF305" s="31"/>
      <c r="AG305" s="30" t="s">
        <v>1579</v>
      </c>
      <c r="AH305" s="28"/>
      <c r="AI305" s="28" t="s">
        <v>118</v>
      </c>
      <c r="AJ305" s="33">
        <v>36515</v>
      </c>
      <c r="AK305" s="28">
        <v>6</v>
      </c>
      <c r="AL305" s="28">
        <v>19</v>
      </c>
      <c r="AM305" s="21"/>
      <c r="AN305" s="27"/>
      <c r="AO305" s="27"/>
      <c r="AP305" s="27"/>
      <c r="AQ305" s="27"/>
    </row>
    <row r="306" spans="1:43" ht="15.75" customHeight="1">
      <c r="A306" s="28">
        <v>114</v>
      </c>
      <c r="B306" s="29" t="s">
        <v>2541</v>
      </c>
      <c r="C306" s="30" t="s">
        <v>2542</v>
      </c>
      <c r="D306" s="31" t="s">
        <v>2543</v>
      </c>
      <c r="E306" s="30" t="s">
        <v>49</v>
      </c>
      <c r="F306" s="30" t="s">
        <v>84</v>
      </c>
      <c r="G306" s="30" t="s">
        <v>51</v>
      </c>
      <c r="H306" s="28" t="s">
        <v>52</v>
      </c>
      <c r="I306" s="30"/>
      <c r="J306" s="30" t="s">
        <v>53</v>
      </c>
      <c r="K306" s="30" t="s">
        <v>2544</v>
      </c>
      <c r="L306" s="30" t="s">
        <v>55</v>
      </c>
      <c r="M306" s="30" t="s">
        <v>656</v>
      </c>
      <c r="N306" s="30" t="s">
        <v>2545</v>
      </c>
      <c r="O306" s="30" t="s">
        <v>2546</v>
      </c>
      <c r="P306" s="30" t="s">
        <v>2547</v>
      </c>
      <c r="Q306" s="28"/>
      <c r="R306" s="30" t="s">
        <v>2548</v>
      </c>
      <c r="S306" s="30" t="s">
        <v>118</v>
      </c>
      <c r="T306" s="30" t="s">
        <v>2549</v>
      </c>
      <c r="U306" s="28" t="s">
        <v>255</v>
      </c>
      <c r="V306" s="30" t="s">
        <v>63</v>
      </c>
      <c r="W306" s="30" t="s">
        <v>64</v>
      </c>
      <c r="X306" s="32">
        <v>43313</v>
      </c>
      <c r="Y306" s="32">
        <v>45870</v>
      </c>
      <c r="Z306" s="30" t="s">
        <v>65</v>
      </c>
      <c r="AA306" s="28" t="s">
        <v>134</v>
      </c>
      <c r="AB306" s="28" t="s">
        <v>67</v>
      </c>
      <c r="AC306" s="29"/>
      <c r="AD306" s="28">
        <v>0</v>
      </c>
      <c r="AE306" s="29"/>
      <c r="AF306" s="31"/>
      <c r="AG306" s="30" t="s">
        <v>1579</v>
      </c>
      <c r="AH306" s="28" t="s">
        <v>122</v>
      </c>
      <c r="AI306" s="28" t="s">
        <v>53</v>
      </c>
      <c r="AJ306" s="33">
        <v>30594</v>
      </c>
      <c r="AK306" s="28">
        <v>7</v>
      </c>
      <c r="AL306" s="28">
        <v>19</v>
      </c>
      <c r="AM306" s="21"/>
      <c r="AN306" s="27"/>
      <c r="AO306" s="27"/>
      <c r="AP306" s="27"/>
      <c r="AQ306" s="27"/>
    </row>
    <row r="307" spans="1:43" ht="15.75" customHeight="1">
      <c r="A307" s="28">
        <v>115</v>
      </c>
      <c r="B307" s="29" t="s">
        <v>2550</v>
      </c>
      <c r="C307" s="30"/>
      <c r="D307" s="31" t="s">
        <v>2551</v>
      </c>
      <c r="E307" s="30" t="s">
        <v>72</v>
      </c>
      <c r="F307" s="30" t="s">
        <v>50</v>
      </c>
      <c r="G307" s="30" t="s">
        <v>51</v>
      </c>
      <c r="H307" s="28" t="s">
        <v>85</v>
      </c>
      <c r="I307" s="30"/>
      <c r="J307" s="30" t="s">
        <v>53</v>
      </c>
      <c r="K307" s="30" t="s">
        <v>2552</v>
      </c>
      <c r="L307" s="30" t="s">
        <v>55</v>
      </c>
      <c r="M307" s="30" t="s">
        <v>1573</v>
      </c>
      <c r="N307" s="30" t="s">
        <v>2553</v>
      </c>
      <c r="O307" s="30" t="s">
        <v>2554</v>
      </c>
      <c r="P307" s="30" t="s">
        <v>2555</v>
      </c>
      <c r="Q307" s="28" t="s">
        <v>2556</v>
      </c>
      <c r="R307" s="30" t="s">
        <v>2557</v>
      </c>
      <c r="S307" s="30" t="s">
        <v>53</v>
      </c>
      <c r="T307" s="30"/>
      <c r="U307" s="28" t="s">
        <v>2531</v>
      </c>
      <c r="V307" s="30" t="s">
        <v>63</v>
      </c>
      <c r="W307" s="30" t="s">
        <v>64</v>
      </c>
      <c r="X307" s="32">
        <v>44409</v>
      </c>
      <c r="Y307" s="32">
        <v>46174</v>
      </c>
      <c r="Z307" s="30" t="s">
        <v>65</v>
      </c>
      <c r="AA307" s="28" t="s">
        <v>66</v>
      </c>
      <c r="AB307" s="28" t="s">
        <v>67</v>
      </c>
      <c r="AC307" s="29"/>
      <c r="AD307" s="28">
        <v>0</v>
      </c>
      <c r="AE307" s="29"/>
      <c r="AF307" s="31"/>
      <c r="AG307" s="30" t="s">
        <v>1579</v>
      </c>
      <c r="AH307" s="28"/>
      <c r="AI307" s="28" t="s">
        <v>53</v>
      </c>
      <c r="AJ307" s="33">
        <v>37607</v>
      </c>
      <c r="AK307" s="28">
        <v>5</v>
      </c>
      <c r="AL307" s="28">
        <v>19</v>
      </c>
      <c r="AM307" s="21"/>
      <c r="AN307" s="27"/>
      <c r="AO307" s="27"/>
      <c r="AP307" s="27"/>
      <c r="AQ307" s="27"/>
    </row>
    <row r="308" spans="1:43" ht="15.75" customHeight="1">
      <c r="A308" s="28">
        <v>116</v>
      </c>
      <c r="B308" s="29" t="s">
        <v>2558</v>
      </c>
      <c r="C308" s="30"/>
      <c r="D308" s="31" t="s">
        <v>2559</v>
      </c>
      <c r="E308" s="30" t="s">
        <v>49</v>
      </c>
      <c r="F308" s="30" t="s">
        <v>50</v>
      </c>
      <c r="G308" s="30" t="s">
        <v>51</v>
      </c>
      <c r="H308" s="28" t="s">
        <v>52</v>
      </c>
      <c r="I308" s="30"/>
      <c r="J308" s="30" t="s">
        <v>53</v>
      </c>
      <c r="K308" s="30" t="s">
        <v>2560</v>
      </c>
      <c r="L308" s="30" t="s">
        <v>55</v>
      </c>
      <c r="M308" s="30" t="s">
        <v>1573</v>
      </c>
      <c r="N308" s="30" t="s">
        <v>2561</v>
      </c>
      <c r="O308" s="30" t="s">
        <v>95</v>
      </c>
      <c r="P308" s="30" t="s">
        <v>2562</v>
      </c>
      <c r="Q308" s="28"/>
      <c r="R308" s="30" t="s">
        <v>2563</v>
      </c>
      <c r="S308" s="30" t="s">
        <v>53</v>
      </c>
      <c r="T308" s="30"/>
      <c r="U308" s="28" t="s">
        <v>2564</v>
      </c>
      <c r="V308" s="30" t="s">
        <v>63</v>
      </c>
      <c r="W308" s="30" t="s">
        <v>64</v>
      </c>
      <c r="X308" s="32">
        <v>44409</v>
      </c>
      <c r="Y308" s="32">
        <v>46174</v>
      </c>
      <c r="Z308" s="30" t="s">
        <v>65</v>
      </c>
      <c r="AA308" s="28" t="s">
        <v>66</v>
      </c>
      <c r="AB308" s="28" t="s">
        <v>67</v>
      </c>
      <c r="AC308" s="29"/>
      <c r="AD308" s="28">
        <v>0</v>
      </c>
      <c r="AE308" s="29"/>
      <c r="AF308" s="31"/>
      <c r="AG308" s="30" t="s">
        <v>1579</v>
      </c>
      <c r="AH308" s="28"/>
      <c r="AI308" s="28" t="s">
        <v>53</v>
      </c>
      <c r="AJ308" s="33">
        <v>36904</v>
      </c>
      <c r="AK308" s="28">
        <v>5</v>
      </c>
      <c r="AL308" s="28">
        <v>19</v>
      </c>
      <c r="AM308" s="21"/>
      <c r="AN308" s="27"/>
      <c r="AO308" s="27"/>
      <c r="AP308" s="27"/>
      <c r="AQ308" s="27"/>
    </row>
    <row r="309" spans="1:43" ht="15.75" customHeight="1">
      <c r="A309" s="28">
        <v>117</v>
      </c>
      <c r="B309" s="29" t="s">
        <v>2565</v>
      </c>
      <c r="C309" s="30" t="s">
        <v>2566</v>
      </c>
      <c r="D309" s="31" t="s">
        <v>2567</v>
      </c>
      <c r="E309" s="30" t="s">
        <v>72</v>
      </c>
      <c r="F309" s="30" t="s">
        <v>50</v>
      </c>
      <c r="G309" s="30" t="s">
        <v>51</v>
      </c>
      <c r="H309" s="28" t="s">
        <v>52</v>
      </c>
      <c r="I309" s="30"/>
      <c r="J309" s="30" t="s">
        <v>53</v>
      </c>
      <c r="K309" s="30" t="s">
        <v>2568</v>
      </c>
      <c r="L309" s="30" t="s">
        <v>55</v>
      </c>
      <c r="M309" s="30" t="s">
        <v>1573</v>
      </c>
      <c r="N309" s="30" t="s">
        <v>2569</v>
      </c>
      <c r="O309" s="30" t="s">
        <v>2570</v>
      </c>
      <c r="P309" s="30" t="s">
        <v>2571</v>
      </c>
      <c r="Q309" s="28"/>
      <c r="R309" s="30" t="s">
        <v>2572</v>
      </c>
      <c r="S309" s="30" t="s">
        <v>53</v>
      </c>
      <c r="T309" s="30"/>
      <c r="U309" s="28" t="s">
        <v>2369</v>
      </c>
      <c r="V309" s="30" t="s">
        <v>63</v>
      </c>
      <c r="W309" s="30" t="s">
        <v>64</v>
      </c>
      <c r="X309" s="32">
        <v>43862</v>
      </c>
      <c r="Y309" s="32">
        <v>45627</v>
      </c>
      <c r="Z309" s="30" t="s">
        <v>65</v>
      </c>
      <c r="AA309" s="28" t="s">
        <v>134</v>
      </c>
      <c r="AB309" s="28" t="s">
        <v>67</v>
      </c>
      <c r="AC309" s="29"/>
      <c r="AD309" s="28">
        <v>0</v>
      </c>
      <c r="AE309" s="29"/>
      <c r="AF309" s="31"/>
      <c r="AG309" s="30" t="s">
        <v>1579</v>
      </c>
      <c r="AH309" s="28"/>
      <c r="AI309" s="28" t="s">
        <v>53</v>
      </c>
      <c r="AJ309" s="33">
        <v>37462</v>
      </c>
      <c r="AK309" s="28">
        <v>8</v>
      </c>
      <c r="AL309" s="28">
        <v>19</v>
      </c>
      <c r="AM309" s="21"/>
      <c r="AN309" s="27"/>
      <c r="AO309" s="27"/>
      <c r="AP309" s="27"/>
      <c r="AQ309" s="27"/>
    </row>
    <row r="310" spans="1:43" ht="15.75" customHeight="1">
      <c r="A310" s="28">
        <v>118</v>
      </c>
      <c r="B310" s="29" t="s">
        <v>2573</v>
      </c>
      <c r="C310" s="30" t="s">
        <v>2574</v>
      </c>
      <c r="D310" s="31" t="s">
        <v>2575</v>
      </c>
      <c r="E310" s="30" t="s">
        <v>72</v>
      </c>
      <c r="F310" s="30" t="s">
        <v>50</v>
      </c>
      <c r="G310" s="30" t="s">
        <v>51</v>
      </c>
      <c r="H310" s="28" t="s">
        <v>85</v>
      </c>
      <c r="I310" s="30"/>
      <c r="J310" s="30" t="s">
        <v>53</v>
      </c>
      <c r="K310" s="30" t="s">
        <v>2576</v>
      </c>
      <c r="L310" s="30" t="s">
        <v>55</v>
      </c>
      <c r="M310" s="30" t="s">
        <v>1573</v>
      </c>
      <c r="N310" s="30" t="s">
        <v>2577</v>
      </c>
      <c r="O310" s="30" t="s">
        <v>95</v>
      </c>
      <c r="P310" s="30" t="s">
        <v>2578</v>
      </c>
      <c r="Q310" s="28" t="s">
        <v>2579</v>
      </c>
      <c r="R310" s="30" t="s">
        <v>2580</v>
      </c>
      <c r="S310" s="30" t="s">
        <v>53</v>
      </c>
      <c r="T310" s="30"/>
      <c r="U310" s="28" t="s">
        <v>765</v>
      </c>
      <c r="V310" s="30" t="s">
        <v>63</v>
      </c>
      <c r="W310" s="30" t="s">
        <v>64</v>
      </c>
      <c r="X310" s="32">
        <v>43862</v>
      </c>
      <c r="Y310" s="32">
        <v>45627</v>
      </c>
      <c r="Z310" s="30" t="s">
        <v>65</v>
      </c>
      <c r="AA310" s="28" t="s">
        <v>246</v>
      </c>
      <c r="AB310" s="28" t="s">
        <v>67</v>
      </c>
      <c r="AC310" s="29"/>
      <c r="AD310" s="28">
        <v>0</v>
      </c>
      <c r="AE310" s="29"/>
      <c r="AF310" s="31"/>
      <c r="AG310" s="30" t="s">
        <v>1579</v>
      </c>
      <c r="AH310" s="28"/>
      <c r="AI310" s="28" t="s">
        <v>53</v>
      </c>
      <c r="AJ310" s="33">
        <v>37457</v>
      </c>
      <c r="AK310" s="28">
        <v>8</v>
      </c>
      <c r="AL310" s="28">
        <v>19</v>
      </c>
      <c r="AM310" s="21"/>
      <c r="AN310" s="27"/>
      <c r="AO310" s="27"/>
      <c r="AP310" s="27"/>
      <c r="AQ310" s="27"/>
    </row>
    <row r="311" spans="1:43" ht="15.75" customHeight="1">
      <c r="A311" s="28">
        <v>119</v>
      </c>
      <c r="B311" s="29" t="s">
        <v>2581</v>
      </c>
      <c r="C311" s="30" t="s">
        <v>2582</v>
      </c>
      <c r="D311" s="31" t="s">
        <v>2583</v>
      </c>
      <c r="E311" s="30" t="s">
        <v>72</v>
      </c>
      <c r="F311" s="30" t="s">
        <v>50</v>
      </c>
      <c r="G311" s="30" t="s">
        <v>51</v>
      </c>
      <c r="H311" s="28" t="s">
        <v>85</v>
      </c>
      <c r="I311" s="30"/>
      <c r="J311" s="30" t="s">
        <v>53</v>
      </c>
      <c r="K311" s="30" t="s">
        <v>2584</v>
      </c>
      <c r="L311" s="30" t="s">
        <v>55</v>
      </c>
      <c r="M311" s="30" t="s">
        <v>1573</v>
      </c>
      <c r="N311" s="30" t="s">
        <v>2585</v>
      </c>
      <c r="O311" s="30" t="s">
        <v>1055</v>
      </c>
      <c r="P311" s="30" t="s">
        <v>2586</v>
      </c>
      <c r="Q311" s="28"/>
      <c r="R311" s="30" t="s">
        <v>2587</v>
      </c>
      <c r="S311" s="30" t="s">
        <v>53</v>
      </c>
      <c r="T311" s="30"/>
      <c r="U311" s="28" t="s">
        <v>1771</v>
      </c>
      <c r="V311" s="30" t="s">
        <v>63</v>
      </c>
      <c r="W311" s="30" t="s">
        <v>64</v>
      </c>
      <c r="X311" s="32">
        <v>43831</v>
      </c>
      <c r="Y311" s="32">
        <v>45627</v>
      </c>
      <c r="Z311" s="30" t="s">
        <v>65</v>
      </c>
      <c r="AA311" s="28" t="s">
        <v>134</v>
      </c>
      <c r="AB311" s="28" t="s">
        <v>67</v>
      </c>
      <c r="AC311" s="29"/>
      <c r="AD311" s="28">
        <v>0</v>
      </c>
      <c r="AE311" s="29"/>
      <c r="AF311" s="31"/>
      <c r="AG311" s="30" t="s">
        <v>1579</v>
      </c>
      <c r="AH311" s="28"/>
      <c r="AI311" s="28" t="s">
        <v>53</v>
      </c>
      <c r="AJ311" s="33">
        <v>36760</v>
      </c>
      <c r="AK311" s="28">
        <v>8</v>
      </c>
      <c r="AL311" s="28">
        <v>19</v>
      </c>
      <c r="AM311" s="21"/>
      <c r="AN311" s="27"/>
      <c r="AO311" s="27"/>
      <c r="AP311" s="27"/>
      <c r="AQ311" s="27"/>
    </row>
    <row r="312" spans="1:43" ht="15.75" customHeight="1">
      <c r="A312" s="28">
        <v>120</v>
      </c>
      <c r="B312" s="29" t="s">
        <v>2588</v>
      </c>
      <c r="C312" s="30" t="s">
        <v>2589</v>
      </c>
      <c r="D312" s="31" t="s">
        <v>2590</v>
      </c>
      <c r="E312" s="30" t="s">
        <v>72</v>
      </c>
      <c r="F312" s="30" t="s">
        <v>50</v>
      </c>
      <c r="G312" s="30" t="s">
        <v>51</v>
      </c>
      <c r="H312" s="28" t="s">
        <v>85</v>
      </c>
      <c r="I312" s="30"/>
      <c r="J312" s="30" t="s">
        <v>53</v>
      </c>
      <c r="K312" s="30" t="s">
        <v>2591</v>
      </c>
      <c r="L312" s="30" t="s">
        <v>55</v>
      </c>
      <c r="M312" s="30" t="s">
        <v>1573</v>
      </c>
      <c r="N312" s="30" t="s">
        <v>2592</v>
      </c>
      <c r="O312" s="30" t="s">
        <v>95</v>
      </c>
      <c r="P312" s="30" t="s">
        <v>2593</v>
      </c>
      <c r="Q312" s="28" t="s">
        <v>2594</v>
      </c>
      <c r="R312" s="30" t="s">
        <v>2595</v>
      </c>
      <c r="S312" s="30" t="s">
        <v>53</v>
      </c>
      <c r="T312" s="30"/>
      <c r="U312" s="28" t="s">
        <v>765</v>
      </c>
      <c r="V312" s="30" t="s">
        <v>63</v>
      </c>
      <c r="W312" s="30" t="s">
        <v>64</v>
      </c>
      <c r="X312" s="32">
        <v>44593</v>
      </c>
      <c r="Y312" s="32">
        <v>46722</v>
      </c>
      <c r="Z312" s="30" t="s">
        <v>65</v>
      </c>
      <c r="AA312" s="28" t="s">
        <v>134</v>
      </c>
      <c r="AB312" s="28" t="s">
        <v>67</v>
      </c>
      <c r="AC312" s="29"/>
      <c r="AD312" s="28">
        <v>0</v>
      </c>
      <c r="AE312" s="29"/>
      <c r="AF312" s="31"/>
      <c r="AG312" s="30" t="s">
        <v>1579</v>
      </c>
      <c r="AH312" s="28"/>
      <c r="AI312" s="28" t="s">
        <v>53</v>
      </c>
      <c r="AJ312" s="33">
        <v>37754</v>
      </c>
      <c r="AK312" s="28">
        <v>5</v>
      </c>
      <c r="AL312" s="28">
        <v>19</v>
      </c>
      <c r="AM312" s="21"/>
      <c r="AN312" s="27"/>
      <c r="AO312" s="27"/>
      <c r="AP312" s="27"/>
      <c r="AQ312" s="27"/>
    </row>
    <row r="313" spans="1:43" ht="15.75" customHeight="1">
      <c r="A313" s="28">
        <v>121</v>
      </c>
      <c r="B313" s="29" t="s">
        <v>2596</v>
      </c>
      <c r="C313" s="30" t="s">
        <v>2597</v>
      </c>
      <c r="D313" s="31" t="s">
        <v>2598</v>
      </c>
      <c r="E313" s="30" t="s">
        <v>72</v>
      </c>
      <c r="F313" s="30" t="s">
        <v>84</v>
      </c>
      <c r="G313" s="30" t="s">
        <v>51</v>
      </c>
      <c r="H313" s="28" t="s">
        <v>85</v>
      </c>
      <c r="I313" s="30"/>
      <c r="J313" s="30" t="s">
        <v>53</v>
      </c>
      <c r="K313" s="30" t="s">
        <v>2599</v>
      </c>
      <c r="L313" s="30" t="s">
        <v>55</v>
      </c>
      <c r="M313" s="30" t="s">
        <v>656</v>
      </c>
      <c r="N313" s="30" t="s">
        <v>2600</v>
      </c>
      <c r="O313" s="30" t="s">
        <v>780</v>
      </c>
      <c r="P313" s="30" t="s">
        <v>2601</v>
      </c>
      <c r="Q313" s="28"/>
      <c r="R313" s="30" t="s">
        <v>2602</v>
      </c>
      <c r="S313" s="30" t="s">
        <v>53</v>
      </c>
      <c r="T313" s="30"/>
      <c r="U313" s="28" t="s">
        <v>2603</v>
      </c>
      <c r="V313" s="30" t="s">
        <v>63</v>
      </c>
      <c r="W313" s="30" t="s">
        <v>64</v>
      </c>
      <c r="X313" s="32">
        <v>43862</v>
      </c>
      <c r="Y313" s="32">
        <v>45627</v>
      </c>
      <c r="Z313" s="30" t="s">
        <v>65</v>
      </c>
      <c r="AA313" s="28" t="s">
        <v>66</v>
      </c>
      <c r="AB313" s="28" t="s">
        <v>67</v>
      </c>
      <c r="AC313" s="29"/>
      <c r="AD313" s="28">
        <v>0</v>
      </c>
      <c r="AE313" s="29"/>
      <c r="AF313" s="31"/>
      <c r="AG313" s="30" t="s">
        <v>1579</v>
      </c>
      <c r="AH313" s="28"/>
      <c r="AI313" s="28" t="s">
        <v>53</v>
      </c>
      <c r="AJ313" s="33">
        <v>27418</v>
      </c>
      <c r="AK313" s="28">
        <v>8</v>
      </c>
      <c r="AL313" s="28">
        <v>19</v>
      </c>
      <c r="AM313" s="21"/>
      <c r="AN313" s="27"/>
      <c r="AO313" s="27"/>
      <c r="AP313" s="27"/>
      <c r="AQ313" s="27"/>
    </row>
    <row r="314" spans="1:43" ht="15.75" customHeight="1">
      <c r="A314" s="28">
        <v>122</v>
      </c>
      <c r="B314" s="29" t="s">
        <v>2604</v>
      </c>
      <c r="C314" s="30" t="s">
        <v>2605</v>
      </c>
      <c r="D314" s="31" t="s">
        <v>2606</v>
      </c>
      <c r="E314" s="30" t="s">
        <v>72</v>
      </c>
      <c r="F314" s="30" t="s">
        <v>50</v>
      </c>
      <c r="G314" s="30" t="s">
        <v>51</v>
      </c>
      <c r="H314" s="28" t="s">
        <v>85</v>
      </c>
      <c r="I314" s="30"/>
      <c r="J314" s="30" t="s">
        <v>53</v>
      </c>
      <c r="K314" s="30" t="s">
        <v>2607</v>
      </c>
      <c r="L314" s="30" t="s">
        <v>55</v>
      </c>
      <c r="M314" s="30" t="s">
        <v>1573</v>
      </c>
      <c r="N314" s="30" t="s">
        <v>2608</v>
      </c>
      <c r="O314" s="30" t="s">
        <v>2609</v>
      </c>
      <c r="P314" s="30" t="s">
        <v>2610</v>
      </c>
      <c r="Q314" s="28"/>
      <c r="R314" s="30" t="s">
        <v>2611</v>
      </c>
      <c r="S314" s="30" t="s">
        <v>53</v>
      </c>
      <c r="T314" s="30"/>
      <c r="U314" s="28" t="s">
        <v>765</v>
      </c>
      <c r="V314" s="30" t="s">
        <v>63</v>
      </c>
      <c r="W314" s="30" t="s">
        <v>64</v>
      </c>
      <c r="X314" s="32">
        <v>44562</v>
      </c>
      <c r="Y314" s="32">
        <v>46357</v>
      </c>
      <c r="Z314" s="30" t="s">
        <v>65</v>
      </c>
      <c r="AA314" s="28" t="s">
        <v>134</v>
      </c>
      <c r="AB314" s="28" t="s">
        <v>67</v>
      </c>
      <c r="AC314" s="29"/>
      <c r="AD314" s="28">
        <v>0</v>
      </c>
      <c r="AE314" s="29"/>
      <c r="AF314" s="31"/>
      <c r="AG314" s="30" t="s">
        <v>1579</v>
      </c>
      <c r="AH314" s="28"/>
      <c r="AI314" s="28" t="s">
        <v>53</v>
      </c>
      <c r="AJ314" s="33">
        <v>37632</v>
      </c>
      <c r="AK314" s="28">
        <v>5</v>
      </c>
      <c r="AL314" s="28">
        <v>19</v>
      </c>
      <c r="AM314" s="21"/>
      <c r="AN314" s="27"/>
      <c r="AO314" s="27"/>
      <c r="AP314" s="27"/>
      <c r="AQ314" s="27"/>
    </row>
    <row r="315" spans="1:43" ht="15.75" customHeight="1">
      <c r="A315" s="28">
        <v>123</v>
      </c>
      <c r="B315" s="29" t="s">
        <v>2612</v>
      </c>
      <c r="C315" s="30" t="s">
        <v>2613</v>
      </c>
      <c r="D315" s="31" t="s">
        <v>2614</v>
      </c>
      <c r="E315" s="30" t="s">
        <v>72</v>
      </c>
      <c r="F315" s="30" t="s">
        <v>50</v>
      </c>
      <c r="G315" s="30" t="s">
        <v>51</v>
      </c>
      <c r="H315" s="28" t="s">
        <v>52</v>
      </c>
      <c r="I315" s="30"/>
      <c r="J315" s="30" t="s">
        <v>53</v>
      </c>
      <c r="K315" s="30" t="s">
        <v>2615</v>
      </c>
      <c r="L315" s="30" t="s">
        <v>55</v>
      </c>
      <c r="M315" s="30" t="s">
        <v>1573</v>
      </c>
      <c r="N315" s="30" t="s">
        <v>2616</v>
      </c>
      <c r="O315" s="30" t="s">
        <v>1470</v>
      </c>
      <c r="P315" s="30" t="s">
        <v>2617</v>
      </c>
      <c r="Q315" s="28" t="s">
        <v>2618</v>
      </c>
      <c r="R315" s="30" t="s">
        <v>2619</v>
      </c>
      <c r="S315" s="30" t="s">
        <v>53</v>
      </c>
      <c r="T315" s="30"/>
      <c r="U315" s="28" t="s">
        <v>255</v>
      </c>
      <c r="V315" s="30" t="s">
        <v>63</v>
      </c>
      <c r="W315" s="30" t="s">
        <v>64</v>
      </c>
      <c r="X315" s="32">
        <v>43466</v>
      </c>
      <c r="Y315" s="32">
        <v>45658</v>
      </c>
      <c r="Z315" s="30" t="s">
        <v>65</v>
      </c>
      <c r="AA315" s="28" t="s">
        <v>134</v>
      </c>
      <c r="AB315" s="28" t="s">
        <v>67</v>
      </c>
      <c r="AC315" s="29"/>
      <c r="AD315" s="28">
        <v>0</v>
      </c>
      <c r="AE315" s="29"/>
      <c r="AF315" s="31"/>
      <c r="AG315" s="30" t="s">
        <v>1579</v>
      </c>
      <c r="AH315" s="28"/>
      <c r="AI315" s="28" t="s">
        <v>53</v>
      </c>
      <c r="AJ315" s="33">
        <v>35230</v>
      </c>
      <c r="AK315" s="28">
        <v>5</v>
      </c>
      <c r="AL315" s="28">
        <v>19</v>
      </c>
      <c r="AM315" s="21"/>
      <c r="AN315" s="27"/>
      <c r="AO315" s="27"/>
      <c r="AP315" s="27"/>
      <c r="AQ315" s="27"/>
    </row>
    <row r="316" spans="1:43" ht="15.75" customHeight="1">
      <c r="A316" s="28">
        <v>124</v>
      </c>
      <c r="B316" s="29" t="s">
        <v>2620</v>
      </c>
      <c r="C316" s="30" t="s">
        <v>2621</v>
      </c>
      <c r="D316" s="31" t="s">
        <v>2622</v>
      </c>
      <c r="E316" s="30" t="s">
        <v>72</v>
      </c>
      <c r="F316" s="30" t="s">
        <v>84</v>
      </c>
      <c r="G316" s="30" t="s">
        <v>51</v>
      </c>
      <c r="H316" s="28" t="s">
        <v>52</v>
      </c>
      <c r="I316" s="30"/>
      <c r="J316" s="30" t="s">
        <v>53</v>
      </c>
      <c r="K316" s="30" t="s">
        <v>2623</v>
      </c>
      <c r="L316" s="30" t="s">
        <v>55</v>
      </c>
      <c r="M316" s="30" t="s">
        <v>1573</v>
      </c>
      <c r="N316" s="30" t="s">
        <v>2624</v>
      </c>
      <c r="O316" s="30" t="s">
        <v>2071</v>
      </c>
      <c r="P316" s="30" t="s">
        <v>2625</v>
      </c>
      <c r="Q316" s="28" t="s">
        <v>2626</v>
      </c>
      <c r="R316" s="30" t="s">
        <v>2627</v>
      </c>
      <c r="S316" s="30" t="s">
        <v>53</v>
      </c>
      <c r="T316" s="30"/>
      <c r="U316" s="28" t="s">
        <v>1683</v>
      </c>
      <c r="V316" s="30" t="s">
        <v>63</v>
      </c>
      <c r="W316" s="30" t="s">
        <v>64</v>
      </c>
      <c r="X316" s="32">
        <v>44044</v>
      </c>
      <c r="Y316" s="32">
        <v>45627</v>
      </c>
      <c r="Z316" s="30" t="s">
        <v>65</v>
      </c>
      <c r="AA316" s="28" t="s">
        <v>134</v>
      </c>
      <c r="AB316" s="28" t="s">
        <v>67</v>
      </c>
      <c r="AC316" s="29"/>
      <c r="AD316" s="28">
        <v>0</v>
      </c>
      <c r="AE316" s="29"/>
      <c r="AF316" s="31"/>
      <c r="AG316" s="30" t="s">
        <v>1579</v>
      </c>
      <c r="AH316" s="28"/>
      <c r="AI316" s="28" t="s">
        <v>53</v>
      </c>
      <c r="AJ316" s="33">
        <v>30611</v>
      </c>
      <c r="AK316" s="28">
        <v>8</v>
      </c>
      <c r="AL316" s="28">
        <v>19</v>
      </c>
      <c r="AM316" s="21"/>
      <c r="AN316" s="27"/>
      <c r="AO316" s="27"/>
      <c r="AP316" s="27"/>
      <c r="AQ316" s="27"/>
    </row>
    <row r="317" spans="1:43" ht="15.75" customHeight="1">
      <c r="A317" s="28">
        <v>125</v>
      </c>
      <c r="B317" s="29" t="s">
        <v>2628</v>
      </c>
      <c r="C317" s="30" t="s">
        <v>2629</v>
      </c>
      <c r="D317" s="31" t="s">
        <v>2630</v>
      </c>
      <c r="E317" s="30" t="s">
        <v>72</v>
      </c>
      <c r="F317" s="30" t="s">
        <v>50</v>
      </c>
      <c r="G317" s="30" t="s">
        <v>51</v>
      </c>
      <c r="H317" s="28" t="s">
        <v>85</v>
      </c>
      <c r="I317" s="30"/>
      <c r="J317" s="30" t="s">
        <v>53</v>
      </c>
      <c r="K317" s="30" t="s">
        <v>2631</v>
      </c>
      <c r="L317" s="30" t="s">
        <v>55</v>
      </c>
      <c r="M317" s="30" t="s">
        <v>656</v>
      </c>
      <c r="N317" s="30" t="s">
        <v>2632</v>
      </c>
      <c r="O317" s="30" t="s">
        <v>747</v>
      </c>
      <c r="P317" s="30" t="s">
        <v>2633</v>
      </c>
      <c r="Q317" s="28" t="s">
        <v>2634</v>
      </c>
      <c r="R317" s="30" t="s">
        <v>2635</v>
      </c>
      <c r="S317" s="30" t="s">
        <v>53</v>
      </c>
      <c r="T317" s="30"/>
      <c r="U317" s="28" t="s">
        <v>2636</v>
      </c>
      <c r="V317" s="30" t="s">
        <v>63</v>
      </c>
      <c r="W317" s="30" t="s">
        <v>64</v>
      </c>
      <c r="X317" s="32">
        <v>44409</v>
      </c>
      <c r="Y317" s="32">
        <v>46235</v>
      </c>
      <c r="Z317" s="30" t="s">
        <v>65</v>
      </c>
      <c r="AA317" s="28" t="s">
        <v>66</v>
      </c>
      <c r="AB317" s="28" t="s">
        <v>67</v>
      </c>
      <c r="AC317" s="29"/>
      <c r="AD317" s="28">
        <v>0</v>
      </c>
      <c r="AE317" s="29"/>
      <c r="AF317" s="31"/>
      <c r="AG317" s="30" t="s">
        <v>1579</v>
      </c>
      <c r="AH317" s="28"/>
      <c r="AI317" s="28" t="s">
        <v>53</v>
      </c>
      <c r="AJ317" s="33">
        <v>37413</v>
      </c>
      <c r="AK317" s="28">
        <v>5</v>
      </c>
      <c r="AL317" s="28">
        <v>18</v>
      </c>
      <c r="AM317" s="21"/>
      <c r="AN317" s="27"/>
      <c r="AO317" s="27"/>
      <c r="AP317" s="27"/>
      <c r="AQ317" s="27"/>
    </row>
    <row r="318" spans="1:43" ht="15.75" customHeight="1">
      <c r="A318" s="28">
        <v>126</v>
      </c>
      <c r="B318" s="29" t="s">
        <v>2637</v>
      </c>
      <c r="C318" s="30"/>
      <c r="D318" s="31" t="s">
        <v>2638</v>
      </c>
      <c r="E318" s="30" t="s">
        <v>72</v>
      </c>
      <c r="F318" s="30" t="s">
        <v>50</v>
      </c>
      <c r="G318" s="30" t="s">
        <v>51</v>
      </c>
      <c r="H318" s="28" t="s">
        <v>85</v>
      </c>
      <c r="I318" s="30"/>
      <c r="J318" s="30" t="s">
        <v>53</v>
      </c>
      <c r="K318" s="30" t="s">
        <v>2639</v>
      </c>
      <c r="L318" s="30" t="s">
        <v>55</v>
      </c>
      <c r="M318" s="30" t="s">
        <v>656</v>
      </c>
      <c r="N318" s="30" t="s">
        <v>2640</v>
      </c>
      <c r="O318" s="30" t="s">
        <v>2641</v>
      </c>
      <c r="P318" s="30" t="s">
        <v>2642</v>
      </c>
      <c r="Q318" s="28" t="s">
        <v>2643</v>
      </c>
      <c r="R318" s="30" t="s">
        <v>2644</v>
      </c>
      <c r="S318" s="30" t="s">
        <v>53</v>
      </c>
      <c r="T318" s="30"/>
      <c r="U318" s="28" t="s">
        <v>765</v>
      </c>
      <c r="V318" s="30" t="s">
        <v>63</v>
      </c>
      <c r="W318" s="30" t="s">
        <v>64</v>
      </c>
      <c r="X318" s="32">
        <v>44228</v>
      </c>
      <c r="Y318" s="32">
        <v>45992</v>
      </c>
      <c r="Z318" s="30" t="s">
        <v>65</v>
      </c>
      <c r="AA318" s="28" t="s">
        <v>67</v>
      </c>
      <c r="AB318" s="28" t="s">
        <v>67</v>
      </c>
      <c r="AC318" s="29"/>
      <c r="AD318" s="28">
        <v>0</v>
      </c>
      <c r="AE318" s="29"/>
      <c r="AF318" s="31"/>
      <c r="AG318" s="30" t="s">
        <v>1579</v>
      </c>
      <c r="AH318" s="28"/>
      <c r="AI318" s="28" t="s">
        <v>118</v>
      </c>
      <c r="AJ318" s="33">
        <v>37829</v>
      </c>
      <c r="AK318" s="28">
        <v>6</v>
      </c>
      <c r="AL318" s="28">
        <v>18</v>
      </c>
      <c r="AM318" s="21"/>
      <c r="AN318" s="27"/>
      <c r="AO318" s="27"/>
      <c r="AP318" s="27"/>
      <c r="AQ318" s="27"/>
    </row>
    <row r="319" spans="1:43" ht="15.75" customHeight="1">
      <c r="A319" s="28">
        <v>127</v>
      </c>
      <c r="B319" s="29" t="s">
        <v>2645</v>
      </c>
      <c r="C319" s="30" t="s">
        <v>2646</v>
      </c>
      <c r="D319" s="31" t="s">
        <v>2647</v>
      </c>
      <c r="E319" s="30" t="s">
        <v>72</v>
      </c>
      <c r="F319" s="30" t="s">
        <v>50</v>
      </c>
      <c r="G319" s="30" t="s">
        <v>51</v>
      </c>
      <c r="H319" s="28" t="s">
        <v>85</v>
      </c>
      <c r="I319" s="30"/>
      <c r="J319" s="30" t="s">
        <v>53</v>
      </c>
      <c r="K319" s="30" t="s">
        <v>2155</v>
      </c>
      <c r="L319" s="30" t="s">
        <v>55</v>
      </c>
      <c r="M319" s="30" t="s">
        <v>1573</v>
      </c>
      <c r="N319" s="30" t="s">
        <v>2648</v>
      </c>
      <c r="O319" s="30" t="s">
        <v>1575</v>
      </c>
      <c r="P319" s="30" t="s">
        <v>2649</v>
      </c>
      <c r="Q319" s="28" t="s">
        <v>2650</v>
      </c>
      <c r="R319" s="30" t="s">
        <v>2651</v>
      </c>
      <c r="S319" s="30" t="s">
        <v>53</v>
      </c>
      <c r="T319" s="30"/>
      <c r="U319" s="28" t="s">
        <v>765</v>
      </c>
      <c r="V319" s="30" t="s">
        <v>63</v>
      </c>
      <c r="W319" s="30" t="s">
        <v>64</v>
      </c>
      <c r="X319" s="32">
        <v>44348</v>
      </c>
      <c r="Y319" s="32">
        <v>46143</v>
      </c>
      <c r="Z319" s="30" t="s">
        <v>65</v>
      </c>
      <c r="AA319" s="28" t="s">
        <v>134</v>
      </c>
      <c r="AB319" s="28" t="s">
        <v>67</v>
      </c>
      <c r="AC319" s="29"/>
      <c r="AD319" s="28">
        <v>0</v>
      </c>
      <c r="AE319" s="29"/>
      <c r="AF319" s="31"/>
      <c r="AG319" s="30" t="s">
        <v>1579</v>
      </c>
      <c r="AH319" s="28"/>
      <c r="AI319" s="28" t="s">
        <v>53</v>
      </c>
      <c r="AJ319" s="33">
        <v>37439</v>
      </c>
      <c r="AK319" s="28">
        <v>5</v>
      </c>
      <c r="AL319" s="28">
        <v>18</v>
      </c>
      <c r="AM319" s="21"/>
      <c r="AN319" s="27"/>
      <c r="AO319" s="27"/>
      <c r="AP319" s="27"/>
      <c r="AQ319" s="27"/>
    </row>
    <row r="320" spans="1:43" ht="15.75" customHeight="1">
      <c r="A320" s="28">
        <v>128</v>
      </c>
      <c r="B320" s="29" t="s">
        <v>2652</v>
      </c>
      <c r="C320" s="30" t="s">
        <v>2653</v>
      </c>
      <c r="D320" s="31" t="s">
        <v>2654</v>
      </c>
      <c r="E320" s="30" t="s">
        <v>72</v>
      </c>
      <c r="F320" s="30" t="s">
        <v>50</v>
      </c>
      <c r="G320" s="30" t="s">
        <v>51</v>
      </c>
      <c r="H320" s="28" t="s">
        <v>52</v>
      </c>
      <c r="I320" s="30"/>
      <c r="J320" s="30" t="s">
        <v>53</v>
      </c>
      <c r="K320" s="30" t="s">
        <v>2655</v>
      </c>
      <c r="L320" s="30" t="s">
        <v>55</v>
      </c>
      <c r="M320" s="30" t="s">
        <v>1573</v>
      </c>
      <c r="N320" s="30" t="s">
        <v>2656</v>
      </c>
      <c r="O320" s="30" t="s">
        <v>2657</v>
      </c>
      <c r="P320" s="30" t="s">
        <v>2658</v>
      </c>
      <c r="Q320" s="28"/>
      <c r="R320" s="30" t="s">
        <v>2659</v>
      </c>
      <c r="S320" s="30" t="s">
        <v>53</v>
      </c>
      <c r="T320" s="30"/>
      <c r="U320" s="28" t="s">
        <v>2174</v>
      </c>
      <c r="V320" s="30" t="s">
        <v>63</v>
      </c>
      <c r="W320" s="30" t="s">
        <v>64</v>
      </c>
      <c r="X320" s="32">
        <v>44409</v>
      </c>
      <c r="Y320" s="32">
        <v>46174</v>
      </c>
      <c r="Z320" s="30" t="s">
        <v>65</v>
      </c>
      <c r="AA320" s="28" t="s">
        <v>134</v>
      </c>
      <c r="AB320" s="28" t="s">
        <v>67</v>
      </c>
      <c r="AC320" s="29"/>
      <c r="AD320" s="28">
        <v>0</v>
      </c>
      <c r="AE320" s="29"/>
      <c r="AF320" s="31"/>
      <c r="AG320" s="30" t="s">
        <v>1579</v>
      </c>
      <c r="AH320" s="28"/>
      <c r="AI320" s="28" t="s">
        <v>53</v>
      </c>
      <c r="AJ320" s="33">
        <v>36496</v>
      </c>
      <c r="AK320" s="28">
        <v>5</v>
      </c>
      <c r="AL320" s="28">
        <v>18</v>
      </c>
      <c r="AM320" s="21"/>
      <c r="AN320" s="27"/>
      <c r="AO320" s="27"/>
      <c r="AP320" s="27"/>
      <c r="AQ320" s="27"/>
    </row>
    <row r="321" spans="1:43" ht="15.75" customHeight="1">
      <c r="A321" s="28">
        <v>129</v>
      </c>
      <c r="B321" s="29" t="s">
        <v>2660</v>
      </c>
      <c r="C321" s="30"/>
      <c r="D321" s="31" t="s">
        <v>2661</v>
      </c>
      <c r="E321" s="30" t="s">
        <v>72</v>
      </c>
      <c r="F321" s="30" t="s">
        <v>50</v>
      </c>
      <c r="G321" s="30" t="s">
        <v>51</v>
      </c>
      <c r="H321" s="28" t="s">
        <v>85</v>
      </c>
      <c r="I321" s="30"/>
      <c r="J321" s="30" t="s">
        <v>53</v>
      </c>
      <c r="K321" s="30" t="s">
        <v>2662</v>
      </c>
      <c r="L321" s="30" t="s">
        <v>55</v>
      </c>
      <c r="M321" s="30" t="s">
        <v>1573</v>
      </c>
      <c r="N321" s="30" t="s">
        <v>2663</v>
      </c>
      <c r="O321" s="30" t="s">
        <v>281</v>
      </c>
      <c r="P321" s="30" t="s">
        <v>2664</v>
      </c>
      <c r="Q321" s="28"/>
      <c r="R321" s="30" t="s">
        <v>2665</v>
      </c>
      <c r="S321" s="30" t="s">
        <v>53</v>
      </c>
      <c r="T321" s="30"/>
      <c r="U321" s="28" t="s">
        <v>2666</v>
      </c>
      <c r="V321" s="30" t="s">
        <v>63</v>
      </c>
      <c r="W321" s="30" t="s">
        <v>64</v>
      </c>
      <c r="X321" s="32">
        <v>43831</v>
      </c>
      <c r="Y321" s="32">
        <v>45992</v>
      </c>
      <c r="Z321" s="30" t="s">
        <v>65</v>
      </c>
      <c r="AA321" s="28" t="s">
        <v>134</v>
      </c>
      <c r="AB321" s="28" t="s">
        <v>67</v>
      </c>
      <c r="AC321" s="29"/>
      <c r="AD321" s="28">
        <v>0</v>
      </c>
      <c r="AE321" s="29"/>
      <c r="AF321" s="31"/>
      <c r="AG321" s="30" t="s">
        <v>1579</v>
      </c>
      <c r="AH321" s="28"/>
      <c r="AI321" s="28" t="s">
        <v>53</v>
      </c>
      <c r="AJ321" s="33">
        <v>37577</v>
      </c>
      <c r="AK321" s="28">
        <v>6</v>
      </c>
      <c r="AL321" s="28">
        <v>18</v>
      </c>
      <c r="AM321" s="21"/>
      <c r="AN321" s="27"/>
      <c r="AO321" s="27"/>
      <c r="AP321" s="27"/>
      <c r="AQ321" s="27"/>
    </row>
    <row r="322" spans="1:43" ht="15.75" customHeight="1">
      <c r="A322" s="28">
        <v>130</v>
      </c>
      <c r="B322" s="29" t="s">
        <v>2667</v>
      </c>
      <c r="C322" s="30" t="s">
        <v>2668</v>
      </c>
      <c r="D322" s="31" t="s">
        <v>2669</v>
      </c>
      <c r="E322" s="30" t="s">
        <v>72</v>
      </c>
      <c r="F322" s="30" t="s">
        <v>50</v>
      </c>
      <c r="G322" s="30" t="s">
        <v>51</v>
      </c>
      <c r="H322" s="28" t="s">
        <v>52</v>
      </c>
      <c r="I322" s="30"/>
      <c r="J322" s="30" t="s">
        <v>53</v>
      </c>
      <c r="K322" s="30" t="s">
        <v>2670</v>
      </c>
      <c r="L322" s="30" t="s">
        <v>55</v>
      </c>
      <c r="M322" s="30" t="s">
        <v>1573</v>
      </c>
      <c r="N322" s="30" t="s">
        <v>2671</v>
      </c>
      <c r="O322" s="30" t="s">
        <v>1971</v>
      </c>
      <c r="P322" s="30" t="s">
        <v>2672</v>
      </c>
      <c r="Q322" s="28" t="s">
        <v>2673</v>
      </c>
      <c r="R322" s="30" t="s">
        <v>2674</v>
      </c>
      <c r="S322" s="30" t="s">
        <v>53</v>
      </c>
      <c r="T322" s="30"/>
      <c r="U322" s="28" t="s">
        <v>1625</v>
      </c>
      <c r="V322" s="30" t="s">
        <v>63</v>
      </c>
      <c r="W322" s="30" t="s">
        <v>64</v>
      </c>
      <c r="X322" s="32">
        <v>44409</v>
      </c>
      <c r="Y322" s="32">
        <v>46204</v>
      </c>
      <c r="Z322" s="30" t="s">
        <v>65</v>
      </c>
      <c r="AA322" s="28" t="s">
        <v>66</v>
      </c>
      <c r="AB322" s="28" t="s">
        <v>67</v>
      </c>
      <c r="AC322" s="29"/>
      <c r="AD322" s="28">
        <v>0</v>
      </c>
      <c r="AE322" s="29"/>
      <c r="AF322" s="31"/>
      <c r="AG322" s="30" t="s">
        <v>1579</v>
      </c>
      <c r="AH322" s="28"/>
      <c r="AI322" s="28" t="s">
        <v>118</v>
      </c>
      <c r="AJ322" s="33">
        <v>33447</v>
      </c>
      <c r="AK322" s="28">
        <v>5</v>
      </c>
      <c r="AL322" s="28">
        <v>18</v>
      </c>
      <c r="AM322" s="21"/>
      <c r="AN322" s="27"/>
      <c r="AO322" s="27"/>
      <c r="AP322" s="27"/>
      <c r="AQ322" s="27"/>
    </row>
    <row r="323" spans="1:43" ht="15.75" customHeight="1">
      <c r="A323" s="28">
        <v>131</v>
      </c>
      <c r="B323" s="29" t="s">
        <v>2675</v>
      </c>
      <c r="C323" s="30"/>
      <c r="D323" s="31" t="s">
        <v>2676</v>
      </c>
      <c r="E323" s="30" t="s">
        <v>72</v>
      </c>
      <c r="F323" s="30" t="s">
        <v>50</v>
      </c>
      <c r="G323" s="30" t="s">
        <v>51</v>
      </c>
      <c r="H323" s="28" t="s">
        <v>85</v>
      </c>
      <c r="I323" s="30"/>
      <c r="J323" s="30" t="s">
        <v>53</v>
      </c>
      <c r="K323" s="30" t="s">
        <v>2677</v>
      </c>
      <c r="L323" s="30" t="s">
        <v>55</v>
      </c>
      <c r="M323" s="30" t="s">
        <v>656</v>
      </c>
      <c r="N323" s="30" t="s">
        <v>2678</v>
      </c>
      <c r="O323" s="30" t="s">
        <v>2679</v>
      </c>
      <c r="P323" s="30" t="s">
        <v>2680</v>
      </c>
      <c r="Q323" s="28"/>
      <c r="R323" s="30" t="s">
        <v>2681</v>
      </c>
      <c r="S323" s="30" t="s">
        <v>53</v>
      </c>
      <c r="T323" s="30"/>
      <c r="U323" s="28" t="s">
        <v>1683</v>
      </c>
      <c r="V323" s="30" t="s">
        <v>63</v>
      </c>
      <c r="W323" s="30" t="s">
        <v>64</v>
      </c>
      <c r="X323" s="32">
        <v>44562</v>
      </c>
      <c r="Y323" s="32">
        <v>46357</v>
      </c>
      <c r="Z323" s="30" t="s">
        <v>65</v>
      </c>
      <c r="AA323" s="28" t="s">
        <v>134</v>
      </c>
      <c r="AB323" s="28" t="s">
        <v>67</v>
      </c>
      <c r="AC323" s="29"/>
      <c r="AD323" s="28">
        <v>0</v>
      </c>
      <c r="AE323" s="29"/>
      <c r="AF323" s="31"/>
      <c r="AG323" s="30" t="s">
        <v>1579</v>
      </c>
      <c r="AH323" s="28"/>
      <c r="AI323" s="28" t="s">
        <v>53</v>
      </c>
      <c r="AJ323" s="33">
        <v>38029</v>
      </c>
      <c r="AK323" s="28">
        <v>5</v>
      </c>
      <c r="AL323" s="28">
        <v>18</v>
      </c>
      <c r="AM323" s="21"/>
      <c r="AN323" s="27"/>
      <c r="AO323" s="27"/>
      <c r="AP323" s="27"/>
      <c r="AQ323" s="27"/>
    </row>
    <row r="324" spans="1:43" ht="15.75" customHeight="1">
      <c r="A324" s="28">
        <v>132</v>
      </c>
      <c r="B324" s="29" t="s">
        <v>2682</v>
      </c>
      <c r="C324" s="30"/>
      <c r="D324" s="31" t="s">
        <v>2683</v>
      </c>
      <c r="E324" s="30" t="s">
        <v>49</v>
      </c>
      <c r="F324" s="30" t="s">
        <v>50</v>
      </c>
      <c r="G324" s="30" t="s">
        <v>51</v>
      </c>
      <c r="H324" s="28" t="s">
        <v>85</v>
      </c>
      <c r="I324" s="30"/>
      <c r="J324" s="30" t="s">
        <v>53</v>
      </c>
      <c r="K324" s="30" t="s">
        <v>2684</v>
      </c>
      <c r="L324" s="30" t="s">
        <v>55</v>
      </c>
      <c r="M324" s="30" t="s">
        <v>1573</v>
      </c>
      <c r="N324" s="30" t="s">
        <v>2685</v>
      </c>
      <c r="O324" s="30" t="s">
        <v>1575</v>
      </c>
      <c r="P324" s="30" t="s">
        <v>2686</v>
      </c>
      <c r="Q324" s="28"/>
      <c r="R324" s="30" t="s">
        <v>2687</v>
      </c>
      <c r="S324" s="30" t="s">
        <v>53</v>
      </c>
      <c r="T324" s="30"/>
      <c r="U324" s="28" t="s">
        <v>1657</v>
      </c>
      <c r="V324" s="30" t="s">
        <v>63</v>
      </c>
      <c r="W324" s="30" t="s">
        <v>64</v>
      </c>
      <c r="X324" s="32">
        <v>44317</v>
      </c>
      <c r="Y324" s="32">
        <v>45778</v>
      </c>
      <c r="Z324" s="30" t="s">
        <v>65</v>
      </c>
      <c r="AA324" s="28" t="s">
        <v>66</v>
      </c>
      <c r="AB324" s="28" t="s">
        <v>67</v>
      </c>
      <c r="AC324" s="29"/>
      <c r="AD324" s="28">
        <v>0</v>
      </c>
      <c r="AE324" s="29"/>
      <c r="AF324" s="31"/>
      <c r="AG324" s="30" t="s">
        <v>1579</v>
      </c>
      <c r="AH324" s="28"/>
      <c r="AI324" s="28" t="s">
        <v>53</v>
      </c>
      <c r="AJ324" s="33">
        <v>37757</v>
      </c>
      <c r="AK324" s="28">
        <v>5</v>
      </c>
      <c r="AL324" s="28">
        <v>18</v>
      </c>
      <c r="AM324" s="21"/>
      <c r="AN324" s="27"/>
      <c r="AO324" s="27"/>
      <c r="AP324" s="27"/>
      <c r="AQ324" s="27"/>
    </row>
    <row r="325" spans="1:43" ht="15.75" customHeight="1">
      <c r="A325" s="28">
        <v>133</v>
      </c>
      <c r="B325" s="29" t="s">
        <v>2688</v>
      </c>
      <c r="C325" s="30" t="s">
        <v>2689</v>
      </c>
      <c r="D325" s="31" t="s">
        <v>2690</v>
      </c>
      <c r="E325" s="30" t="s">
        <v>72</v>
      </c>
      <c r="F325" s="30" t="s">
        <v>50</v>
      </c>
      <c r="G325" s="30" t="s">
        <v>51</v>
      </c>
      <c r="H325" s="28" t="s">
        <v>85</v>
      </c>
      <c r="I325" s="30"/>
      <c r="J325" s="30" t="s">
        <v>53</v>
      </c>
      <c r="K325" s="30" t="s">
        <v>2691</v>
      </c>
      <c r="L325" s="30" t="s">
        <v>55</v>
      </c>
      <c r="M325" s="30" t="s">
        <v>1573</v>
      </c>
      <c r="N325" s="30" t="s">
        <v>2692</v>
      </c>
      <c r="O325" s="30" t="s">
        <v>1842</v>
      </c>
      <c r="P325" s="30" t="s">
        <v>2693</v>
      </c>
      <c r="Q325" s="28"/>
      <c r="R325" s="30" t="s">
        <v>2694</v>
      </c>
      <c r="S325" s="30" t="s">
        <v>53</v>
      </c>
      <c r="T325" s="30"/>
      <c r="U325" s="28" t="s">
        <v>1889</v>
      </c>
      <c r="V325" s="30" t="s">
        <v>63</v>
      </c>
      <c r="W325" s="30" t="s">
        <v>64</v>
      </c>
      <c r="X325" s="32">
        <v>44593</v>
      </c>
      <c r="Y325" s="32">
        <v>45689</v>
      </c>
      <c r="Z325" s="30" t="s">
        <v>65</v>
      </c>
      <c r="AA325" s="28" t="s">
        <v>246</v>
      </c>
      <c r="AB325" s="28" t="s">
        <v>67</v>
      </c>
      <c r="AC325" s="29"/>
      <c r="AD325" s="28">
        <v>0</v>
      </c>
      <c r="AE325" s="29"/>
      <c r="AF325" s="31"/>
      <c r="AG325" s="30" t="s">
        <v>1579</v>
      </c>
      <c r="AH325" s="28"/>
      <c r="AI325" s="28" t="s">
        <v>53</v>
      </c>
      <c r="AJ325" s="33">
        <v>35861</v>
      </c>
      <c r="AK325" s="28">
        <v>5</v>
      </c>
      <c r="AL325" s="28">
        <v>18</v>
      </c>
      <c r="AM325" s="21"/>
      <c r="AN325" s="27"/>
      <c r="AO325" s="27"/>
      <c r="AP325" s="27"/>
      <c r="AQ325" s="27"/>
    </row>
    <row r="326" spans="1:43" ht="15.75" customHeight="1">
      <c r="A326" s="28">
        <v>134</v>
      </c>
      <c r="B326" s="29" t="s">
        <v>2695</v>
      </c>
      <c r="C326" s="30"/>
      <c r="D326" s="31" t="s">
        <v>2696</v>
      </c>
      <c r="E326" s="30" t="s">
        <v>49</v>
      </c>
      <c r="F326" s="30" t="s">
        <v>50</v>
      </c>
      <c r="G326" s="30" t="s">
        <v>51</v>
      </c>
      <c r="H326" s="28" t="s">
        <v>85</v>
      </c>
      <c r="I326" s="30"/>
      <c r="J326" s="30" t="s">
        <v>53</v>
      </c>
      <c r="K326" s="30" t="s">
        <v>2697</v>
      </c>
      <c r="L326" s="30" t="s">
        <v>55</v>
      </c>
      <c r="M326" s="30" t="s">
        <v>1573</v>
      </c>
      <c r="N326" s="30" t="s">
        <v>2698</v>
      </c>
      <c r="O326" s="30" t="s">
        <v>2699</v>
      </c>
      <c r="P326" s="30" t="s">
        <v>2700</v>
      </c>
      <c r="Q326" s="28" t="s">
        <v>2701</v>
      </c>
      <c r="R326" s="30" t="s">
        <v>2702</v>
      </c>
      <c r="S326" s="30" t="s">
        <v>53</v>
      </c>
      <c r="T326" s="30"/>
      <c r="U326" s="28" t="s">
        <v>1625</v>
      </c>
      <c r="V326" s="30" t="s">
        <v>63</v>
      </c>
      <c r="W326" s="30" t="s">
        <v>64</v>
      </c>
      <c r="X326" s="32">
        <v>44409</v>
      </c>
      <c r="Y326" s="32">
        <v>46174</v>
      </c>
      <c r="Z326" s="30" t="s">
        <v>65</v>
      </c>
      <c r="AA326" s="28" t="s">
        <v>66</v>
      </c>
      <c r="AB326" s="28" t="s">
        <v>67</v>
      </c>
      <c r="AC326" s="29"/>
      <c r="AD326" s="28">
        <v>0</v>
      </c>
      <c r="AE326" s="29"/>
      <c r="AF326" s="31"/>
      <c r="AG326" s="30" t="s">
        <v>1579</v>
      </c>
      <c r="AH326" s="28"/>
      <c r="AI326" s="28" t="s">
        <v>53</v>
      </c>
      <c r="AJ326" s="33">
        <v>37940</v>
      </c>
      <c r="AK326" s="28">
        <v>5</v>
      </c>
      <c r="AL326" s="28">
        <v>18</v>
      </c>
      <c r="AM326" s="21"/>
      <c r="AN326" s="27"/>
      <c r="AO326" s="27"/>
      <c r="AP326" s="27"/>
      <c r="AQ326" s="27"/>
    </row>
    <row r="327" spans="1:43" ht="15.75" customHeight="1">
      <c r="A327" s="28">
        <v>135</v>
      </c>
      <c r="B327" s="29" t="s">
        <v>2703</v>
      </c>
      <c r="C327" s="30" t="s">
        <v>2704</v>
      </c>
      <c r="D327" s="31" t="s">
        <v>2705</v>
      </c>
      <c r="E327" s="30" t="s">
        <v>72</v>
      </c>
      <c r="F327" s="30" t="s">
        <v>50</v>
      </c>
      <c r="G327" s="30" t="s">
        <v>51</v>
      </c>
      <c r="H327" s="28" t="s">
        <v>52</v>
      </c>
      <c r="I327" s="30"/>
      <c r="J327" s="30" t="s">
        <v>53</v>
      </c>
      <c r="K327" s="30" t="s">
        <v>2706</v>
      </c>
      <c r="L327" s="30" t="s">
        <v>55</v>
      </c>
      <c r="M327" s="30" t="s">
        <v>1573</v>
      </c>
      <c r="N327" s="30" t="s">
        <v>2707</v>
      </c>
      <c r="O327" s="30" t="s">
        <v>1842</v>
      </c>
      <c r="P327" s="30" t="s">
        <v>2708</v>
      </c>
      <c r="Q327" s="28"/>
      <c r="R327" s="30" t="s">
        <v>2709</v>
      </c>
      <c r="S327" s="30" t="s">
        <v>53</v>
      </c>
      <c r="T327" s="30"/>
      <c r="U327" s="28" t="s">
        <v>2710</v>
      </c>
      <c r="V327" s="30" t="s">
        <v>63</v>
      </c>
      <c r="W327" s="30" t="s">
        <v>64</v>
      </c>
      <c r="X327" s="32">
        <v>44228</v>
      </c>
      <c r="Y327" s="32">
        <v>45992</v>
      </c>
      <c r="Z327" s="30" t="s">
        <v>65</v>
      </c>
      <c r="AA327" s="28" t="s">
        <v>66</v>
      </c>
      <c r="AB327" s="28" t="s">
        <v>67</v>
      </c>
      <c r="AC327" s="29"/>
      <c r="AD327" s="28">
        <v>0</v>
      </c>
      <c r="AE327" s="29"/>
      <c r="AF327" s="31"/>
      <c r="AG327" s="30" t="s">
        <v>1579</v>
      </c>
      <c r="AH327" s="28"/>
      <c r="AI327" s="28" t="s">
        <v>53</v>
      </c>
      <c r="AJ327" s="33">
        <v>37172</v>
      </c>
      <c r="AK327" s="28">
        <v>6</v>
      </c>
      <c r="AL327" s="28">
        <v>18</v>
      </c>
      <c r="AM327" s="21"/>
      <c r="AN327" s="27"/>
      <c r="AO327" s="27"/>
      <c r="AP327" s="27"/>
      <c r="AQ327" s="27"/>
    </row>
    <row r="328" spans="1:43" ht="15.75" customHeight="1">
      <c r="A328" s="28">
        <v>136</v>
      </c>
      <c r="B328" s="29" t="s">
        <v>2711</v>
      </c>
      <c r="C328" s="30"/>
      <c r="D328" s="31" t="s">
        <v>2712</v>
      </c>
      <c r="E328" s="30" t="s">
        <v>49</v>
      </c>
      <c r="F328" s="30" t="s">
        <v>50</v>
      </c>
      <c r="G328" s="30" t="s">
        <v>51</v>
      </c>
      <c r="H328" s="28" t="s">
        <v>52</v>
      </c>
      <c r="I328" s="30"/>
      <c r="J328" s="30" t="s">
        <v>53</v>
      </c>
      <c r="K328" s="30" t="s">
        <v>2713</v>
      </c>
      <c r="L328" s="30" t="s">
        <v>55</v>
      </c>
      <c r="M328" s="30" t="s">
        <v>656</v>
      </c>
      <c r="N328" s="30" t="s">
        <v>2714</v>
      </c>
      <c r="O328" s="30" t="s">
        <v>437</v>
      </c>
      <c r="P328" s="30" t="s">
        <v>2715</v>
      </c>
      <c r="Q328" s="28" t="s">
        <v>2716</v>
      </c>
      <c r="R328" s="30" t="s">
        <v>2717</v>
      </c>
      <c r="S328" s="30" t="s">
        <v>53</v>
      </c>
      <c r="T328" s="30"/>
      <c r="U328" s="28" t="s">
        <v>1716</v>
      </c>
      <c r="V328" s="30" t="s">
        <v>63</v>
      </c>
      <c r="W328" s="30" t="s">
        <v>64</v>
      </c>
      <c r="X328" s="32">
        <v>43831</v>
      </c>
      <c r="Y328" s="32">
        <v>45627</v>
      </c>
      <c r="Z328" s="30" t="s">
        <v>65</v>
      </c>
      <c r="AA328" s="28" t="s">
        <v>134</v>
      </c>
      <c r="AB328" s="28" t="s">
        <v>67</v>
      </c>
      <c r="AC328" s="29"/>
      <c r="AD328" s="28">
        <v>0</v>
      </c>
      <c r="AE328" s="29"/>
      <c r="AF328" s="31"/>
      <c r="AG328" s="30" t="s">
        <v>1579</v>
      </c>
      <c r="AH328" s="28"/>
      <c r="AI328" s="28" t="s">
        <v>53</v>
      </c>
      <c r="AJ328" s="33">
        <v>37084</v>
      </c>
      <c r="AK328" s="28">
        <v>8</v>
      </c>
      <c r="AL328" s="28">
        <v>18</v>
      </c>
      <c r="AM328" s="21"/>
      <c r="AN328" s="27"/>
      <c r="AO328" s="27"/>
      <c r="AP328" s="27"/>
      <c r="AQ328" s="27"/>
    </row>
    <row r="329" spans="1:43" ht="15.75" customHeight="1">
      <c r="A329" s="28">
        <v>137</v>
      </c>
      <c r="B329" s="29" t="s">
        <v>2718</v>
      </c>
      <c r="C329" s="30" t="s">
        <v>2719</v>
      </c>
      <c r="D329" s="31" t="s">
        <v>2720</v>
      </c>
      <c r="E329" s="30" t="s">
        <v>49</v>
      </c>
      <c r="F329" s="30" t="s">
        <v>50</v>
      </c>
      <c r="G329" s="30" t="s">
        <v>51</v>
      </c>
      <c r="H329" s="28" t="s">
        <v>85</v>
      </c>
      <c r="I329" s="30"/>
      <c r="J329" s="30" t="s">
        <v>53</v>
      </c>
      <c r="K329" s="30" t="s">
        <v>2721</v>
      </c>
      <c r="L329" s="30" t="s">
        <v>55</v>
      </c>
      <c r="M329" s="30" t="s">
        <v>656</v>
      </c>
      <c r="N329" s="30" t="s">
        <v>2722</v>
      </c>
      <c r="O329" s="30" t="s">
        <v>1688</v>
      </c>
      <c r="P329" s="30" t="s">
        <v>2723</v>
      </c>
      <c r="Q329" s="28" t="s">
        <v>2724</v>
      </c>
      <c r="R329" s="30" t="s">
        <v>2725</v>
      </c>
      <c r="S329" s="30" t="s">
        <v>53</v>
      </c>
      <c r="T329" s="30"/>
      <c r="U329" s="28" t="s">
        <v>2726</v>
      </c>
      <c r="V329" s="30" t="s">
        <v>63</v>
      </c>
      <c r="W329" s="30" t="s">
        <v>64</v>
      </c>
      <c r="X329" s="32">
        <v>43831</v>
      </c>
      <c r="Y329" s="32">
        <v>45627</v>
      </c>
      <c r="Z329" s="30" t="s">
        <v>65</v>
      </c>
      <c r="AA329" s="28" t="s">
        <v>134</v>
      </c>
      <c r="AB329" s="28" t="s">
        <v>67</v>
      </c>
      <c r="AC329" s="29"/>
      <c r="AD329" s="28">
        <v>0</v>
      </c>
      <c r="AE329" s="29"/>
      <c r="AF329" s="31"/>
      <c r="AG329" s="30" t="s">
        <v>1579</v>
      </c>
      <c r="AH329" s="28"/>
      <c r="AI329" s="28" t="s">
        <v>53</v>
      </c>
      <c r="AJ329" s="33">
        <v>35603</v>
      </c>
      <c r="AK329" s="28">
        <v>8</v>
      </c>
      <c r="AL329" s="28">
        <v>18</v>
      </c>
      <c r="AM329" s="21"/>
      <c r="AN329" s="27"/>
      <c r="AO329" s="27"/>
      <c r="AP329" s="27"/>
      <c r="AQ329" s="27"/>
    </row>
    <row r="330" spans="1:43" ht="15.75" customHeight="1">
      <c r="A330" s="28">
        <v>138</v>
      </c>
      <c r="B330" s="29" t="s">
        <v>2727</v>
      </c>
      <c r="C330" s="30"/>
      <c r="D330" s="31" t="s">
        <v>2728</v>
      </c>
      <c r="E330" s="30" t="s">
        <v>49</v>
      </c>
      <c r="F330" s="30" t="s">
        <v>50</v>
      </c>
      <c r="G330" s="30" t="s">
        <v>51</v>
      </c>
      <c r="H330" s="28" t="s">
        <v>52</v>
      </c>
      <c r="I330" s="30"/>
      <c r="J330" s="30" t="s">
        <v>53</v>
      </c>
      <c r="K330" s="30" t="s">
        <v>2729</v>
      </c>
      <c r="L330" s="30" t="s">
        <v>55</v>
      </c>
      <c r="M330" s="30" t="s">
        <v>1573</v>
      </c>
      <c r="N330" s="30" t="s">
        <v>2730</v>
      </c>
      <c r="O330" s="30" t="s">
        <v>1776</v>
      </c>
      <c r="P330" s="30" t="s">
        <v>2731</v>
      </c>
      <c r="Q330" s="28"/>
      <c r="R330" s="30" t="s">
        <v>2732</v>
      </c>
      <c r="S330" s="30" t="s">
        <v>53</v>
      </c>
      <c r="T330" s="30"/>
      <c r="U330" s="28" t="s">
        <v>2010</v>
      </c>
      <c r="V330" s="30" t="s">
        <v>63</v>
      </c>
      <c r="W330" s="30" t="s">
        <v>64</v>
      </c>
      <c r="X330" s="32">
        <v>44197</v>
      </c>
      <c r="Y330" s="32">
        <v>45992</v>
      </c>
      <c r="Z330" s="30" t="s">
        <v>65</v>
      </c>
      <c r="AA330" s="28" t="s">
        <v>134</v>
      </c>
      <c r="AB330" s="28" t="s">
        <v>67</v>
      </c>
      <c r="AC330" s="29"/>
      <c r="AD330" s="28">
        <v>0</v>
      </c>
      <c r="AE330" s="29"/>
      <c r="AF330" s="31"/>
      <c r="AG330" s="30" t="s">
        <v>1579</v>
      </c>
      <c r="AH330" s="28"/>
      <c r="AI330" s="28" t="s">
        <v>53</v>
      </c>
      <c r="AJ330" s="33">
        <v>37868</v>
      </c>
      <c r="AK330" s="28">
        <v>6</v>
      </c>
      <c r="AL330" s="28">
        <v>18</v>
      </c>
      <c r="AM330" s="21"/>
      <c r="AN330" s="27"/>
      <c r="AO330" s="27"/>
      <c r="AP330" s="27"/>
      <c r="AQ330" s="27"/>
    </row>
    <row r="331" spans="1:43" ht="15.75" customHeight="1">
      <c r="A331" s="28">
        <v>139</v>
      </c>
      <c r="B331" s="29" t="s">
        <v>2733</v>
      </c>
      <c r="C331" s="30"/>
      <c r="D331" s="31" t="s">
        <v>2734</v>
      </c>
      <c r="E331" s="30" t="s">
        <v>72</v>
      </c>
      <c r="F331" s="30" t="s">
        <v>50</v>
      </c>
      <c r="G331" s="30" t="s">
        <v>51</v>
      </c>
      <c r="H331" s="28" t="s">
        <v>52</v>
      </c>
      <c r="I331" s="30"/>
      <c r="J331" s="30" t="s">
        <v>53</v>
      </c>
      <c r="K331" s="30" t="s">
        <v>2735</v>
      </c>
      <c r="L331" s="30" t="s">
        <v>55</v>
      </c>
      <c r="M331" s="30" t="s">
        <v>656</v>
      </c>
      <c r="N331" s="30" t="s">
        <v>2736</v>
      </c>
      <c r="O331" s="30" t="s">
        <v>2737</v>
      </c>
      <c r="P331" s="30" t="s">
        <v>2738</v>
      </c>
      <c r="Q331" s="28" t="s">
        <v>2739</v>
      </c>
      <c r="R331" s="30" t="s">
        <v>2740</v>
      </c>
      <c r="S331" s="30" t="s">
        <v>53</v>
      </c>
      <c r="T331" s="30"/>
      <c r="U331" s="28" t="s">
        <v>2603</v>
      </c>
      <c r="V331" s="30" t="s">
        <v>63</v>
      </c>
      <c r="W331" s="30" t="s">
        <v>64</v>
      </c>
      <c r="X331" s="32">
        <v>44256</v>
      </c>
      <c r="Y331" s="32">
        <v>45962</v>
      </c>
      <c r="Z331" s="30" t="s">
        <v>65</v>
      </c>
      <c r="AA331" s="28" t="s">
        <v>134</v>
      </c>
      <c r="AB331" s="28" t="s">
        <v>67</v>
      </c>
      <c r="AC331" s="29"/>
      <c r="AD331" s="28">
        <v>0</v>
      </c>
      <c r="AE331" s="29"/>
      <c r="AF331" s="31"/>
      <c r="AG331" s="30" t="s">
        <v>1579</v>
      </c>
      <c r="AH331" s="28"/>
      <c r="AI331" s="28" t="s">
        <v>53</v>
      </c>
      <c r="AJ331" s="33">
        <v>37757</v>
      </c>
      <c r="AK331" s="28">
        <v>6</v>
      </c>
      <c r="AL331" s="28">
        <v>18</v>
      </c>
      <c r="AM331" s="21"/>
      <c r="AN331" s="27"/>
      <c r="AO331" s="27"/>
      <c r="AP331" s="27"/>
      <c r="AQ331" s="27"/>
    </row>
    <row r="332" spans="1:43" ht="15.75" customHeight="1">
      <c r="A332" s="28">
        <v>140</v>
      </c>
      <c r="B332" s="29" t="s">
        <v>2741</v>
      </c>
      <c r="C332" s="30" t="s">
        <v>2742</v>
      </c>
      <c r="D332" s="31" t="s">
        <v>2743</v>
      </c>
      <c r="E332" s="30" t="s">
        <v>72</v>
      </c>
      <c r="F332" s="30" t="s">
        <v>84</v>
      </c>
      <c r="G332" s="30" t="s">
        <v>51</v>
      </c>
      <c r="H332" s="28" t="s">
        <v>85</v>
      </c>
      <c r="I332" s="30"/>
      <c r="J332" s="30" t="s">
        <v>53</v>
      </c>
      <c r="K332" s="30" t="s">
        <v>2744</v>
      </c>
      <c r="L332" s="30" t="s">
        <v>55</v>
      </c>
      <c r="M332" s="30" t="s">
        <v>656</v>
      </c>
      <c r="N332" s="30" t="s">
        <v>2745</v>
      </c>
      <c r="O332" s="30" t="s">
        <v>780</v>
      </c>
      <c r="P332" s="30" t="s">
        <v>2746</v>
      </c>
      <c r="Q332" s="28"/>
      <c r="R332" s="30" t="s">
        <v>2747</v>
      </c>
      <c r="S332" s="30" t="s">
        <v>53</v>
      </c>
      <c r="T332" s="30"/>
      <c r="U332" s="28" t="s">
        <v>2174</v>
      </c>
      <c r="V332" s="30" t="s">
        <v>63</v>
      </c>
      <c r="W332" s="30" t="s">
        <v>64</v>
      </c>
      <c r="X332" s="32">
        <v>43831</v>
      </c>
      <c r="Y332" s="32">
        <v>45627</v>
      </c>
      <c r="Z332" s="30" t="s">
        <v>65</v>
      </c>
      <c r="AA332" s="28" t="s">
        <v>134</v>
      </c>
      <c r="AB332" s="28" t="s">
        <v>67</v>
      </c>
      <c r="AC332" s="29"/>
      <c r="AD332" s="28">
        <v>0</v>
      </c>
      <c r="AE332" s="29"/>
      <c r="AF332" s="31"/>
      <c r="AG332" s="30" t="s">
        <v>1579</v>
      </c>
      <c r="AH332" s="28"/>
      <c r="AI332" s="28" t="s">
        <v>53</v>
      </c>
      <c r="AJ332" s="33">
        <v>35022</v>
      </c>
      <c r="AK332" s="28">
        <v>8</v>
      </c>
      <c r="AL332" s="28">
        <v>18</v>
      </c>
      <c r="AM332" s="21"/>
      <c r="AN332" s="27"/>
      <c r="AO332" s="27"/>
      <c r="AP332" s="27"/>
      <c r="AQ332" s="27"/>
    </row>
    <row r="333" spans="1:43" ht="15.75" customHeight="1">
      <c r="A333" s="28">
        <v>141</v>
      </c>
      <c r="B333" s="29" t="s">
        <v>2748</v>
      </c>
      <c r="C333" s="30" t="s">
        <v>2749</v>
      </c>
      <c r="D333" s="31" t="s">
        <v>2750</v>
      </c>
      <c r="E333" s="30" t="s">
        <v>49</v>
      </c>
      <c r="F333" s="30" t="s">
        <v>50</v>
      </c>
      <c r="G333" s="30" t="s">
        <v>51</v>
      </c>
      <c r="H333" s="28" t="s">
        <v>52</v>
      </c>
      <c r="I333" s="30"/>
      <c r="J333" s="30" t="s">
        <v>53</v>
      </c>
      <c r="K333" s="30" t="s">
        <v>2751</v>
      </c>
      <c r="L333" s="30" t="s">
        <v>55</v>
      </c>
      <c r="M333" s="30" t="s">
        <v>656</v>
      </c>
      <c r="N333" s="30" t="s">
        <v>2752</v>
      </c>
      <c r="O333" s="30" t="s">
        <v>2753</v>
      </c>
      <c r="P333" s="30" t="s">
        <v>2754</v>
      </c>
      <c r="Q333" s="28"/>
      <c r="R333" s="30" t="s">
        <v>2755</v>
      </c>
      <c r="S333" s="30" t="s">
        <v>53</v>
      </c>
      <c r="T333" s="30"/>
      <c r="U333" s="28" t="s">
        <v>689</v>
      </c>
      <c r="V333" s="30" t="s">
        <v>63</v>
      </c>
      <c r="W333" s="30" t="s">
        <v>64</v>
      </c>
      <c r="X333" s="32">
        <v>44593</v>
      </c>
      <c r="Y333" s="32">
        <v>46722</v>
      </c>
      <c r="Z333" s="30" t="s">
        <v>65</v>
      </c>
      <c r="AA333" s="28" t="s">
        <v>134</v>
      </c>
      <c r="AB333" s="28" t="s">
        <v>67</v>
      </c>
      <c r="AC333" s="29"/>
      <c r="AD333" s="28">
        <v>0</v>
      </c>
      <c r="AE333" s="29"/>
      <c r="AF333" s="31"/>
      <c r="AG333" s="30" t="s">
        <v>1579</v>
      </c>
      <c r="AH333" s="28"/>
      <c r="AI333" s="28" t="s">
        <v>53</v>
      </c>
      <c r="AJ333" s="33">
        <v>37672</v>
      </c>
      <c r="AK333" s="28">
        <v>5</v>
      </c>
      <c r="AL333" s="28">
        <v>18</v>
      </c>
      <c r="AM333" s="21"/>
      <c r="AN333" s="27"/>
      <c r="AO333" s="27"/>
      <c r="AP333" s="27"/>
      <c r="AQ333" s="27"/>
    </row>
    <row r="334" spans="1:43" ht="15.75" customHeight="1">
      <c r="A334" s="28">
        <v>142</v>
      </c>
      <c r="B334" s="29" t="s">
        <v>2756</v>
      </c>
      <c r="C334" s="30"/>
      <c r="D334" s="31" t="s">
        <v>2757</v>
      </c>
      <c r="E334" s="30" t="s">
        <v>72</v>
      </c>
      <c r="F334" s="30" t="s">
        <v>50</v>
      </c>
      <c r="G334" s="30" t="s">
        <v>51</v>
      </c>
      <c r="H334" s="28" t="s">
        <v>52</v>
      </c>
      <c r="I334" s="30"/>
      <c r="J334" s="30" t="s">
        <v>53</v>
      </c>
      <c r="K334" s="30" t="s">
        <v>2758</v>
      </c>
      <c r="L334" s="30" t="s">
        <v>55</v>
      </c>
      <c r="M334" s="30" t="s">
        <v>2759</v>
      </c>
      <c r="N334" s="30" t="s">
        <v>2760</v>
      </c>
      <c r="O334" s="30" t="s">
        <v>2761</v>
      </c>
      <c r="P334" s="30" t="s">
        <v>2762</v>
      </c>
      <c r="Q334" s="28" t="s">
        <v>412</v>
      </c>
      <c r="R334" s="30" t="s">
        <v>2763</v>
      </c>
      <c r="S334" s="30" t="s">
        <v>53</v>
      </c>
      <c r="T334" s="30"/>
      <c r="U334" s="28" t="s">
        <v>2764</v>
      </c>
      <c r="V334" s="30" t="s">
        <v>63</v>
      </c>
      <c r="W334" s="30" t="s">
        <v>64</v>
      </c>
      <c r="X334" s="32">
        <v>43862</v>
      </c>
      <c r="Y334" s="32">
        <v>45627</v>
      </c>
      <c r="Z334" s="30" t="s">
        <v>65</v>
      </c>
      <c r="AA334" s="28" t="s">
        <v>134</v>
      </c>
      <c r="AB334" s="28" t="s">
        <v>67</v>
      </c>
      <c r="AC334" s="29"/>
      <c r="AD334" s="28">
        <v>0</v>
      </c>
      <c r="AE334" s="29"/>
      <c r="AF334" s="31"/>
      <c r="AG334" s="30" t="s">
        <v>1579</v>
      </c>
      <c r="AH334" s="28"/>
      <c r="AI334" s="28" t="s">
        <v>118</v>
      </c>
      <c r="AJ334" s="33">
        <v>37125</v>
      </c>
      <c r="AK334" s="28">
        <v>8</v>
      </c>
      <c r="AL334" s="28">
        <v>18</v>
      </c>
      <c r="AM334" s="21"/>
      <c r="AN334" s="27"/>
      <c r="AO334" s="27"/>
      <c r="AP334" s="27"/>
      <c r="AQ334" s="27"/>
    </row>
    <row r="335" spans="1:43" ht="15.75" customHeight="1">
      <c r="A335" s="28">
        <v>143</v>
      </c>
      <c r="B335" s="29" t="s">
        <v>2765</v>
      </c>
      <c r="C335" s="30" t="s">
        <v>2766</v>
      </c>
      <c r="D335" s="31" t="s">
        <v>2767</v>
      </c>
      <c r="E335" s="30" t="s">
        <v>49</v>
      </c>
      <c r="F335" s="30" t="s">
        <v>50</v>
      </c>
      <c r="G335" s="30" t="s">
        <v>51</v>
      </c>
      <c r="H335" s="28" t="s">
        <v>52</v>
      </c>
      <c r="I335" s="30"/>
      <c r="J335" s="30" t="s">
        <v>53</v>
      </c>
      <c r="K335" s="30" t="s">
        <v>2768</v>
      </c>
      <c r="L335" s="30" t="s">
        <v>55</v>
      </c>
      <c r="M335" s="30" t="s">
        <v>1573</v>
      </c>
      <c r="N335" s="30" t="s">
        <v>2769</v>
      </c>
      <c r="O335" s="30" t="s">
        <v>2770</v>
      </c>
      <c r="P335" s="30" t="s">
        <v>2771</v>
      </c>
      <c r="Q335" s="28" t="s">
        <v>2772</v>
      </c>
      <c r="R335" s="30" t="s">
        <v>2773</v>
      </c>
      <c r="S335" s="30" t="s">
        <v>53</v>
      </c>
      <c r="T335" s="30"/>
      <c r="U335" s="28" t="s">
        <v>2437</v>
      </c>
      <c r="V335" s="30" t="s">
        <v>63</v>
      </c>
      <c r="W335" s="30" t="s">
        <v>64</v>
      </c>
      <c r="X335" s="32">
        <v>44409</v>
      </c>
      <c r="Y335" s="32">
        <v>46204</v>
      </c>
      <c r="Z335" s="30" t="s">
        <v>65</v>
      </c>
      <c r="AA335" s="28" t="s">
        <v>66</v>
      </c>
      <c r="AB335" s="28" t="s">
        <v>67</v>
      </c>
      <c r="AC335" s="29"/>
      <c r="AD335" s="28">
        <v>0</v>
      </c>
      <c r="AE335" s="29"/>
      <c r="AF335" s="31"/>
      <c r="AG335" s="30" t="s">
        <v>1579</v>
      </c>
      <c r="AH335" s="28"/>
      <c r="AI335" s="28" t="s">
        <v>53</v>
      </c>
      <c r="AJ335" s="33">
        <v>37700</v>
      </c>
      <c r="AK335" s="28">
        <v>5</v>
      </c>
      <c r="AL335" s="28">
        <v>18</v>
      </c>
      <c r="AM335" s="21"/>
      <c r="AN335" s="27"/>
      <c r="AO335" s="27"/>
      <c r="AP335" s="27"/>
      <c r="AQ335" s="27"/>
    </row>
    <row r="336" spans="1:43" ht="15.75" customHeight="1">
      <c r="A336" s="28">
        <v>144</v>
      </c>
      <c r="B336" s="29" t="s">
        <v>2774</v>
      </c>
      <c r="C336" s="30" t="s">
        <v>2775</v>
      </c>
      <c r="D336" s="31" t="s">
        <v>2776</v>
      </c>
      <c r="E336" s="30" t="s">
        <v>72</v>
      </c>
      <c r="F336" s="30" t="s">
        <v>50</v>
      </c>
      <c r="G336" s="30" t="s">
        <v>51</v>
      </c>
      <c r="H336" s="28" t="s">
        <v>85</v>
      </c>
      <c r="I336" s="30"/>
      <c r="J336" s="30" t="s">
        <v>53</v>
      </c>
      <c r="K336" s="30" t="s">
        <v>2777</v>
      </c>
      <c r="L336" s="30" t="s">
        <v>55</v>
      </c>
      <c r="M336" s="30" t="s">
        <v>656</v>
      </c>
      <c r="N336" s="30" t="s">
        <v>2778</v>
      </c>
      <c r="O336" s="30" t="s">
        <v>2779</v>
      </c>
      <c r="P336" s="30" t="s">
        <v>2780</v>
      </c>
      <c r="Q336" s="28"/>
      <c r="R336" s="30" t="s">
        <v>2781</v>
      </c>
      <c r="S336" s="30" t="s">
        <v>53</v>
      </c>
      <c r="T336" s="30"/>
      <c r="U336" s="28" t="s">
        <v>1641</v>
      </c>
      <c r="V336" s="30" t="s">
        <v>63</v>
      </c>
      <c r="W336" s="30" t="s">
        <v>64</v>
      </c>
      <c r="X336" s="32">
        <v>44197</v>
      </c>
      <c r="Y336" s="32">
        <v>45809</v>
      </c>
      <c r="Z336" s="30" t="s">
        <v>65</v>
      </c>
      <c r="AA336" s="28" t="s">
        <v>66</v>
      </c>
      <c r="AB336" s="28" t="s">
        <v>67</v>
      </c>
      <c r="AC336" s="29"/>
      <c r="AD336" s="28">
        <v>0</v>
      </c>
      <c r="AE336" s="29"/>
      <c r="AF336" s="31"/>
      <c r="AG336" s="30" t="s">
        <v>1579</v>
      </c>
      <c r="AH336" s="28"/>
      <c r="AI336" s="28" t="s">
        <v>53</v>
      </c>
      <c r="AJ336" s="33">
        <v>29907</v>
      </c>
      <c r="AK336" s="28">
        <v>7</v>
      </c>
      <c r="AL336" s="28">
        <v>18</v>
      </c>
      <c r="AM336" s="21"/>
      <c r="AN336" s="27"/>
      <c r="AO336" s="27"/>
      <c r="AP336" s="27"/>
      <c r="AQ336" s="27"/>
    </row>
    <row r="337" spans="1:43" ht="15.75" customHeight="1">
      <c r="A337" s="28">
        <v>145</v>
      </c>
      <c r="B337" s="29" t="s">
        <v>2782</v>
      </c>
      <c r="C337" s="30"/>
      <c r="D337" s="31" t="s">
        <v>2783</v>
      </c>
      <c r="E337" s="30" t="s">
        <v>72</v>
      </c>
      <c r="F337" s="30" t="s">
        <v>50</v>
      </c>
      <c r="G337" s="30" t="s">
        <v>51</v>
      </c>
      <c r="H337" s="28" t="s">
        <v>52</v>
      </c>
      <c r="I337" s="30"/>
      <c r="J337" s="30" t="s">
        <v>53</v>
      </c>
      <c r="K337" s="30" t="s">
        <v>2784</v>
      </c>
      <c r="L337" s="30" t="s">
        <v>55</v>
      </c>
      <c r="M337" s="30" t="s">
        <v>656</v>
      </c>
      <c r="N337" s="30" t="s">
        <v>2785</v>
      </c>
      <c r="O337" s="30" t="s">
        <v>2786</v>
      </c>
      <c r="P337" s="30" t="s">
        <v>2787</v>
      </c>
      <c r="Q337" s="28" t="s">
        <v>2788</v>
      </c>
      <c r="R337" s="30" t="s">
        <v>2789</v>
      </c>
      <c r="S337" s="30" t="s">
        <v>53</v>
      </c>
      <c r="T337" s="30"/>
      <c r="U337" s="28" t="s">
        <v>2790</v>
      </c>
      <c r="V337" s="30" t="s">
        <v>63</v>
      </c>
      <c r="W337" s="30" t="s">
        <v>64</v>
      </c>
      <c r="X337" s="32">
        <v>44228</v>
      </c>
      <c r="Y337" s="32">
        <v>45992</v>
      </c>
      <c r="Z337" s="30" t="s">
        <v>65</v>
      </c>
      <c r="AA337" s="28" t="s">
        <v>66</v>
      </c>
      <c r="AB337" s="28" t="s">
        <v>67</v>
      </c>
      <c r="AC337" s="29"/>
      <c r="AD337" s="28">
        <v>0</v>
      </c>
      <c r="AE337" s="29"/>
      <c r="AF337" s="31"/>
      <c r="AG337" s="30" t="s">
        <v>1579</v>
      </c>
      <c r="AH337" s="28"/>
      <c r="AI337" s="28" t="s">
        <v>53</v>
      </c>
      <c r="AJ337" s="33">
        <v>35391</v>
      </c>
      <c r="AK337" s="28">
        <v>6</v>
      </c>
      <c r="AL337" s="28">
        <v>17</v>
      </c>
      <c r="AM337" s="21"/>
      <c r="AN337" s="27"/>
      <c r="AO337" s="27"/>
      <c r="AP337" s="27"/>
      <c r="AQ337" s="27"/>
    </row>
    <row r="338" spans="1:43" ht="15.75" customHeight="1">
      <c r="A338" s="28">
        <v>146</v>
      </c>
      <c r="B338" s="29" t="s">
        <v>2791</v>
      </c>
      <c r="C338" s="30" t="s">
        <v>2792</v>
      </c>
      <c r="D338" s="31" t="s">
        <v>2793</v>
      </c>
      <c r="E338" s="30" t="s">
        <v>72</v>
      </c>
      <c r="F338" s="30" t="s">
        <v>50</v>
      </c>
      <c r="G338" s="30" t="s">
        <v>51</v>
      </c>
      <c r="H338" s="28" t="s">
        <v>85</v>
      </c>
      <c r="I338" s="30"/>
      <c r="J338" s="30" t="s">
        <v>53</v>
      </c>
      <c r="K338" s="30" t="s">
        <v>2794</v>
      </c>
      <c r="L338" s="30" t="s">
        <v>55</v>
      </c>
      <c r="M338" s="30" t="s">
        <v>1573</v>
      </c>
      <c r="N338" s="30" t="s">
        <v>2795</v>
      </c>
      <c r="O338" s="30" t="s">
        <v>1575</v>
      </c>
      <c r="P338" s="30" t="s">
        <v>2796</v>
      </c>
      <c r="Q338" s="28"/>
      <c r="R338" s="30" t="s">
        <v>2797</v>
      </c>
      <c r="S338" s="30" t="s">
        <v>53</v>
      </c>
      <c r="T338" s="30"/>
      <c r="U338" s="28" t="s">
        <v>2798</v>
      </c>
      <c r="V338" s="30" t="s">
        <v>63</v>
      </c>
      <c r="W338" s="30" t="s">
        <v>64</v>
      </c>
      <c r="X338" s="32">
        <v>44197</v>
      </c>
      <c r="Y338" s="32">
        <v>45992</v>
      </c>
      <c r="Z338" s="30" t="s">
        <v>65</v>
      </c>
      <c r="AA338" s="28" t="s">
        <v>134</v>
      </c>
      <c r="AB338" s="28" t="s">
        <v>67</v>
      </c>
      <c r="AC338" s="29"/>
      <c r="AD338" s="28">
        <v>0</v>
      </c>
      <c r="AE338" s="29"/>
      <c r="AF338" s="31"/>
      <c r="AG338" s="30" t="s">
        <v>1579</v>
      </c>
      <c r="AH338" s="28"/>
      <c r="AI338" s="28" t="s">
        <v>118</v>
      </c>
      <c r="AJ338" s="33">
        <v>37509</v>
      </c>
      <c r="AK338" s="28">
        <v>6</v>
      </c>
      <c r="AL338" s="28">
        <v>17</v>
      </c>
      <c r="AM338" s="21"/>
      <c r="AN338" s="27"/>
      <c r="AO338" s="27"/>
      <c r="AP338" s="27"/>
      <c r="AQ338" s="27"/>
    </row>
    <row r="339" spans="1:43" ht="15.75" customHeight="1">
      <c r="A339" s="28">
        <v>147</v>
      </c>
      <c r="B339" s="29" t="s">
        <v>2799</v>
      </c>
      <c r="C339" s="30"/>
      <c r="D339" s="31" t="s">
        <v>2800</v>
      </c>
      <c r="E339" s="30" t="s">
        <v>49</v>
      </c>
      <c r="F339" s="30" t="s">
        <v>50</v>
      </c>
      <c r="G339" s="30" t="s">
        <v>51</v>
      </c>
      <c r="H339" s="28" t="s">
        <v>85</v>
      </c>
      <c r="I339" s="30"/>
      <c r="J339" s="30" t="s">
        <v>53</v>
      </c>
      <c r="K339" s="30" t="s">
        <v>2801</v>
      </c>
      <c r="L339" s="30" t="s">
        <v>55</v>
      </c>
      <c r="M339" s="30" t="s">
        <v>1573</v>
      </c>
      <c r="N339" s="30" t="s">
        <v>2802</v>
      </c>
      <c r="O339" s="30" t="s">
        <v>2803</v>
      </c>
      <c r="P339" s="30" t="s">
        <v>2804</v>
      </c>
      <c r="Q339" s="28"/>
      <c r="R339" s="30" t="s">
        <v>2805</v>
      </c>
      <c r="S339" s="30" t="s">
        <v>53</v>
      </c>
      <c r="T339" s="30"/>
      <c r="U339" s="28" t="s">
        <v>1615</v>
      </c>
      <c r="V339" s="30" t="s">
        <v>63</v>
      </c>
      <c r="W339" s="30" t="s">
        <v>64</v>
      </c>
      <c r="X339" s="32">
        <v>44409</v>
      </c>
      <c r="Y339" s="32">
        <v>46174</v>
      </c>
      <c r="Z339" s="30" t="s">
        <v>65</v>
      </c>
      <c r="AA339" s="28" t="s">
        <v>66</v>
      </c>
      <c r="AB339" s="28" t="s">
        <v>67</v>
      </c>
      <c r="AC339" s="29"/>
      <c r="AD339" s="28">
        <v>0</v>
      </c>
      <c r="AE339" s="29"/>
      <c r="AF339" s="31"/>
      <c r="AG339" s="30" t="s">
        <v>1579</v>
      </c>
      <c r="AH339" s="28"/>
      <c r="AI339" s="28" t="s">
        <v>118</v>
      </c>
      <c r="AJ339" s="33">
        <v>37715</v>
      </c>
      <c r="AK339" s="28">
        <v>5</v>
      </c>
      <c r="AL339" s="28">
        <v>17</v>
      </c>
      <c r="AM339" s="21"/>
      <c r="AN339" s="27"/>
      <c r="AO339" s="27"/>
      <c r="AP339" s="27"/>
      <c r="AQ339" s="27"/>
    </row>
    <row r="340" spans="1:43" ht="15.75" customHeight="1">
      <c r="A340" s="28">
        <v>148</v>
      </c>
      <c r="B340" s="29" t="s">
        <v>2806</v>
      </c>
      <c r="C340" s="30" t="s">
        <v>2807</v>
      </c>
      <c r="D340" s="31" t="s">
        <v>2808</v>
      </c>
      <c r="E340" s="30" t="s">
        <v>72</v>
      </c>
      <c r="F340" s="30" t="s">
        <v>50</v>
      </c>
      <c r="G340" s="30" t="s">
        <v>51</v>
      </c>
      <c r="H340" s="28" t="s">
        <v>191</v>
      </c>
      <c r="I340" s="30"/>
      <c r="J340" s="30" t="s">
        <v>53</v>
      </c>
      <c r="K340" s="30" t="s">
        <v>2809</v>
      </c>
      <c r="L340" s="30" t="s">
        <v>55</v>
      </c>
      <c r="M340" s="30" t="s">
        <v>656</v>
      </c>
      <c r="N340" s="30" t="s">
        <v>2810</v>
      </c>
      <c r="O340" s="30" t="s">
        <v>2811</v>
      </c>
      <c r="P340" s="30" t="s">
        <v>2812</v>
      </c>
      <c r="Q340" s="28"/>
      <c r="R340" s="30" t="s">
        <v>2813</v>
      </c>
      <c r="S340" s="30" t="s">
        <v>53</v>
      </c>
      <c r="T340" s="30"/>
      <c r="U340" s="28" t="s">
        <v>1798</v>
      </c>
      <c r="V340" s="30" t="s">
        <v>63</v>
      </c>
      <c r="W340" s="30" t="s">
        <v>64</v>
      </c>
      <c r="X340" s="32">
        <v>44348</v>
      </c>
      <c r="Y340" s="32">
        <v>46174</v>
      </c>
      <c r="Z340" s="30" t="s">
        <v>65</v>
      </c>
      <c r="AA340" s="28" t="s">
        <v>66</v>
      </c>
      <c r="AB340" s="28" t="s">
        <v>67</v>
      </c>
      <c r="AC340" s="29"/>
      <c r="AD340" s="28">
        <v>0</v>
      </c>
      <c r="AE340" s="29"/>
      <c r="AF340" s="31"/>
      <c r="AG340" s="30" t="s">
        <v>1579</v>
      </c>
      <c r="AH340" s="28"/>
      <c r="AI340" s="28" t="s">
        <v>53</v>
      </c>
      <c r="AJ340" s="33">
        <v>37203</v>
      </c>
      <c r="AK340" s="28">
        <v>5</v>
      </c>
      <c r="AL340" s="28">
        <v>17</v>
      </c>
      <c r="AM340" s="21"/>
      <c r="AN340" s="27"/>
      <c r="AO340" s="27"/>
      <c r="AP340" s="27"/>
      <c r="AQ340" s="27"/>
    </row>
    <row r="341" spans="1:43" ht="15.75" customHeight="1">
      <c r="A341" s="28">
        <v>149</v>
      </c>
      <c r="B341" s="29" t="s">
        <v>2814</v>
      </c>
      <c r="C341" s="30"/>
      <c r="D341" s="31" t="s">
        <v>2815</v>
      </c>
      <c r="E341" s="30" t="s">
        <v>49</v>
      </c>
      <c r="F341" s="30" t="s">
        <v>84</v>
      </c>
      <c r="G341" s="30" t="s">
        <v>51</v>
      </c>
      <c r="H341" s="28" t="s">
        <v>85</v>
      </c>
      <c r="I341" s="30"/>
      <c r="J341" s="30" t="s">
        <v>53</v>
      </c>
      <c r="K341" s="30" t="s">
        <v>2816</v>
      </c>
      <c r="L341" s="30" t="s">
        <v>55</v>
      </c>
      <c r="M341" s="30" t="s">
        <v>1573</v>
      </c>
      <c r="N341" s="30" t="s">
        <v>2817</v>
      </c>
      <c r="O341" s="30" t="s">
        <v>2818</v>
      </c>
      <c r="P341" s="30" t="s">
        <v>2819</v>
      </c>
      <c r="Q341" s="28"/>
      <c r="R341" s="30" t="s">
        <v>2820</v>
      </c>
      <c r="S341" s="30" t="s">
        <v>53</v>
      </c>
      <c r="T341" s="30"/>
      <c r="U341" s="28" t="s">
        <v>2821</v>
      </c>
      <c r="V341" s="30" t="s">
        <v>63</v>
      </c>
      <c r="W341" s="30" t="s">
        <v>64</v>
      </c>
      <c r="X341" s="32">
        <v>42887</v>
      </c>
      <c r="Y341" s="32">
        <v>45627</v>
      </c>
      <c r="Z341" s="30" t="s">
        <v>65</v>
      </c>
      <c r="AA341" s="28" t="s">
        <v>66</v>
      </c>
      <c r="AB341" s="28" t="s">
        <v>67</v>
      </c>
      <c r="AC341" s="29"/>
      <c r="AD341" s="28">
        <v>0</v>
      </c>
      <c r="AE341" s="29"/>
      <c r="AF341" s="31"/>
      <c r="AG341" s="30" t="s">
        <v>1579</v>
      </c>
      <c r="AH341" s="28"/>
      <c r="AI341" s="28" t="s">
        <v>53</v>
      </c>
      <c r="AJ341" s="33">
        <v>36106</v>
      </c>
      <c r="AK341" s="28">
        <v>8</v>
      </c>
      <c r="AL341" s="28">
        <v>17</v>
      </c>
      <c r="AM341" s="21"/>
      <c r="AN341" s="27"/>
      <c r="AO341" s="27"/>
      <c r="AP341" s="27"/>
      <c r="AQ341" s="27"/>
    </row>
    <row r="342" spans="1:43" ht="15.75" customHeight="1">
      <c r="A342" s="28">
        <v>150</v>
      </c>
      <c r="B342" s="29" t="s">
        <v>2822</v>
      </c>
      <c r="C342" s="30"/>
      <c r="D342" s="31" t="s">
        <v>2823</v>
      </c>
      <c r="E342" s="30" t="s">
        <v>49</v>
      </c>
      <c r="F342" s="30" t="s">
        <v>50</v>
      </c>
      <c r="G342" s="30" t="s">
        <v>51</v>
      </c>
      <c r="H342" s="28" t="s">
        <v>52</v>
      </c>
      <c r="I342" s="30"/>
      <c r="J342" s="30" t="s">
        <v>53</v>
      </c>
      <c r="K342" s="30" t="s">
        <v>2824</v>
      </c>
      <c r="L342" s="30" t="s">
        <v>55</v>
      </c>
      <c r="M342" s="30" t="s">
        <v>1573</v>
      </c>
      <c r="N342" s="30" t="s">
        <v>2825</v>
      </c>
      <c r="O342" s="30" t="s">
        <v>1776</v>
      </c>
      <c r="P342" s="30" t="s">
        <v>2826</v>
      </c>
      <c r="Q342" s="28"/>
      <c r="R342" s="30" t="s">
        <v>2827</v>
      </c>
      <c r="S342" s="30" t="s">
        <v>53</v>
      </c>
      <c r="T342" s="30"/>
      <c r="U342" s="28" t="s">
        <v>1756</v>
      </c>
      <c r="V342" s="30" t="s">
        <v>63</v>
      </c>
      <c r="W342" s="30" t="s">
        <v>64</v>
      </c>
      <c r="X342" s="32">
        <v>42948</v>
      </c>
      <c r="Y342" s="32">
        <v>45627</v>
      </c>
      <c r="Z342" s="30" t="s">
        <v>65</v>
      </c>
      <c r="AA342" s="28" t="s">
        <v>134</v>
      </c>
      <c r="AB342" s="28" t="s">
        <v>67</v>
      </c>
      <c r="AC342" s="29"/>
      <c r="AD342" s="28">
        <v>0</v>
      </c>
      <c r="AE342" s="29"/>
      <c r="AF342" s="31"/>
      <c r="AG342" s="30" t="s">
        <v>1579</v>
      </c>
      <c r="AH342" s="28"/>
      <c r="AI342" s="28" t="s">
        <v>53</v>
      </c>
      <c r="AJ342" s="33">
        <v>35917</v>
      </c>
      <c r="AK342" s="28">
        <v>7</v>
      </c>
      <c r="AL342" s="28">
        <v>17</v>
      </c>
      <c r="AM342" s="21"/>
      <c r="AN342" s="27"/>
      <c r="AO342" s="27"/>
      <c r="AP342" s="27"/>
      <c r="AQ342" s="27"/>
    </row>
    <row r="343" spans="1:43" ht="15.75" customHeight="1">
      <c r="A343" s="28">
        <v>151</v>
      </c>
      <c r="B343" s="29" t="s">
        <v>2828</v>
      </c>
      <c r="C343" s="30"/>
      <c r="D343" s="31" t="s">
        <v>2829</v>
      </c>
      <c r="E343" s="30" t="s">
        <v>72</v>
      </c>
      <c r="F343" s="30" t="s">
        <v>50</v>
      </c>
      <c r="G343" s="30" t="s">
        <v>51</v>
      </c>
      <c r="H343" s="28" t="s">
        <v>1121</v>
      </c>
      <c r="I343" s="30"/>
      <c r="J343" s="30" t="s">
        <v>53</v>
      </c>
      <c r="K343" s="30" t="s">
        <v>2830</v>
      </c>
      <c r="L343" s="30" t="s">
        <v>55</v>
      </c>
      <c r="M343" s="30" t="s">
        <v>1573</v>
      </c>
      <c r="N343" s="30" t="s">
        <v>2831</v>
      </c>
      <c r="O343" s="30" t="s">
        <v>1942</v>
      </c>
      <c r="P343" s="30" t="s">
        <v>2832</v>
      </c>
      <c r="Q343" s="28"/>
      <c r="R343" s="30" t="s">
        <v>2833</v>
      </c>
      <c r="S343" s="30" t="s">
        <v>53</v>
      </c>
      <c r="T343" s="30"/>
      <c r="U343" s="28" t="s">
        <v>765</v>
      </c>
      <c r="V343" s="30" t="s">
        <v>63</v>
      </c>
      <c r="W343" s="30" t="s">
        <v>64</v>
      </c>
      <c r="X343" s="32">
        <v>43862</v>
      </c>
      <c r="Y343" s="32">
        <v>45627</v>
      </c>
      <c r="Z343" s="30" t="s">
        <v>65</v>
      </c>
      <c r="AA343" s="28" t="s">
        <v>134</v>
      </c>
      <c r="AB343" s="28" t="s">
        <v>67</v>
      </c>
      <c r="AC343" s="29"/>
      <c r="AD343" s="28">
        <v>0</v>
      </c>
      <c r="AE343" s="29"/>
      <c r="AF343" s="31"/>
      <c r="AG343" s="30" t="s">
        <v>1579</v>
      </c>
      <c r="AH343" s="28"/>
      <c r="AI343" s="28" t="s">
        <v>53</v>
      </c>
      <c r="AJ343" s="33">
        <v>37247</v>
      </c>
      <c r="AK343" s="28">
        <v>8</v>
      </c>
      <c r="AL343" s="28">
        <v>17</v>
      </c>
      <c r="AM343" s="21"/>
      <c r="AN343" s="27"/>
      <c r="AO343" s="27"/>
      <c r="AP343" s="27"/>
      <c r="AQ343" s="27"/>
    </row>
    <row r="344" spans="1:43" ht="15.75" customHeight="1">
      <c r="A344" s="28">
        <v>152</v>
      </c>
      <c r="B344" s="29" t="s">
        <v>2834</v>
      </c>
      <c r="C344" s="30"/>
      <c r="D344" s="31" t="s">
        <v>2835</v>
      </c>
      <c r="E344" s="30" t="s">
        <v>49</v>
      </c>
      <c r="F344" s="30" t="s">
        <v>50</v>
      </c>
      <c r="G344" s="30" t="s">
        <v>51</v>
      </c>
      <c r="H344" s="28" t="s">
        <v>191</v>
      </c>
      <c r="I344" s="30"/>
      <c r="J344" s="30" t="s">
        <v>53</v>
      </c>
      <c r="K344" s="30" t="s">
        <v>2101</v>
      </c>
      <c r="L344" s="30" t="s">
        <v>55</v>
      </c>
      <c r="M344" s="30" t="s">
        <v>1573</v>
      </c>
      <c r="N344" s="30" t="s">
        <v>2836</v>
      </c>
      <c r="O344" s="30" t="s">
        <v>1776</v>
      </c>
      <c r="P344" s="30" t="s">
        <v>2837</v>
      </c>
      <c r="Q344" s="28" t="s">
        <v>2838</v>
      </c>
      <c r="R344" s="30" t="s">
        <v>2839</v>
      </c>
      <c r="S344" s="30" t="s">
        <v>53</v>
      </c>
      <c r="T344" s="30"/>
      <c r="U344" s="28" t="s">
        <v>2840</v>
      </c>
      <c r="V344" s="30" t="s">
        <v>63</v>
      </c>
      <c r="W344" s="30" t="s">
        <v>64</v>
      </c>
      <c r="X344" s="32">
        <v>44044</v>
      </c>
      <c r="Y344" s="32">
        <v>45839</v>
      </c>
      <c r="Z344" s="30" t="s">
        <v>65</v>
      </c>
      <c r="AA344" s="28" t="s">
        <v>66</v>
      </c>
      <c r="AB344" s="28" t="s">
        <v>67</v>
      </c>
      <c r="AC344" s="29"/>
      <c r="AD344" s="28">
        <v>0</v>
      </c>
      <c r="AE344" s="29"/>
      <c r="AF344" s="31"/>
      <c r="AG344" s="30" t="s">
        <v>1579</v>
      </c>
      <c r="AH344" s="28"/>
      <c r="AI344" s="28" t="s">
        <v>53</v>
      </c>
      <c r="AJ344" s="33">
        <v>37248</v>
      </c>
      <c r="AK344" s="28">
        <v>7</v>
      </c>
      <c r="AL344" s="28">
        <v>17</v>
      </c>
      <c r="AM344" s="21"/>
      <c r="AN344" s="27"/>
      <c r="AO344" s="27"/>
      <c r="AP344" s="27"/>
      <c r="AQ344" s="27"/>
    </row>
    <row r="345" spans="1:43" ht="15.75" customHeight="1">
      <c r="A345" s="28">
        <v>153</v>
      </c>
      <c r="B345" s="29" t="s">
        <v>2841</v>
      </c>
      <c r="C345" s="30" t="s">
        <v>2842</v>
      </c>
      <c r="D345" s="31" t="s">
        <v>2843</v>
      </c>
      <c r="E345" s="30" t="s">
        <v>49</v>
      </c>
      <c r="F345" s="30" t="s">
        <v>50</v>
      </c>
      <c r="G345" s="30" t="s">
        <v>51</v>
      </c>
      <c r="H345" s="28" t="s">
        <v>85</v>
      </c>
      <c r="I345" s="30"/>
      <c r="J345" s="30" t="s">
        <v>53</v>
      </c>
      <c r="K345" s="30" t="s">
        <v>2844</v>
      </c>
      <c r="L345" s="30" t="s">
        <v>55</v>
      </c>
      <c r="M345" s="30" t="s">
        <v>656</v>
      </c>
      <c r="N345" s="30" t="s">
        <v>2845</v>
      </c>
      <c r="O345" s="30" t="s">
        <v>747</v>
      </c>
      <c r="P345" s="30" t="s">
        <v>2846</v>
      </c>
      <c r="Q345" s="28" t="s">
        <v>2847</v>
      </c>
      <c r="R345" s="30" t="s">
        <v>2848</v>
      </c>
      <c r="S345" s="30" t="s">
        <v>53</v>
      </c>
      <c r="T345" s="30"/>
      <c r="U345" s="28" t="s">
        <v>2051</v>
      </c>
      <c r="V345" s="30" t="s">
        <v>63</v>
      </c>
      <c r="W345" s="30" t="s">
        <v>64</v>
      </c>
      <c r="X345" s="32">
        <v>43497</v>
      </c>
      <c r="Y345" s="32">
        <v>45627</v>
      </c>
      <c r="Z345" s="30" t="s">
        <v>65</v>
      </c>
      <c r="AA345" s="28" t="s">
        <v>134</v>
      </c>
      <c r="AB345" s="28" t="s">
        <v>67</v>
      </c>
      <c r="AC345" s="29"/>
      <c r="AD345" s="28">
        <v>0</v>
      </c>
      <c r="AE345" s="29"/>
      <c r="AF345" s="31"/>
      <c r="AG345" s="30" t="s">
        <v>1579</v>
      </c>
      <c r="AH345" s="28"/>
      <c r="AI345" s="28" t="s">
        <v>53</v>
      </c>
      <c r="AJ345" s="33">
        <v>36642</v>
      </c>
      <c r="AK345" s="28">
        <v>9</v>
      </c>
      <c r="AL345" s="28">
        <v>17</v>
      </c>
      <c r="AM345" s="21"/>
      <c r="AN345" s="27"/>
      <c r="AO345" s="27"/>
      <c r="AP345" s="27"/>
      <c r="AQ345" s="27"/>
    </row>
    <row r="346" spans="1:43" ht="15.75" customHeight="1">
      <c r="A346" s="28">
        <v>154</v>
      </c>
      <c r="B346" s="29" t="s">
        <v>2849</v>
      </c>
      <c r="C346" s="30" t="s">
        <v>2850</v>
      </c>
      <c r="D346" s="31" t="s">
        <v>2851</v>
      </c>
      <c r="E346" s="30" t="s">
        <v>49</v>
      </c>
      <c r="F346" s="30" t="s">
        <v>50</v>
      </c>
      <c r="G346" s="30" t="s">
        <v>51</v>
      </c>
      <c r="H346" s="28" t="s">
        <v>52</v>
      </c>
      <c r="I346" s="30"/>
      <c r="J346" s="30" t="s">
        <v>53</v>
      </c>
      <c r="K346" s="30" t="s">
        <v>2852</v>
      </c>
      <c r="L346" s="30" t="s">
        <v>55</v>
      </c>
      <c r="M346" s="30" t="s">
        <v>1573</v>
      </c>
      <c r="N346" s="30" t="s">
        <v>2853</v>
      </c>
      <c r="O346" s="30" t="s">
        <v>95</v>
      </c>
      <c r="P346" s="30" t="s">
        <v>2854</v>
      </c>
      <c r="Q346" s="28"/>
      <c r="R346" s="30" t="s">
        <v>2855</v>
      </c>
      <c r="S346" s="30" t="s">
        <v>53</v>
      </c>
      <c r="T346" s="30"/>
      <c r="U346" s="28" t="s">
        <v>1798</v>
      </c>
      <c r="V346" s="30" t="s">
        <v>63</v>
      </c>
      <c r="W346" s="30" t="s">
        <v>64</v>
      </c>
      <c r="X346" s="32">
        <v>44958</v>
      </c>
      <c r="Y346" s="32">
        <v>46722</v>
      </c>
      <c r="Z346" s="30" t="s">
        <v>65</v>
      </c>
      <c r="AA346" s="28" t="s">
        <v>66</v>
      </c>
      <c r="AB346" s="28" t="s">
        <v>67</v>
      </c>
      <c r="AC346" s="29"/>
      <c r="AD346" s="28">
        <v>0</v>
      </c>
      <c r="AE346" s="29"/>
      <c r="AF346" s="31"/>
      <c r="AG346" s="30" t="s">
        <v>1579</v>
      </c>
      <c r="AH346" s="28"/>
      <c r="AI346" s="28" t="s">
        <v>53</v>
      </c>
      <c r="AJ346" s="33">
        <v>34088</v>
      </c>
      <c r="AK346" s="28">
        <v>5</v>
      </c>
      <c r="AL346" s="28">
        <v>17</v>
      </c>
      <c r="AM346" s="21"/>
      <c r="AN346" s="27"/>
      <c r="AO346" s="27"/>
      <c r="AP346" s="27"/>
      <c r="AQ346" s="27"/>
    </row>
    <row r="347" spans="1:43" ht="15.75" customHeight="1">
      <c r="A347" s="28">
        <v>155</v>
      </c>
      <c r="B347" s="29" t="s">
        <v>2856</v>
      </c>
      <c r="C347" s="30" t="s">
        <v>2857</v>
      </c>
      <c r="D347" s="31" t="s">
        <v>2858</v>
      </c>
      <c r="E347" s="30" t="s">
        <v>72</v>
      </c>
      <c r="F347" s="30" t="s">
        <v>50</v>
      </c>
      <c r="G347" s="30" t="s">
        <v>51</v>
      </c>
      <c r="H347" s="28" t="s">
        <v>601</v>
      </c>
      <c r="I347" s="30"/>
      <c r="J347" s="30" t="s">
        <v>53</v>
      </c>
      <c r="K347" s="30" t="s">
        <v>2859</v>
      </c>
      <c r="L347" s="30" t="s">
        <v>55</v>
      </c>
      <c r="M347" s="30" t="s">
        <v>1573</v>
      </c>
      <c r="N347" s="30" t="s">
        <v>2860</v>
      </c>
      <c r="O347" s="30" t="s">
        <v>1688</v>
      </c>
      <c r="P347" s="30" t="s">
        <v>2861</v>
      </c>
      <c r="Q347" s="28"/>
      <c r="R347" s="30" t="s">
        <v>2862</v>
      </c>
      <c r="S347" s="30" t="s">
        <v>53</v>
      </c>
      <c r="T347" s="30"/>
      <c r="U347" s="28" t="s">
        <v>2174</v>
      </c>
      <c r="V347" s="30" t="s">
        <v>63</v>
      </c>
      <c r="W347" s="30" t="s">
        <v>64</v>
      </c>
      <c r="X347" s="32">
        <v>43678</v>
      </c>
      <c r="Y347" s="32">
        <v>45474</v>
      </c>
      <c r="Z347" s="30" t="s">
        <v>65</v>
      </c>
      <c r="AA347" s="28" t="s">
        <v>134</v>
      </c>
      <c r="AB347" s="28" t="s">
        <v>67</v>
      </c>
      <c r="AC347" s="29"/>
      <c r="AD347" s="28">
        <v>0</v>
      </c>
      <c r="AE347" s="29"/>
      <c r="AF347" s="31"/>
      <c r="AG347" s="30" t="s">
        <v>1579</v>
      </c>
      <c r="AH347" s="28"/>
      <c r="AI347" s="28" t="s">
        <v>53</v>
      </c>
      <c r="AJ347" s="33">
        <v>37000</v>
      </c>
      <c r="AK347" s="28">
        <v>9</v>
      </c>
      <c r="AL347" s="28">
        <v>17</v>
      </c>
      <c r="AM347" s="21"/>
      <c r="AN347" s="27"/>
      <c r="AO347" s="27"/>
      <c r="AP347" s="27"/>
      <c r="AQ347" s="27"/>
    </row>
    <row r="348" spans="1:43" ht="15.75" customHeight="1">
      <c r="A348" s="28">
        <v>156</v>
      </c>
      <c r="B348" s="29" t="s">
        <v>2863</v>
      </c>
      <c r="C348" s="30" t="s">
        <v>2864</v>
      </c>
      <c r="D348" s="31" t="s">
        <v>2865</v>
      </c>
      <c r="E348" s="30" t="s">
        <v>72</v>
      </c>
      <c r="F348" s="30" t="s">
        <v>84</v>
      </c>
      <c r="G348" s="30" t="s">
        <v>51</v>
      </c>
      <c r="H348" s="28" t="s">
        <v>85</v>
      </c>
      <c r="I348" s="30"/>
      <c r="J348" s="30" t="s">
        <v>53</v>
      </c>
      <c r="K348" s="30" t="s">
        <v>2866</v>
      </c>
      <c r="L348" s="30" t="s">
        <v>55</v>
      </c>
      <c r="M348" s="30" t="s">
        <v>656</v>
      </c>
      <c r="N348" s="30" t="s">
        <v>2867</v>
      </c>
      <c r="O348" s="30" t="s">
        <v>1842</v>
      </c>
      <c r="P348" s="30" t="s">
        <v>2868</v>
      </c>
      <c r="Q348" s="28"/>
      <c r="R348" s="30" t="s">
        <v>2869</v>
      </c>
      <c r="S348" s="30" t="s">
        <v>53</v>
      </c>
      <c r="T348" s="30"/>
      <c r="U348" s="28" t="s">
        <v>2870</v>
      </c>
      <c r="V348" s="30" t="s">
        <v>63</v>
      </c>
      <c r="W348" s="30" t="s">
        <v>64</v>
      </c>
      <c r="X348" s="32">
        <v>44562</v>
      </c>
      <c r="Y348" s="32">
        <v>46357</v>
      </c>
      <c r="Z348" s="30" t="s">
        <v>65</v>
      </c>
      <c r="AA348" s="28" t="s">
        <v>134</v>
      </c>
      <c r="AB348" s="28" t="s">
        <v>67</v>
      </c>
      <c r="AC348" s="29"/>
      <c r="AD348" s="28">
        <v>0</v>
      </c>
      <c r="AE348" s="29"/>
      <c r="AF348" s="31"/>
      <c r="AG348" s="30" t="s">
        <v>1579</v>
      </c>
      <c r="AH348" s="28"/>
      <c r="AI348" s="28" t="s">
        <v>53</v>
      </c>
      <c r="AJ348" s="33">
        <v>32286</v>
      </c>
      <c r="AK348" s="28">
        <v>5</v>
      </c>
      <c r="AL348" s="28">
        <v>17</v>
      </c>
      <c r="AM348" s="21"/>
      <c r="AN348" s="27"/>
      <c r="AO348" s="27"/>
      <c r="AP348" s="27"/>
      <c r="AQ348" s="27"/>
    </row>
    <row r="349" spans="1:43" ht="15.75" customHeight="1">
      <c r="A349" s="28">
        <v>157</v>
      </c>
      <c r="B349" s="29" t="s">
        <v>2871</v>
      </c>
      <c r="C349" s="30"/>
      <c r="D349" s="31" t="s">
        <v>2872</v>
      </c>
      <c r="E349" s="30" t="s">
        <v>72</v>
      </c>
      <c r="F349" s="30" t="s">
        <v>50</v>
      </c>
      <c r="G349" s="30" t="s">
        <v>51</v>
      </c>
      <c r="H349" s="28" t="s">
        <v>52</v>
      </c>
      <c r="I349" s="30"/>
      <c r="J349" s="30" t="s">
        <v>53</v>
      </c>
      <c r="K349" s="30" t="s">
        <v>2729</v>
      </c>
      <c r="L349" s="30" t="s">
        <v>55</v>
      </c>
      <c r="M349" s="30" t="s">
        <v>1573</v>
      </c>
      <c r="N349" s="30" t="s">
        <v>2873</v>
      </c>
      <c r="O349" s="30" t="s">
        <v>1776</v>
      </c>
      <c r="P349" s="30" t="s">
        <v>2874</v>
      </c>
      <c r="Q349" s="28" t="s">
        <v>2875</v>
      </c>
      <c r="R349" s="30" t="s">
        <v>2876</v>
      </c>
      <c r="S349" s="30" t="s">
        <v>53</v>
      </c>
      <c r="T349" s="30"/>
      <c r="U349" s="28" t="s">
        <v>732</v>
      </c>
      <c r="V349" s="30" t="s">
        <v>63</v>
      </c>
      <c r="W349" s="30" t="s">
        <v>64</v>
      </c>
      <c r="X349" s="32">
        <v>43862</v>
      </c>
      <c r="Y349" s="32">
        <v>45992</v>
      </c>
      <c r="Z349" s="30" t="s">
        <v>65</v>
      </c>
      <c r="AA349" s="28" t="s">
        <v>134</v>
      </c>
      <c r="AB349" s="28" t="s">
        <v>67</v>
      </c>
      <c r="AC349" s="29"/>
      <c r="AD349" s="28">
        <v>0</v>
      </c>
      <c r="AE349" s="29"/>
      <c r="AF349" s="31"/>
      <c r="AG349" s="30" t="s">
        <v>1579</v>
      </c>
      <c r="AH349" s="28"/>
      <c r="AI349" s="28" t="s">
        <v>53</v>
      </c>
      <c r="AJ349" s="33">
        <v>36967</v>
      </c>
      <c r="AK349" s="28">
        <v>6</v>
      </c>
      <c r="AL349" s="28">
        <v>17</v>
      </c>
      <c r="AM349" s="21"/>
      <c r="AN349" s="27"/>
      <c r="AO349" s="27"/>
      <c r="AP349" s="27"/>
      <c r="AQ349" s="27"/>
    </row>
    <row r="350" spans="1:43" ht="15.75" customHeight="1">
      <c r="A350" s="28">
        <v>158</v>
      </c>
      <c r="B350" s="29" t="s">
        <v>2877</v>
      </c>
      <c r="C350" s="30" t="s">
        <v>2878</v>
      </c>
      <c r="D350" s="31" t="s">
        <v>2879</v>
      </c>
      <c r="E350" s="30" t="s">
        <v>72</v>
      </c>
      <c r="F350" s="30" t="s">
        <v>50</v>
      </c>
      <c r="G350" s="30" t="s">
        <v>51</v>
      </c>
      <c r="H350" s="28" t="s">
        <v>85</v>
      </c>
      <c r="I350" s="30"/>
      <c r="J350" s="30" t="s">
        <v>53</v>
      </c>
      <c r="K350" s="30" t="s">
        <v>2880</v>
      </c>
      <c r="L350" s="30" t="s">
        <v>55</v>
      </c>
      <c r="M350" s="30" t="s">
        <v>1573</v>
      </c>
      <c r="N350" s="30" t="s">
        <v>2881</v>
      </c>
      <c r="O350" s="30" t="s">
        <v>2882</v>
      </c>
      <c r="P350" s="30" t="s">
        <v>2883</v>
      </c>
      <c r="Q350" s="28" t="s">
        <v>2884</v>
      </c>
      <c r="R350" s="30" t="s">
        <v>2885</v>
      </c>
      <c r="S350" s="30" t="s">
        <v>53</v>
      </c>
      <c r="T350" s="30"/>
      <c r="U350" s="28" t="s">
        <v>2886</v>
      </c>
      <c r="V350" s="30" t="s">
        <v>63</v>
      </c>
      <c r="W350" s="30" t="s">
        <v>64</v>
      </c>
      <c r="X350" s="32">
        <v>44197</v>
      </c>
      <c r="Y350" s="32">
        <v>46023</v>
      </c>
      <c r="Z350" s="30" t="s">
        <v>65</v>
      </c>
      <c r="AA350" s="28" t="s">
        <v>66</v>
      </c>
      <c r="AB350" s="28" t="s">
        <v>67</v>
      </c>
      <c r="AC350" s="29"/>
      <c r="AD350" s="28">
        <v>0</v>
      </c>
      <c r="AE350" s="29"/>
      <c r="AF350" s="31"/>
      <c r="AG350" s="30" t="s">
        <v>1579</v>
      </c>
      <c r="AH350" s="28"/>
      <c r="AI350" s="28" t="s">
        <v>53</v>
      </c>
      <c r="AJ350" s="33">
        <v>37769</v>
      </c>
      <c r="AK350" s="28">
        <v>5</v>
      </c>
      <c r="AL350" s="28">
        <v>17</v>
      </c>
      <c r="AM350" s="21"/>
      <c r="AN350" s="27"/>
      <c r="AO350" s="27"/>
      <c r="AP350" s="27"/>
      <c r="AQ350" s="27"/>
    </row>
    <row r="351" spans="1:43" ht="15.75" customHeight="1">
      <c r="A351" s="28">
        <v>159</v>
      </c>
      <c r="B351" s="29" t="s">
        <v>2887</v>
      </c>
      <c r="C351" s="30"/>
      <c r="D351" s="31" t="s">
        <v>2888</v>
      </c>
      <c r="E351" s="30" t="s">
        <v>72</v>
      </c>
      <c r="F351" s="30" t="s">
        <v>50</v>
      </c>
      <c r="G351" s="30" t="s">
        <v>51</v>
      </c>
      <c r="H351" s="28" t="s">
        <v>52</v>
      </c>
      <c r="I351" s="30"/>
      <c r="J351" s="30" t="s">
        <v>53</v>
      </c>
      <c r="K351" s="30" t="s">
        <v>2889</v>
      </c>
      <c r="L351" s="30" t="s">
        <v>55</v>
      </c>
      <c r="M351" s="30" t="s">
        <v>656</v>
      </c>
      <c r="N351" s="30" t="s">
        <v>2890</v>
      </c>
      <c r="O351" s="30" t="s">
        <v>1886</v>
      </c>
      <c r="P351" s="30" t="s">
        <v>2891</v>
      </c>
      <c r="Q351" s="28" t="s">
        <v>2892</v>
      </c>
      <c r="R351" s="30" t="s">
        <v>2893</v>
      </c>
      <c r="S351" s="30" t="s">
        <v>53</v>
      </c>
      <c r="T351" s="30"/>
      <c r="U351" s="28" t="s">
        <v>1798</v>
      </c>
      <c r="V351" s="30" t="s">
        <v>63</v>
      </c>
      <c r="W351" s="30" t="s">
        <v>64</v>
      </c>
      <c r="X351" s="32">
        <v>43678</v>
      </c>
      <c r="Y351" s="32">
        <v>45444</v>
      </c>
      <c r="Z351" s="30" t="s">
        <v>65</v>
      </c>
      <c r="AA351" s="28" t="s">
        <v>134</v>
      </c>
      <c r="AB351" s="28" t="s">
        <v>67</v>
      </c>
      <c r="AC351" s="29"/>
      <c r="AD351" s="28">
        <v>0</v>
      </c>
      <c r="AE351" s="29"/>
      <c r="AF351" s="31"/>
      <c r="AG351" s="30" t="s">
        <v>1579</v>
      </c>
      <c r="AH351" s="28"/>
      <c r="AI351" s="28" t="s">
        <v>53</v>
      </c>
      <c r="AJ351" s="33">
        <v>34106</v>
      </c>
      <c r="AK351" s="28">
        <v>9</v>
      </c>
      <c r="AL351" s="28">
        <v>17</v>
      </c>
      <c r="AM351" s="21"/>
      <c r="AN351" s="27"/>
      <c r="AO351" s="27"/>
      <c r="AP351" s="27"/>
      <c r="AQ351" s="27"/>
    </row>
    <row r="352" spans="1:43" ht="15.75" customHeight="1">
      <c r="A352" s="28">
        <v>160</v>
      </c>
      <c r="B352" s="29" t="s">
        <v>2894</v>
      </c>
      <c r="C352" s="30"/>
      <c r="D352" s="31" t="s">
        <v>2895</v>
      </c>
      <c r="E352" s="30" t="s">
        <v>49</v>
      </c>
      <c r="F352" s="30" t="s">
        <v>50</v>
      </c>
      <c r="G352" s="30" t="s">
        <v>51</v>
      </c>
      <c r="H352" s="28" t="s">
        <v>52</v>
      </c>
      <c r="I352" s="30"/>
      <c r="J352" s="30" t="s">
        <v>53</v>
      </c>
      <c r="K352" s="30" t="s">
        <v>2896</v>
      </c>
      <c r="L352" s="30" t="s">
        <v>55</v>
      </c>
      <c r="M352" s="30" t="s">
        <v>1573</v>
      </c>
      <c r="N352" s="30" t="s">
        <v>2897</v>
      </c>
      <c r="O352" s="30" t="s">
        <v>2898</v>
      </c>
      <c r="P352" s="30" t="s">
        <v>2899</v>
      </c>
      <c r="Q352" s="28" t="s">
        <v>2900</v>
      </c>
      <c r="R352" s="30" t="s">
        <v>2901</v>
      </c>
      <c r="S352" s="30" t="s">
        <v>53</v>
      </c>
      <c r="T352" s="30"/>
      <c r="U352" s="28" t="s">
        <v>1598</v>
      </c>
      <c r="V352" s="30" t="s">
        <v>63</v>
      </c>
      <c r="W352" s="30" t="s">
        <v>64</v>
      </c>
      <c r="X352" s="32">
        <v>44593</v>
      </c>
      <c r="Y352" s="32">
        <v>46357</v>
      </c>
      <c r="Z352" s="30" t="s">
        <v>65</v>
      </c>
      <c r="AA352" s="28" t="s">
        <v>66</v>
      </c>
      <c r="AB352" s="28" t="s">
        <v>67</v>
      </c>
      <c r="AC352" s="29"/>
      <c r="AD352" s="28">
        <v>0</v>
      </c>
      <c r="AE352" s="29"/>
      <c r="AF352" s="31"/>
      <c r="AG352" s="30" t="s">
        <v>1579</v>
      </c>
      <c r="AH352" s="28"/>
      <c r="AI352" s="28" t="s">
        <v>53</v>
      </c>
      <c r="AJ352" s="33">
        <v>37645</v>
      </c>
      <c r="AK352" s="28">
        <v>5</v>
      </c>
      <c r="AL352" s="28">
        <v>17</v>
      </c>
      <c r="AM352" s="21"/>
      <c r="AN352" s="27"/>
      <c r="AO352" s="27"/>
      <c r="AP352" s="27"/>
      <c r="AQ352" s="27"/>
    </row>
    <row r="353" spans="1:43" ht="15.75" customHeight="1">
      <c r="A353" s="28">
        <v>161</v>
      </c>
      <c r="B353" s="29" t="s">
        <v>2902</v>
      </c>
      <c r="C353" s="30"/>
      <c r="D353" s="31" t="s">
        <v>2903</v>
      </c>
      <c r="E353" s="30" t="s">
        <v>72</v>
      </c>
      <c r="F353" s="30" t="s">
        <v>50</v>
      </c>
      <c r="G353" s="30" t="s">
        <v>51</v>
      </c>
      <c r="H353" s="28" t="s">
        <v>85</v>
      </c>
      <c r="I353" s="30"/>
      <c r="J353" s="30" t="s">
        <v>53</v>
      </c>
      <c r="K353" s="30" t="s">
        <v>2904</v>
      </c>
      <c r="L353" s="30" t="s">
        <v>55</v>
      </c>
      <c r="M353" s="30" t="s">
        <v>1573</v>
      </c>
      <c r="N353" s="30" t="s">
        <v>2905</v>
      </c>
      <c r="O353" s="30" t="s">
        <v>2906</v>
      </c>
      <c r="P353" s="30" t="s">
        <v>2907</v>
      </c>
      <c r="Q353" s="28" t="s">
        <v>2908</v>
      </c>
      <c r="R353" s="30" t="s">
        <v>2909</v>
      </c>
      <c r="S353" s="30" t="s">
        <v>53</v>
      </c>
      <c r="T353" s="30"/>
      <c r="U353" s="28" t="s">
        <v>2910</v>
      </c>
      <c r="V353" s="30" t="s">
        <v>63</v>
      </c>
      <c r="W353" s="30" t="s">
        <v>64</v>
      </c>
      <c r="X353" s="32">
        <v>44044</v>
      </c>
      <c r="Y353" s="32">
        <v>45839</v>
      </c>
      <c r="Z353" s="30" t="s">
        <v>65</v>
      </c>
      <c r="AA353" s="28" t="s">
        <v>66</v>
      </c>
      <c r="AB353" s="28" t="s">
        <v>67</v>
      </c>
      <c r="AC353" s="29"/>
      <c r="AD353" s="28">
        <v>0</v>
      </c>
      <c r="AE353" s="29"/>
      <c r="AF353" s="31"/>
      <c r="AG353" s="30" t="s">
        <v>1579</v>
      </c>
      <c r="AH353" s="28"/>
      <c r="AI353" s="28" t="s">
        <v>53</v>
      </c>
      <c r="AJ353" s="33">
        <v>36953</v>
      </c>
      <c r="AK353" s="28">
        <v>7</v>
      </c>
      <c r="AL353" s="28">
        <v>17</v>
      </c>
      <c r="AM353" s="21"/>
      <c r="AN353" s="27"/>
      <c r="AO353" s="27"/>
      <c r="AP353" s="27"/>
      <c r="AQ353" s="27"/>
    </row>
    <row r="354" spans="1:43" ht="15.75" customHeight="1">
      <c r="A354" s="28">
        <v>162</v>
      </c>
      <c r="B354" s="29" t="s">
        <v>2911</v>
      </c>
      <c r="C354" s="30" t="s">
        <v>2912</v>
      </c>
      <c r="D354" s="31" t="s">
        <v>2913</v>
      </c>
      <c r="E354" s="30" t="s">
        <v>49</v>
      </c>
      <c r="F354" s="30" t="s">
        <v>50</v>
      </c>
      <c r="G354" s="30" t="s">
        <v>51</v>
      </c>
      <c r="H354" s="28" t="s">
        <v>52</v>
      </c>
      <c r="I354" s="30"/>
      <c r="J354" s="30" t="s">
        <v>53</v>
      </c>
      <c r="K354" s="30" t="s">
        <v>2914</v>
      </c>
      <c r="L354" s="30" t="s">
        <v>55</v>
      </c>
      <c r="M354" s="30" t="s">
        <v>656</v>
      </c>
      <c r="N354" s="30" t="s">
        <v>2915</v>
      </c>
      <c r="O354" s="30" t="s">
        <v>2916</v>
      </c>
      <c r="P354" s="30" t="s">
        <v>2917</v>
      </c>
      <c r="Q354" s="28"/>
      <c r="R354" s="30" t="s">
        <v>2918</v>
      </c>
      <c r="S354" s="30" t="s">
        <v>53</v>
      </c>
      <c r="T354" s="30"/>
      <c r="U354" s="28" t="s">
        <v>1657</v>
      </c>
      <c r="V354" s="30" t="s">
        <v>63</v>
      </c>
      <c r="W354" s="30" t="s">
        <v>64</v>
      </c>
      <c r="X354" s="32">
        <v>43466</v>
      </c>
      <c r="Y354" s="32">
        <v>45992</v>
      </c>
      <c r="Z354" s="30" t="s">
        <v>65</v>
      </c>
      <c r="AA354" s="28" t="s">
        <v>134</v>
      </c>
      <c r="AB354" s="28" t="s">
        <v>67</v>
      </c>
      <c r="AC354" s="29"/>
      <c r="AD354" s="28">
        <v>0</v>
      </c>
      <c r="AE354" s="29"/>
      <c r="AF354" s="31"/>
      <c r="AG354" s="30" t="s">
        <v>1579</v>
      </c>
      <c r="AH354" s="28"/>
      <c r="AI354" s="28" t="s">
        <v>53</v>
      </c>
      <c r="AJ354" s="33">
        <v>36872</v>
      </c>
      <c r="AK354" s="28">
        <v>5</v>
      </c>
      <c r="AL354" s="28">
        <v>17</v>
      </c>
      <c r="AM354" s="21"/>
      <c r="AN354" s="27"/>
      <c r="AO354" s="27"/>
      <c r="AP354" s="27"/>
      <c r="AQ354" s="27"/>
    </row>
    <row r="355" spans="1:43" ht="15.75" customHeight="1">
      <c r="A355" s="28">
        <v>163</v>
      </c>
      <c r="B355" s="29" t="s">
        <v>2919</v>
      </c>
      <c r="C355" s="30" t="s">
        <v>2920</v>
      </c>
      <c r="D355" s="31" t="s">
        <v>2921</v>
      </c>
      <c r="E355" s="30" t="s">
        <v>72</v>
      </c>
      <c r="F355" s="30" t="s">
        <v>50</v>
      </c>
      <c r="G355" s="30" t="s">
        <v>51</v>
      </c>
      <c r="H355" s="28" t="s">
        <v>52</v>
      </c>
      <c r="I355" s="30"/>
      <c r="J355" s="30" t="s">
        <v>53</v>
      </c>
      <c r="K355" s="30" t="s">
        <v>2922</v>
      </c>
      <c r="L355" s="30" t="s">
        <v>55</v>
      </c>
      <c r="M355" s="30" t="s">
        <v>1573</v>
      </c>
      <c r="N355" s="30" t="s">
        <v>2923</v>
      </c>
      <c r="O355" s="30" t="s">
        <v>2924</v>
      </c>
      <c r="P355" s="30" t="s">
        <v>2925</v>
      </c>
      <c r="Q355" s="28"/>
      <c r="R355" s="30" t="s">
        <v>2926</v>
      </c>
      <c r="S355" s="30" t="s">
        <v>53</v>
      </c>
      <c r="T355" s="30"/>
      <c r="U355" s="28" t="s">
        <v>1692</v>
      </c>
      <c r="V355" s="30" t="s">
        <v>63</v>
      </c>
      <c r="W355" s="30" t="s">
        <v>64</v>
      </c>
      <c r="X355" s="32">
        <v>44409</v>
      </c>
      <c r="Y355" s="32">
        <v>46174</v>
      </c>
      <c r="Z355" s="30" t="s">
        <v>65</v>
      </c>
      <c r="AA355" s="28" t="s">
        <v>134</v>
      </c>
      <c r="AB355" s="28" t="s">
        <v>67</v>
      </c>
      <c r="AC355" s="29"/>
      <c r="AD355" s="28">
        <v>0</v>
      </c>
      <c r="AE355" s="29"/>
      <c r="AF355" s="31"/>
      <c r="AG355" s="30" t="s">
        <v>1579</v>
      </c>
      <c r="AH355" s="28"/>
      <c r="AI355" s="28" t="s">
        <v>53</v>
      </c>
      <c r="AJ355" s="33">
        <v>37962</v>
      </c>
      <c r="AK355" s="28">
        <v>5</v>
      </c>
      <c r="AL355" s="28">
        <v>17</v>
      </c>
      <c r="AM355" s="21"/>
      <c r="AN355" s="27"/>
      <c r="AO355" s="27"/>
      <c r="AP355" s="27"/>
      <c r="AQ355" s="27"/>
    </row>
    <row r="356" spans="1:43" ht="15.75" customHeight="1">
      <c r="A356" s="28">
        <v>164</v>
      </c>
      <c r="B356" s="29" t="s">
        <v>2927</v>
      </c>
      <c r="C356" s="30"/>
      <c r="D356" s="31" t="s">
        <v>2928</v>
      </c>
      <c r="E356" s="30" t="s">
        <v>72</v>
      </c>
      <c r="F356" s="30" t="s">
        <v>50</v>
      </c>
      <c r="G356" s="30" t="s">
        <v>51</v>
      </c>
      <c r="H356" s="28" t="s">
        <v>601</v>
      </c>
      <c r="I356" s="30"/>
      <c r="J356" s="30" t="s">
        <v>53</v>
      </c>
      <c r="K356" s="30" t="s">
        <v>2929</v>
      </c>
      <c r="L356" s="30" t="s">
        <v>55</v>
      </c>
      <c r="M356" s="30" t="s">
        <v>656</v>
      </c>
      <c r="N356" s="30" t="s">
        <v>2930</v>
      </c>
      <c r="O356" s="30" t="s">
        <v>1604</v>
      </c>
      <c r="P356" s="30" t="s">
        <v>2931</v>
      </c>
      <c r="Q356" s="28" t="s">
        <v>2932</v>
      </c>
      <c r="R356" s="30" t="s">
        <v>2933</v>
      </c>
      <c r="S356" s="30" t="s">
        <v>53</v>
      </c>
      <c r="T356" s="30"/>
      <c r="U356" s="28" t="s">
        <v>689</v>
      </c>
      <c r="V356" s="30" t="s">
        <v>63</v>
      </c>
      <c r="W356" s="30" t="s">
        <v>64</v>
      </c>
      <c r="X356" s="32">
        <v>43831</v>
      </c>
      <c r="Y356" s="32">
        <v>45627</v>
      </c>
      <c r="Z356" s="30" t="s">
        <v>65</v>
      </c>
      <c r="AA356" s="28" t="s">
        <v>66</v>
      </c>
      <c r="AB356" s="28" t="s">
        <v>67</v>
      </c>
      <c r="AC356" s="29"/>
      <c r="AD356" s="28">
        <v>0</v>
      </c>
      <c r="AE356" s="29"/>
      <c r="AF356" s="31"/>
      <c r="AG356" s="30" t="s">
        <v>1579</v>
      </c>
      <c r="AH356" s="28"/>
      <c r="AI356" s="28" t="s">
        <v>53</v>
      </c>
      <c r="AJ356" s="33">
        <v>37269</v>
      </c>
      <c r="AK356" s="28">
        <v>8</v>
      </c>
      <c r="AL356" s="28">
        <v>17</v>
      </c>
      <c r="AM356" s="21"/>
      <c r="AN356" s="27"/>
      <c r="AO356" s="27"/>
      <c r="AP356" s="27"/>
      <c r="AQ356" s="27"/>
    </row>
    <row r="357" spans="1:43" ht="15.75" customHeight="1">
      <c r="A357" s="28">
        <v>165</v>
      </c>
      <c r="B357" s="29" t="s">
        <v>2934</v>
      </c>
      <c r="C357" s="30" t="s">
        <v>2935</v>
      </c>
      <c r="D357" s="31" t="s">
        <v>2936</v>
      </c>
      <c r="E357" s="30" t="s">
        <v>72</v>
      </c>
      <c r="F357" s="30" t="s">
        <v>50</v>
      </c>
      <c r="G357" s="30" t="s">
        <v>51</v>
      </c>
      <c r="H357" s="28" t="s">
        <v>85</v>
      </c>
      <c r="I357" s="30"/>
      <c r="J357" s="30" t="s">
        <v>53</v>
      </c>
      <c r="K357" s="30" t="s">
        <v>2937</v>
      </c>
      <c r="L357" s="30" t="s">
        <v>55</v>
      </c>
      <c r="M357" s="30" t="s">
        <v>656</v>
      </c>
      <c r="N357" s="30" t="s">
        <v>2938</v>
      </c>
      <c r="O357" s="30" t="s">
        <v>2939</v>
      </c>
      <c r="P357" s="30" t="s">
        <v>2940</v>
      </c>
      <c r="Q357" s="28"/>
      <c r="R357" s="30" t="s">
        <v>2941</v>
      </c>
      <c r="S357" s="30" t="s">
        <v>53</v>
      </c>
      <c r="T357" s="30"/>
      <c r="U357" s="28" t="s">
        <v>1692</v>
      </c>
      <c r="V357" s="30" t="s">
        <v>63</v>
      </c>
      <c r="W357" s="30" t="s">
        <v>64</v>
      </c>
      <c r="X357" s="32">
        <v>43862</v>
      </c>
      <c r="Y357" s="32">
        <v>45597</v>
      </c>
      <c r="Z357" s="30" t="s">
        <v>65</v>
      </c>
      <c r="AA357" s="28" t="s">
        <v>67</v>
      </c>
      <c r="AB357" s="28" t="s">
        <v>67</v>
      </c>
      <c r="AC357" s="29"/>
      <c r="AD357" s="28">
        <v>0</v>
      </c>
      <c r="AE357" s="29"/>
      <c r="AF357" s="31"/>
      <c r="AG357" s="30" t="s">
        <v>1579</v>
      </c>
      <c r="AH357" s="28"/>
      <c r="AI357" s="28" t="s">
        <v>53</v>
      </c>
      <c r="AJ357" s="33">
        <v>37106</v>
      </c>
      <c r="AK357" s="28">
        <v>8</v>
      </c>
      <c r="AL357" s="28">
        <v>16</v>
      </c>
      <c r="AM357" s="21"/>
      <c r="AN357" s="27"/>
      <c r="AO357" s="27"/>
      <c r="AP357" s="27"/>
      <c r="AQ357" s="27"/>
    </row>
    <row r="358" spans="1:43" ht="15.75" customHeight="1">
      <c r="A358" s="28">
        <v>166</v>
      </c>
      <c r="B358" s="29" t="s">
        <v>2942</v>
      </c>
      <c r="C358" s="30"/>
      <c r="D358" s="31" t="s">
        <v>2943</v>
      </c>
      <c r="E358" s="30" t="s">
        <v>49</v>
      </c>
      <c r="F358" s="30" t="s">
        <v>50</v>
      </c>
      <c r="G358" s="30" t="s">
        <v>51</v>
      </c>
      <c r="H358" s="28" t="s">
        <v>52</v>
      </c>
      <c r="I358" s="30"/>
      <c r="J358" s="30" t="s">
        <v>53</v>
      </c>
      <c r="K358" s="30" t="s">
        <v>2944</v>
      </c>
      <c r="L358" s="30" t="s">
        <v>55</v>
      </c>
      <c r="M358" s="30" t="s">
        <v>1573</v>
      </c>
      <c r="N358" s="30" t="s">
        <v>2945</v>
      </c>
      <c r="O358" s="30" t="s">
        <v>2753</v>
      </c>
      <c r="P358" s="30" t="s">
        <v>2946</v>
      </c>
      <c r="Q358" s="28" t="s">
        <v>2947</v>
      </c>
      <c r="R358" s="30" t="s">
        <v>2948</v>
      </c>
      <c r="S358" s="30" t="s">
        <v>53</v>
      </c>
      <c r="T358" s="30"/>
      <c r="U358" s="28" t="s">
        <v>1692</v>
      </c>
      <c r="V358" s="30" t="s">
        <v>63</v>
      </c>
      <c r="W358" s="30" t="s">
        <v>64</v>
      </c>
      <c r="X358" s="32">
        <v>44562</v>
      </c>
      <c r="Y358" s="32">
        <v>46388</v>
      </c>
      <c r="Z358" s="30" t="s">
        <v>65</v>
      </c>
      <c r="AA358" s="28" t="s">
        <v>246</v>
      </c>
      <c r="AB358" s="28" t="s">
        <v>67</v>
      </c>
      <c r="AC358" s="29"/>
      <c r="AD358" s="28">
        <v>0</v>
      </c>
      <c r="AE358" s="29"/>
      <c r="AF358" s="31"/>
      <c r="AG358" s="30" t="s">
        <v>1579</v>
      </c>
      <c r="AH358" s="28"/>
      <c r="AI358" s="28" t="s">
        <v>118</v>
      </c>
      <c r="AJ358" s="33">
        <v>38210</v>
      </c>
      <c r="AK358" s="28">
        <v>5</v>
      </c>
      <c r="AL358" s="28">
        <v>16</v>
      </c>
      <c r="AM358" s="21"/>
      <c r="AN358" s="27"/>
      <c r="AO358" s="27"/>
      <c r="AP358" s="27"/>
      <c r="AQ358" s="27"/>
    </row>
    <row r="359" spans="1:43" ht="15.75" customHeight="1">
      <c r="A359" s="28">
        <v>167</v>
      </c>
      <c r="B359" s="29" t="s">
        <v>2949</v>
      </c>
      <c r="C359" s="30"/>
      <c r="D359" s="31" t="s">
        <v>2950</v>
      </c>
      <c r="E359" s="30" t="s">
        <v>72</v>
      </c>
      <c r="F359" s="30" t="s">
        <v>50</v>
      </c>
      <c r="G359" s="30" t="s">
        <v>51</v>
      </c>
      <c r="H359" s="28" t="s">
        <v>1121</v>
      </c>
      <c r="I359" s="30"/>
      <c r="J359" s="30" t="s">
        <v>53</v>
      </c>
      <c r="K359" s="30" t="s">
        <v>2951</v>
      </c>
      <c r="L359" s="30" t="s">
        <v>55</v>
      </c>
      <c r="M359" s="30" t="s">
        <v>656</v>
      </c>
      <c r="N359" s="30" t="s">
        <v>2952</v>
      </c>
      <c r="O359" s="30" t="s">
        <v>95</v>
      </c>
      <c r="P359" s="30" t="s">
        <v>2953</v>
      </c>
      <c r="Q359" s="28"/>
      <c r="R359" s="30" t="s">
        <v>2954</v>
      </c>
      <c r="S359" s="30" t="s">
        <v>53</v>
      </c>
      <c r="T359" s="30"/>
      <c r="U359" s="28" t="s">
        <v>765</v>
      </c>
      <c r="V359" s="30" t="s">
        <v>63</v>
      </c>
      <c r="W359" s="30" t="s">
        <v>64</v>
      </c>
      <c r="X359" s="32">
        <v>44593</v>
      </c>
      <c r="Y359" s="32">
        <v>46419</v>
      </c>
      <c r="Z359" s="30" t="s">
        <v>65</v>
      </c>
      <c r="AA359" s="28" t="s">
        <v>134</v>
      </c>
      <c r="AB359" s="28" t="s">
        <v>67</v>
      </c>
      <c r="AC359" s="29"/>
      <c r="AD359" s="28">
        <v>0</v>
      </c>
      <c r="AE359" s="29"/>
      <c r="AF359" s="31"/>
      <c r="AG359" s="30" t="s">
        <v>1579</v>
      </c>
      <c r="AH359" s="28"/>
      <c r="AI359" s="28" t="s">
        <v>53</v>
      </c>
      <c r="AJ359" s="33">
        <v>37657</v>
      </c>
      <c r="AK359" s="28">
        <v>5</v>
      </c>
      <c r="AL359" s="28">
        <v>16</v>
      </c>
      <c r="AM359" s="21"/>
      <c r="AN359" s="27"/>
      <c r="AO359" s="27"/>
      <c r="AP359" s="27"/>
      <c r="AQ359" s="27"/>
    </row>
    <row r="360" spans="1:43" ht="15.75" customHeight="1">
      <c r="A360" s="28">
        <v>168</v>
      </c>
      <c r="B360" s="29" t="s">
        <v>2955</v>
      </c>
      <c r="C360" s="30"/>
      <c r="D360" s="31" t="s">
        <v>2956</v>
      </c>
      <c r="E360" s="30" t="s">
        <v>72</v>
      </c>
      <c r="F360" s="30" t="s">
        <v>50</v>
      </c>
      <c r="G360" s="30" t="s">
        <v>51</v>
      </c>
      <c r="H360" s="28" t="s">
        <v>191</v>
      </c>
      <c r="I360" s="30"/>
      <c r="J360" s="30" t="s">
        <v>53</v>
      </c>
      <c r="K360" s="30" t="s">
        <v>2957</v>
      </c>
      <c r="L360" s="30" t="s">
        <v>55</v>
      </c>
      <c r="M360" s="30" t="s">
        <v>1573</v>
      </c>
      <c r="N360" s="30" t="s">
        <v>2958</v>
      </c>
      <c r="O360" s="30" t="s">
        <v>2959</v>
      </c>
      <c r="P360" s="30" t="s">
        <v>2960</v>
      </c>
      <c r="Q360" s="28"/>
      <c r="R360" s="30" t="s">
        <v>2961</v>
      </c>
      <c r="S360" s="30" t="s">
        <v>53</v>
      </c>
      <c r="T360" s="30"/>
      <c r="U360" s="28" t="s">
        <v>1615</v>
      </c>
      <c r="V360" s="30" t="s">
        <v>63</v>
      </c>
      <c r="W360" s="30" t="s">
        <v>64</v>
      </c>
      <c r="X360" s="32">
        <v>43831</v>
      </c>
      <c r="Y360" s="32">
        <v>45627</v>
      </c>
      <c r="Z360" s="30" t="s">
        <v>65</v>
      </c>
      <c r="AA360" s="28" t="s">
        <v>134</v>
      </c>
      <c r="AB360" s="28" t="s">
        <v>67</v>
      </c>
      <c r="AC360" s="29"/>
      <c r="AD360" s="28">
        <v>0</v>
      </c>
      <c r="AE360" s="29"/>
      <c r="AF360" s="31"/>
      <c r="AG360" s="30" t="s">
        <v>1579</v>
      </c>
      <c r="AH360" s="28"/>
      <c r="AI360" s="28" t="s">
        <v>53</v>
      </c>
      <c r="AJ360" s="33">
        <v>37397</v>
      </c>
      <c r="AK360" s="28">
        <v>8</v>
      </c>
      <c r="AL360" s="28">
        <v>16</v>
      </c>
      <c r="AM360" s="21"/>
      <c r="AN360" s="27"/>
      <c r="AO360" s="27"/>
      <c r="AP360" s="27"/>
      <c r="AQ360" s="27"/>
    </row>
    <row r="361" spans="1:43" ht="15.75" customHeight="1">
      <c r="A361" s="28">
        <v>169</v>
      </c>
      <c r="B361" s="29" t="s">
        <v>2962</v>
      </c>
      <c r="C361" s="30" t="s">
        <v>2963</v>
      </c>
      <c r="D361" s="31" t="s">
        <v>2964</v>
      </c>
      <c r="E361" s="30" t="s">
        <v>72</v>
      </c>
      <c r="F361" s="30" t="s">
        <v>50</v>
      </c>
      <c r="G361" s="30" t="s">
        <v>51</v>
      </c>
      <c r="H361" s="28" t="s">
        <v>52</v>
      </c>
      <c r="I361" s="30"/>
      <c r="J361" s="30" t="s">
        <v>53</v>
      </c>
      <c r="K361" s="30" t="s">
        <v>2965</v>
      </c>
      <c r="L361" s="30" t="s">
        <v>55</v>
      </c>
      <c r="M361" s="30" t="s">
        <v>1573</v>
      </c>
      <c r="N361" s="30" t="s">
        <v>2966</v>
      </c>
      <c r="O361" s="30" t="s">
        <v>1768</v>
      </c>
      <c r="P361" s="30" t="s">
        <v>2967</v>
      </c>
      <c r="Q361" s="28"/>
      <c r="R361" s="30" t="s">
        <v>2968</v>
      </c>
      <c r="S361" s="30" t="s">
        <v>53</v>
      </c>
      <c r="T361" s="30"/>
      <c r="U361" s="28" t="s">
        <v>1798</v>
      </c>
      <c r="V361" s="30" t="s">
        <v>63</v>
      </c>
      <c r="W361" s="30" t="s">
        <v>64</v>
      </c>
      <c r="X361" s="32">
        <v>43862</v>
      </c>
      <c r="Y361" s="32">
        <v>45809</v>
      </c>
      <c r="Z361" s="30" t="s">
        <v>65</v>
      </c>
      <c r="AA361" s="28" t="s">
        <v>134</v>
      </c>
      <c r="AB361" s="28" t="s">
        <v>67</v>
      </c>
      <c r="AC361" s="29"/>
      <c r="AD361" s="28">
        <v>0</v>
      </c>
      <c r="AE361" s="29"/>
      <c r="AF361" s="31"/>
      <c r="AG361" s="30" t="s">
        <v>1579</v>
      </c>
      <c r="AH361" s="28"/>
      <c r="AI361" s="28" t="s">
        <v>53</v>
      </c>
      <c r="AJ361" s="33">
        <v>36846</v>
      </c>
      <c r="AK361" s="28">
        <v>7</v>
      </c>
      <c r="AL361" s="28">
        <v>16</v>
      </c>
      <c r="AM361" s="21"/>
      <c r="AN361" s="27"/>
      <c r="AO361" s="27"/>
      <c r="AP361" s="27"/>
      <c r="AQ361" s="27"/>
    </row>
    <row r="362" spans="1:43" ht="15.75" customHeight="1">
      <c r="A362" s="28">
        <v>170</v>
      </c>
      <c r="B362" s="29" t="s">
        <v>2969</v>
      </c>
      <c r="C362" s="30"/>
      <c r="D362" s="31" t="s">
        <v>2970</v>
      </c>
      <c r="E362" s="30" t="s">
        <v>49</v>
      </c>
      <c r="F362" s="30" t="s">
        <v>50</v>
      </c>
      <c r="G362" s="30" t="s">
        <v>51</v>
      </c>
      <c r="H362" s="28" t="s">
        <v>52</v>
      </c>
      <c r="I362" s="30"/>
      <c r="J362" s="30" t="s">
        <v>53</v>
      </c>
      <c r="K362" s="30" t="s">
        <v>2971</v>
      </c>
      <c r="L362" s="30" t="s">
        <v>55</v>
      </c>
      <c r="M362" s="30" t="s">
        <v>1573</v>
      </c>
      <c r="N362" s="30" t="s">
        <v>2972</v>
      </c>
      <c r="O362" s="30" t="s">
        <v>2973</v>
      </c>
      <c r="P362" s="30" t="s">
        <v>2974</v>
      </c>
      <c r="Q362" s="28" t="s">
        <v>2975</v>
      </c>
      <c r="R362" s="30" t="s">
        <v>2976</v>
      </c>
      <c r="S362" s="30" t="s">
        <v>53</v>
      </c>
      <c r="T362" s="30"/>
      <c r="U362" s="28" t="s">
        <v>2051</v>
      </c>
      <c r="V362" s="30" t="s">
        <v>63</v>
      </c>
      <c r="W362" s="30" t="s">
        <v>64</v>
      </c>
      <c r="X362" s="32">
        <v>43862</v>
      </c>
      <c r="Y362" s="32">
        <v>45627</v>
      </c>
      <c r="Z362" s="30" t="s">
        <v>65</v>
      </c>
      <c r="AA362" s="28" t="s">
        <v>134</v>
      </c>
      <c r="AB362" s="28" t="s">
        <v>67</v>
      </c>
      <c r="AC362" s="29"/>
      <c r="AD362" s="28">
        <v>0</v>
      </c>
      <c r="AE362" s="29"/>
      <c r="AF362" s="31"/>
      <c r="AG362" s="30" t="s">
        <v>1579</v>
      </c>
      <c r="AH362" s="28"/>
      <c r="AI362" s="28" t="s">
        <v>53</v>
      </c>
      <c r="AJ362" s="33">
        <v>36654</v>
      </c>
      <c r="AK362" s="28">
        <v>8</v>
      </c>
      <c r="AL362" s="28">
        <v>16</v>
      </c>
      <c r="AM362" s="21"/>
      <c r="AN362" s="27"/>
      <c r="AO362" s="27"/>
      <c r="AP362" s="27"/>
      <c r="AQ362" s="27"/>
    </row>
    <row r="363" spans="1:43" ht="15.75" customHeight="1">
      <c r="A363" s="28">
        <v>171</v>
      </c>
      <c r="B363" s="29" t="s">
        <v>2977</v>
      </c>
      <c r="C363" s="30"/>
      <c r="D363" s="31" t="s">
        <v>2978</v>
      </c>
      <c r="E363" s="30" t="s">
        <v>49</v>
      </c>
      <c r="F363" s="30" t="s">
        <v>50</v>
      </c>
      <c r="G363" s="30" t="s">
        <v>51</v>
      </c>
      <c r="H363" s="28" t="s">
        <v>85</v>
      </c>
      <c r="I363" s="30"/>
      <c r="J363" s="30" t="s">
        <v>53</v>
      </c>
      <c r="K363" s="30" t="s">
        <v>2979</v>
      </c>
      <c r="L363" s="30" t="s">
        <v>55</v>
      </c>
      <c r="M363" s="30" t="s">
        <v>1573</v>
      </c>
      <c r="N363" s="30" t="s">
        <v>2980</v>
      </c>
      <c r="O363" s="30" t="s">
        <v>1585</v>
      </c>
      <c r="P363" s="30" t="s">
        <v>2981</v>
      </c>
      <c r="Q363" s="28"/>
      <c r="R363" s="30" t="s">
        <v>2982</v>
      </c>
      <c r="S363" s="30" t="s">
        <v>53</v>
      </c>
      <c r="T363" s="30"/>
      <c r="U363" s="28" t="s">
        <v>1657</v>
      </c>
      <c r="V363" s="30" t="s">
        <v>63</v>
      </c>
      <c r="W363" s="30" t="s">
        <v>64</v>
      </c>
      <c r="X363" s="32">
        <v>44378</v>
      </c>
      <c r="Y363" s="32">
        <v>45992</v>
      </c>
      <c r="Z363" s="30" t="s">
        <v>65</v>
      </c>
      <c r="AA363" s="28" t="s">
        <v>134</v>
      </c>
      <c r="AB363" s="28" t="s">
        <v>67</v>
      </c>
      <c r="AC363" s="29"/>
      <c r="AD363" s="28">
        <v>0</v>
      </c>
      <c r="AE363" s="29"/>
      <c r="AF363" s="31"/>
      <c r="AG363" s="30" t="s">
        <v>1579</v>
      </c>
      <c r="AH363" s="28"/>
      <c r="AI363" s="28" t="s">
        <v>53</v>
      </c>
      <c r="AJ363" s="33">
        <v>37673</v>
      </c>
      <c r="AK363" s="28">
        <v>5</v>
      </c>
      <c r="AL363" s="28">
        <v>16</v>
      </c>
      <c r="AM363" s="21"/>
      <c r="AN363" s="27"/>
      <c r="AO363" s="27"/>
      <c r="AP363" s="27"/>
      <c r="AQ363" s="27"/>
    </row>
    <row r="364" spans="1:43" ht="15.75" customHeight="1">
      <c r="A364" s="28">
        <v>172</v>
      </c>
      <c r="B364" s="29" t="s">
        <v>2983</v>
      </c>
      <c r="C364" s="30"/>
      <c r="D364" s="31" t="s">
        <v>2984</v>
      </c>
      <c r="E364" s="30" t="s">
        <v>72</v>
      </c>
      <c r="F364" s="30" t="s">
        <v>616</v>
      </c>
      <c r="G364" s="30" t="s">
        <v>51</v>
      </c>
      <c r="H364" s="28" t="s">
        <v>52</v>
      </c>
      <c r="I364" s="30"/>
      <c r="J364" s="30" t="s">
        <v>53</v>
      </c>
      <c r="K364" s="30" t="s">
        <v>2985</v>
      </c>
      <c r="L364" s="30" t="s">
        <v>55</v>
      </c>
      <c r="M364" s="30" t="s">
        <v>1573</v>
      </c>
      <c r="N364" s="30" t="s">
        <v>2986</v>
      </c>
      <c r="O364" s="30" t="s">
        <v>2987</v>
      </c>
      <c r="P364" s="30" t="s">
        <v>2988</v>
      </c>
      <c r="Q364" s="28" t="s">
        <v>2989</v>
      </c>
      <c r="R364" s="30" t="s">
        <v>2990</v>
      </c>
      <c r="S364" s="30" t="s">
        <v>53</v>
      </c>
      <c r="T364" s="30"/>
      <c r="U364" s="28" t="s">
        <v>2991</v>
      </c>
      <c r="V364" s="30" t="s">
        <v>63</v>
      </c>
      <c r="W364" s="30" t="s">
        <v>64</v>
      </c>
      <c r="X364" s="32">
        <v>44287</v>
      </c>
      <c r="Y364" s="32">
        <v>46113</v>
      </c>
      <c r="Z364" s="30" t="s">
        <v>65</v>
      </c>
      <c r="AA364" s="28" t="s">
        <v>66</v>
      </c>
      <c r="AB364" s="28" t="s">
        <v>67</v>
      </c>
      <c r="AC364" s="29"/>
      <c r="AD364" s="28">
        <v>0</v>
      </c>
      <c r="AE364" s="29"/>
      <c r="AF364" s="31"/>
      <c r="AG364" s="30" t="s">
        <v>1579</v>
      </c>
      <c r="AH364" s="28"/>
      <c r="AI364" s="28" t="s">
        <v>53</v>
      </c>
      <c r="AJ364" s="33">
        <v>26860</v>
      </c>
      <c r="AK364" s="28">
        <v>5</v>
      </c>
      <c r="AL364" s="28">
        <v>16</v>
      </c>
      <c r="AM364" s="21"/>
      <c r="AN364" s="27"/>
      <c r="AO364" s="27"/>
      <c r="AP364" s="27"/>
      <c r="AQ364" s="27"/>
    </row>
    <row r="365" spans="1:43" ht="15.75" customHeight="1">
      <c r="A365" s="28">
        <v>173</v>
      </c>
      <c r="B365" s="29" t="s">
        <v>2992</v>
      </c>
      <c r="C365" s="30" t="s">
        <v>2993</v>
      </c>
      <c r="D365" s="31" t="s">
        <v>2994</v>
      </c>
      <c r="E365" s="30" t="s">
        <v>72</v>
      </c>
      <c r="F365" s="30" t="s">
        <v>50</v>
      </c>
      <c r="G365" s="30" t="s">
        <v>51</v>
      </c>
      <c r="H365" s="28" t="s">
        <v>85</v>
      </c>
      <c r="I365" s="30"/>
      <c r="J365" s="30" t="s">
        <v>53</v>
      </c>
      <c r="K365" s="30" t="s">
        <v>2995</v>
      </c>
      <c r="L365" s="30" t="s">
        <v>55</v>
      </c>
      <c r="M365" s="30" t="s">
        <v>1573</v>
      </c>
      <c r="N365" s="30" t="s">
        <v>2996</v>
      </c>
      <c r="O365" s="30" t="s">
        <v>2997</v>
      </c>
      <c r="P365" s="30" t="s">
        <v>2998</v>
      </c>
      <c r="Q365" s="28"/>
      <c r="R365" s="30" t="s">
        <v>2999</v>
      </c>
      <c r="S365" s="30" t="s">
        <v>53</v>
      </c>
      <c r="T365" s="30"/>
      <c r="U365" s="28" t="s">
        <v>3000</v>
      </c>
      <c r="V365" s="30" t="s">
        <v>63</v>
      </c>
      <c r="W365" s="30" t="s">
        <v>64</v>
      </c>
      <c r="X365" s="32">
        <v>44621</v>
      </c>
      <c r="Y365" s="32">
        <v>46082</v>
      </c>
      <c r="Z365" s="30" t="s">
        <v>65</v>
      </c>
      <c r="AA365" s="28" t="s">
        <v>134</v>
      </c>
      <c r="AB365" s="28" t="s">
        <v>67</v>
      </c>
      <c r="AC365" s="29"/>
      <c r="AD365" s="28">
        <v>0</v>
      </c>
      <c r="AE365" s="29"/>
      <c r="AF365" s="31"/>
      <c r="AG365" s="30" t="s">
        <v>1579</v>
      </c>
      <c r="AH365" s="28"/>
      <c r="AI365" s="28" t="s">
        <v>53</v>
      </c>
      <c r="AJ365" s="33">
        <v>34505</v>
      </c>
      <c r="AK365" s="28">
        <v>5</v>
      </c>
      <c r="AL365" s="28">
        <v>16</v>
      </c>
      <c r="AM365" s="21"/>
      <c r="AN365" s="27"/>
      <c r="AO365" s="27"/>
      <c r="AP365" s="27"/>
      <c r="AQ365" s="27"/>
    </row>
    <row r="366" spans="1:43" ht="15.75" customHeight="1">
      <c r="A366" s="28">
        <v>174</v>
      </c>
      <c r="B366" s="29" t="s">
        <v>3001</v>
      </c>
      <c r="C366" s="30" t="s">
        <v>3002</v>
      </c>
      <c r="D366" s="31" t="s">
        <v>3003</v>
      </c>
      <c r="E366" s="30" t="s">
        <v>72</v>
      </c>
      <c r="F366" s="30" t="s">
        <v>50</v>
      </c>
      <c r="G366" s="30" t="s">
        <v>51</v>
      </c>
      <c r="H366" s="28" t="s">
        <v>52</v>
      </c>
      <c r="I366" s="30"/>
      <c r="J366" s="30" t="s">
        <v>53</v>
      </c>
      <c r="K366" s="30" t="s">
        <v>3004</v>
      </c>
      <c r="L366" s="30" t="s">
        <v>55</v>
      </c>
      <c r="M366" s="30" t="s">
        <v>656</v>
      </c>
      <c r="N366" s="30" t="s">
        <v>3005</v>
      </c>
      <c r="O366" s="30" t="s">
        <v>3006</v>
      </c>
      <c r="P366" s="30" t="s">
        <v>3007</v>
      </c>
      <c r="Q366" s="28" t="s">
        <v>3008</v>
      </c>
      <c r="R366" s="30" t="s">
        <v>3009</v>
      </c>
      <c r="S366" s="30" t="s">
        <v>53</v>
      </c>
      <c r="T366" s="30"/>
      <c r="U366" s="28" t="s">
        <v>1798</v>
      </c>
      <c r="V366" s="30" t="s">
        <v>63</v>
      </c>
      <c r="W366" s="30" t="s">
        <v>64</v>
      </c>
      <c r="X366" s="32">
        <v>44409</v>
      </c>
      <c r="Y366" s="32">
        <v>45839</v>
      </c>
      <c r="Z366" s="30" t="s">
        <v>65</v>
      </c>
      <c r="AA366" s="28" t="s">
        <v>66</v>
      </c>
      <c r="AB366" s="28" t="s">
        <v>67</v>
      </c>
      <c r="AC366" s="29"/>
      <c r="AD366" s="28">
        <v>0</v>
      </c>
      <c r="AE366" s="29"/>
      <c r="AF366" s="31"/>
      <c r="AG366" s="30" t="s">
        <v>1579</v>
      </c>
      <c r="AH366" s="28"/>
      <c r="AI366" s="28" t="s">
        <v>53</v>
      </c>
      <c r="AJ366" s="33">
        <v>37678</v>
      </c>
      <c r="AK366" s="28">
        <v>5</v>
      </c>
      <c r="AL366" s="28">
        <v>16</v>
      </c>
      <c r="AM366" s="21"/>
      <c r="AN366" s="27"/>
      <c r="AO366" s="27"/>
      <c r="AP366" s="27"/>
      <c r="AQ366" s="27"/>
    </row>
    <row r="367" spans="1:43" ht="15.75" customHeight="1">
      <c r="A367" s="28">
        <v>175</v>
      </c>
      <c r="B367" s="29" t="s">
        <v>3010</v>
      </c>
      <c r="C367" s="30"/>
      <c r="D367" s="31" t="s">
        <v>3011</v>
      </c>
      <c r="E367" s="30" t="s">
        <v>72</v>
      </c>
      <c r="F367" s="30" t="s">
        <v>50</v>
      </c>
      <c r="G367" s="30" t="s">
        <v>51</v>
      </c>
      <c r="H367" s="28" t="s">
        <v>85</v>
      </c>
      <c r="I367" s="30"/>
      <c r="J367" s="30" t="s">
        <v>53</v>
      </c>
      <c r="K367" s="30" t="s">
        <v>3012</v>
      </c>
      <c r="L367" s="30" t="s">
        <v>55</v>
      </c>
      <c r="M367" s="30" t="s">
        <v>1573</v>
      </c>
      <c r="N367" s="30" t="s">
        <v>3013</v>
      </c>
      <c r="O367" s="30" t="s">
        <v>3014</v>
      </c>
      <c r="P367" s="30" t="s">
        <v>3015</v>
      </c>
      <c r="Q367" s="28"/>
      <c r="R367" s="30" t="s">
        <v>3016</v>
      </c>
      <c r="S367" s="30" t="s">
        <v>53</v>
      </c>
      <c r="T367" s="30"/>
      <c r="U367" s="28" t="s">
        <v>1756</v>
      </c>
      <c r="V367" s="30" t="s">
        <v>63</v>
      </c>
      <c r="W367" s="30" t="s">
        <v>64</v>
      </c>
      <c r="X367" s="32">
        <v>44348</v>
      </c>
      <c r="Y367" s="32">
        <v>46174</v>
      </c>
      <c r="Z367" s="30" t="s">
        <v>65</v>
      </c>
      <c r="AA367" s="28" t="s">
        <v>134</v>
      </c>
      <c r="AB367" s="28" t="s">
        <v>67</v>
      </c>
      <c r="AC367" s="29"/>
      <c r="AD367" s="28">
        <v>0</v>
      </c>
      <c r="AE367" s="29"/>
      <c r="AF367" s="31"/>
      <c r="AG367" s="30" t="s">
        <v>1579</v>
      </c>
      <c r="AH367" s="28"/>
      <c r="AI367" s="28" t="s">
        <v>53</v>
      </c>
      <c r="AJ367" s="33">
        <v>37778</v>
      </c>
      <c r="AK367" s="28">
        <v>6</v>
      </c>
      <c r="AL367" s="28">
        <v>16</v>
      </c>
      <c r="AM367" s="21"/>
      <c r="AN367" s="27"/>
      <c r="AO367" s="27"/>
      <c r="AP367" s="27"/>
      <c r="AQ367" s="27"/>
    </row>
    <row r="368" spans="1:43" ht="15.75" customHeight="1">
      <c r="A368" s="28">
        <v>176</v>
      </c>
      <c r="B368" s="29" t="s">
        <v>3017</v>
      </c>
      <c r="C368" s="30" t="s">
        <v>3018</v>
      </c>
      <c r="D368" s="31" t="s">
        <v>3019</v>
      </c>
      <c r="E368" s="30" t="s">
        <v>72</v>
      </c>
      <c r="F368" s="30" t="s">
        <v>84</v>
      </c>
      <c r="G368" s="30" t="s">
        <v>51</v>
      </c>
      <c r="H368" s="28" t="s">
        <v>85</v>
      </c>
      <c r="I368" s="30"/>
      <c r="J368" s="30" t="s">
        <v>53</v>
      </c>
      <c r="K368" s="30" t="s">
        <v>3020</v>
      </c>
      <c r="L368" s="30" t="s">
        <v>55</v>
      </c>
      <c r="M368" s="30" t="s">
        <v>1573</v>
      </c>
      <c r="N368" s="30" t="s">
        <v>3021</v>
      </c>
      <c r="O368" s="30" t="s">
        <v>3022</v>
      </c>
      <c r="P368" s="30" t="s">
        <v>3023</v>
      </c>
      <c r="Q368" s="28"/>
      <c r="R368" s="30" t="s">
        <v>3024</v>
      </c>
      <c r="S368" s="30" t="s">
        <v>53</v>
      </c>
      <c r="T368" s="30"/>
      <c r="U368" s="28" t="s">
        <v>2331</v>
      </c>
      <c r="V368" s="30" t="s">
        <v>63</v>
      </c>
      <c r="W368" s="30" t="s">
        <v>64</v>
      </c>
      <c r="X368" s="32">
        <v>43862</v>
      </c>
      <c r="Y368" s="32">
        <v>45689</v>
      </c>
      <c r="Z368" s="30" t="s">
        <v>65</v>
      </c>
      <c r="AA368" s="28" t="s">
        <v>134</v>
      </c>
      <c r="AB368" s="28" t="s">
        <v>67</v>
      </c>
      <c r="AC368" s="29"/>
      <c r="AD368" s="28">
        <v>0</v>
      </c>
      <c r="AE368" s="29"/>
      <c r="AF368" s="31"/>
      <c r="AG368" s="30" t="s">
        <v>1579</v>
      </c>
      <c r="AH368" s="28"/>
      <c r="AI368" s="28" t="s">
        <v>53</v>
      </c>
      <c r="AJ368" s="33">
        <v>32187</v>
      </c>
      <c r="AK368" s="28">
        <v>6</v>
      </c>
      <c r="AL368" s="28">
        <v>16</v>
      </c>
      <c r="AM368" s="21"/>
      <c r="AN368" s="27"/>
      <c r="AO368" s="27"/>
      <c r="AP368" s="27"/>
      <c r="AQ368" s="27"/>
    </row>
    <row r="369" spans="1:43" ht="15.75" customHeight="1">
      <c r="A369" s="28">
        <v>177</v>
      </c>
      <c r="B369" s="29" t="s">
        <v>3025</v>
      </c>
      <c r="C369" s="30" t="s">
        <v>3026</v>
      </c>
      <c r="D369" s="31" t="s">
        <v>3027</v>
      </c>
      <c r="E369" s="30" t="s">
        <v>72</v>
      </c>
      <c r="F369" s="30" t="s">
        <v>50</v>
      </c>
      <c r="G369" s="30" t="s">
        <v>51</v>
      </c>
      <c r="H369" s="28" t="s">
        <v>52</v>
      </c>
      <c r="I369" s="30"/>
      <c r="J369" s="30" t="s">
        <v>53</v>
      </c>
      <c r="K369" s="30" t="s">
        <v>3028</v>
      </c>
      <c r="L369" s="30" t="s">
        <v>55</v>
      </c>
      <c r="M369" s="30" t="s">
        <v>1573</v>
      </c>
      <c r="N369" s="30" t="s">
        <v>3029</v>
      </c>
      <c r="O369" s="30" t="s">
        <v>1585</v>
      </c>
      <c r="P369" s="30" t="s">
        <v>3030</v>
      </c>
      <c r="Q369" s="28"/>
      <c r="R369" s="30" t="s">
        <v>3031</v>
      </c>
      <c r="S369" s="30" t="s">
        <v>53</v>
      </c>
      <c r="T369" s="30"/>
      <c r="U369" s="28" t="s">
        <v>2331</v>
      </c>
      <c r="V369" s="30" t="s">
        <v>63</v>
      </c>
      <c r="W369" s="30" t="s">
        <v>64</v>
      </c>
      <c r="X369" s="32">
        <v>43497</v>
      </c>
      <c r="Y369" s="32">
        <v>45261</v>
      </c>
      <c r="Z369" s="30" t="s">
        <v>65</v>
      </c>
      <c r="AA369" s="28" t="s">
        <v>246</v>
      </c>
      <c r="AB369" s="28" t="s">
        <v>67</v>
      </c>
      <c r="AC369" s="29"/>
      <c r="AD369" s="28">
        <v>0</v>
      </c>
      <c r="AE369" s="29"/>
      <c r="AF369" s="31"/>
      <c r="AG369" s="30" t="s">
        <v>1579</v>
      </c>
      <c r="AH369" s="28"/>
      <c r="AI369" s="28" t="s">
        <v>53</v>
      </c>
      <c r="AJ369" s="33">
        <v>35660</v>
      </c>
      <c r="AK369" s="28">
        <v>9</v>
      </c>
      <c r="AL369" s="28">
        <v>16</v>
      </c>
      <c r="AM369" s="21"/>
      <c r="AN369" s="27"/>
      <c r="AO369" s="27"/>
      <c r="AP369" s="27"/>
      <c r="AQ369" s="27"/>
    </row>
    <row r="370" spans="1:43" ht="15.75" customHeight="1">
      <c r="A370" s="28">
        <v>178</v>
      </c>
      <c r="B370" s="29" t="s">
        <v>3032</v>
      </c>
      <c r="C370" s="30"/>
      <c r="D370" s="31" t="s">
        <v>3033</v>
      </c>
      <c r="E370" s="30" t="s">
        <v>49</v>
      </c>
      <c r="F370" s="30" t="s">
        <v>50</v>
      </c>
      <c r="G370" s="30" t="s">
        <v>51</v>
      </c>
      <c r="H370" s="28" t="s">
        <v>85</v>
      </c>
      <c r="I370" s="30"/>
      <c r="J370" s="30" t="s">
        <v>53</v>
      </c>
      <c r="K370" s="30" t="s">
        <v>3034</v>
      </c>
      <c r="L370" s="30" t="s">
        <v>55</v>
      </c>
      <c r="M370" s="30" t="s">
        <v>1573</v>
      </c>
      <c r="N370" s="30" t="s">
        <v>3035</v>
      </c>
      <c r="O370" s="30" t="s">
        <v>2087</v>
      </c>
      <c r="P370" s="30" t="s">
        <v>3036</v>
      </c>
      <c r="Q370" s="28" t="s">
        <v>3037</v>
      </c>
      <c r="R370" s="30" t="s">
        <v>3038</v>
      </c>
      <c r="S370" s="30" t="s">
        <v>53</v>
      </c>
      <c r="T370" s="30"/>
      <c r="U370" s="28" t="s">
        <v>3039</v>
      </c>
      <c r="V370" s="30" t="s">
        <v>63</v>
      </c>
      <c r="W370" s="30" t="s">
        <v>64</v>
      </c>
      <c r="X370" s="32">
        <v>44197</v>
      </c>
      <c r="Y370" s="32">
        <v>45992</v>
      </c>
      <c r="Z370" s="30" t="s">
        <v>65</v>
      </c>
      <c r="AA370" s="28" t="s">
        <v>66</v>
      </c>
      <c r="AB370" s="28" t="s">
        <v>67</v>
      </c>
      <c r="AC370" s="29"/>
      <c r="AD370" s="28">
        <v>0</v>
      </c>
      <c r="AE370" s="29"/>
      <c r="AF370" s="31"/>
      <c r="AG370" s="30" t="s">
        <v>1579</v>
      </c>
      <c r="AH370" s="28"/>
      <c r="AI370" s="28" t="s">
        <v>118</v>
      </c>
      <c r="AJ370" s="33">
        <v>29605</v>
      </c>
      <c r="AK370" s="28">
        <v>6</v>
      </c>
      <c r="AL370" s="28">
        <v>16</v>
      </c>
      <c r="AM370" s="21"/>
      <c r="AN370" s="27"/>
      <c r="AO370" s="27"/>
      <c r="AP370" s="27"/>
      <c r="AQ370" s="27"/>
    </row>
    <row r="371" spans="1:43" ht="15.75" customHeight="1">
      <c r="A371" s="28">
        <v>179</v>
      </c>
      <c r="B371" s="29" t="s">
        <v>3040</v>
      </c>
      <c r="C371" s="30" t="s">
        <v>3041</v>
      </c>
      <c r="D371" s="31" t="s">
        <v>3042</v>
      </c>
      <c r="E371" s="30" t="s">
        <v>72</v>
      </c>
      <c r="F371" s="30" t="s">
        <v>50</v>
      </c>
      <c r="G371" s="30" t="s">
        <v>51</v>
      </c>
      <c r="H371" s="28" t="s">
        <v>85</v>
      </c>
      <c r="I371" s="30"/>
      <c r="J371" s="30" t="s">
        <v>53</v>
      </c>
      <c r="K371" s="30" t="s">
        <v>3043</v>
      </c>
      <c r="L371" s="30" t="s">
        <v>55</v>
      </c>
      <c r="M371" s="30" t="s">
        <v>656</v>
      </c>
      <c r="N371" s="30" t="s">
        <v>3044</v>
      </c>
      <c r="O371" s="30" t="s">
        <v>2071</v>
      </c>
      <c r="P371" s="30" t="s">
        <v>3045</v>
      </c>
      <c r="Q371" s="28" t="s">
        <v>3046</v>
      </c>
      <c r="R371" s="30" t="s">
        <v>3047</v>
      </c>
      <c r="S371" s="30" t="s">
        <v>53</v>
      </c>
      <c r="T371" s="30"/>
      <c r="U371" s="28" t="s">
        <v>2636</v>
      </c>
      <c r="V371" s="30" t="s">
        <v>63</v>
      </c>
      <c r="W371" s="30" t="s">
        <v>64</v>
      </c>
      <c r="X371" s="32">
        <v>44409</v>
      </c>
      <c r="Y371" s="32">
        <v>46204</v>
      </c>
      <c r="Z371" s="30" t="s">
        <v>65</v>
      </c>
      <c r="AA371" s="28" t="s">
        <v>134</v>
      </c>
      <c r="AB371" s="28" t="s">
        <v>67</v>
      </c>
      <c r="AC371" s="29"/>
      <c r="AD371" s="28">
        <v>0</v>
      </c>
      <c r="AE371" s="29"/>
      <c r="AF371" s="31"/>
      <c r="AG371" s="30" t="s">
        <v>1579</v>
      </c>
      <c r="AH371" s="28"/>
      <c r="AI371" s="28" t="s">
        <v>53</v>
      </c>
      <c r="AJ371" s="33">
        <v>36570</v>
      </c>
      <c r="AK371" s="28">
        <v>5</v>
      </c>
      <c r="AL371" s="28">
        <v>16</v>
      </c>
      <c r="AM371" s="21"/>
      <c r="AN371" s="27"/>
      <c r="AO371" s="27"/>
      <c r="AP371" s="27"/>
      <c r="AQ371" s="27"/>
    </row>
    <row r="372" spans="1:43" ht="15.75" customHeight="1">
      <c r="A372" s="28">
        <v>180</v>
      </c>
      <c r="B372" s="29" t="s">
        <v>3048</v>
      </c>
      <c r="C372" s="30"/>
      <c r="D372" s="31" t="s">
        <v>3049</v>
      </c>
      <c r="E372" s="30" t="s">
        <v>72</v>
      </c>
      <c r="F372" s="30" t="s">
        <v>84</v>
      </c>
      <c r="G372" s="30" t="s">
        <v>51</v>
      </c>
      <c r="H372" s="28" t="s">
        <v>52</v>
      </c>
      <c r="I372" s="30"/>
      <c r="J372" s="30" t="s">
        <v>53</v>
      </c>
      <c r="K372" s="30" t="s">
        <v>3050</v>
      </c>
      <c r="L372" s="30" t="s">
        <v>55</v>
      </c>
      <c r="M372" s="30" t="s">
        <v>1573</v>
      </c>
      <c r="N372" s="30" t="s">
        <v>3051</v>
      </c>
      <c r="O372" s="30" t="s">
        <v>3052</v>
      </c>
      <c r="P372" s="30" t="s">
        <v>3053</v>
      </c>
      <c r="Q372" s="28"/>
      <c r="R372" s="30" t="s">
        <v>3054</v>
      </c>
      <c r="S372" s="30" t="s">
        <v>53</v>
      </c>
      <c r="T372" s="30"/>
      <c r="U372" s="28" t="s">
        <v>2331</v>
      </c>
      <c r="V372" s="30" t="s">
        <v>63</v>
      </c>
      <c r="W372" s="30" t="s">
        <v>64</v>
      </c>
      <c r="X372" s="32">
        <v>44197</v>
      </c>
      <c r="Y372" s="32">
        <v>45992</v>
      </c>
      <c r="Z372" s="30" t="s">
        <v>65</v>
      </c>
      <c r="AA372" s="28" t="s">
        <v>134</v>
      </c>
      <c r="AB372" s="28" t="s">
        <v>67</v>
      </c>
      <c r="AC372" s="29"/>
      <c r="AD372" s="28">
        <v>0</v>
      </c>
      <c r="AE372" s="29"/>
      <c r="AF372" s="31"/>
      <c r="AG372" s="30" t="s">
        <v>1579</v>
      </c>
      <c r="AH372" s="28"/>
      <c r="AI372" s="28" t="s">
        <v>53</v>
      </c>
      <c r="AJ372" s="33">
        <v>34877</v>
      </c>
      <c r="AK372" s="28">
        <v>6</v>
      </c>
      <c r="AL372" s="28">
        <v>16</v>
      </c>
      <c r="AM372" s="21"/>
      <c r="AN372" s="27"/>
      <c r="AO372" s="27"/>
      <c r="AP372" s="27"/>
      <c r="AQ372" s="27"/>
    </row>
    <row r="373" spans="1:43" ht="15.75" customHeight="1">
      <c r="A373" s="28">
        <v>181</v>
      </c>
      <c r="B373" s="29" t="s">
        <v>3055</v>
      </c>
      <c r="C373" s="30"/>
      <c r="D373" s="31" t="s">
        <v>3056</v>
      </c>
      <c r="E373" s="30" t="s">
        <v>49</v>
      </c>
      <c r="F373" s="30" t="s">
        <v>50</v>
      </c>
      <c r="G373" s="30" t="s">
        <v>51</v>
      </c>
      <c r="H373" s="28" t="s">
        <v>85</v>
      </c>
      <c r="I373" s="30"/>
      <c r="J373" s="30" t="s">
        <v>53</v>
      </c>
      <c r="K373" s="30" t="s">
        <v>3057</v>
      </c>
      <c r="L373" s="30" t="s">
        <v>55</v>
      </c>
      <c r="M373" s="30" t="s">
        <v>1573</v>
      </c>
      <c r="N373" s="30" t="s">
        <v>3058</v>
      </c>
      <c r="O373" s="30" t="s">
        <v>3059</v>
      </c>
      <c r="P373" s="30" t="s">
        <v>3060</v>
      </c>
      <c r="Q373" s="28" t="s">
        <v>3061</v>
      </c>
      <c r="R373" s="30" t="s">
        <v>3062</v>
      </c>
      <c r="S373" s="30" t="s">
        <v>53</v>
      </c>
      <c r="T373" s="30"/>
      <c r="U373" s="28" t="s">
        <v>3063</v>
      </c>
      <c r="V373" s="30" t="s">
        <v>63</v>
      </c>
      <c r="W373" s="30" t="s">
        <v>64</v>
      </c>
      <c r="X373" s="32">
        <v>43831</v>
      </c>
      <c r="Y373" s="32">
        <v>45809</v>
      </c>
      <c r="Z373" s="30" t="s">
        <v>65</v>
      </c>
      <c r="AA373" s="28" t="s">
        <v>66</v>
      </c>
      <c r="AB373" s="28" t="s">
        <v>67</v>
      </c>
      <c r="AC373" s="29"/>
      <c r="AD373" s="28">
        <v>0</v>
      </c>
      <c r="AE373" s="29"/>
      <c r="AF373" s="31"/>
      <c r="AG373" s="30" t="s">
        <v>1579</v>
      </c>
      <c r="AH373" s="28"/>
      <c r="AI373" s="28" t="s">
        <v>53</v>
      </c>
      <c r="AJ373" s="33">
        <v>32074</v>
      </c>
      <c r="AK373" s="28">
        <v>7</v>
      </c>
      <c r="AL373" s="28">
        <v>16</v>
      </c>
      <c r="AM373" s="21"/>
      <c r="AN373" s="27"/>
      <c r="AO373" s="27"/>
      <c r="AP373" s="27"/>
      <c r="AQ373" s="27"/>
    </row>
    <row r="374" spans="1:43" ht="15.75" customHeight="1">
      <c r="A374" s="28">
        <v>182</v>
      </c>
      <c r="B374" s="29" t="s">
        <v>3064</v>
      </c>
      <c r="C374" s="30"/>
      <c r="D374" s="31" t="s">
        <v>3065</v>
      </c>
      <c r="E374" s="30" t="s">
        <v>49</v>
      </c>
      <c r="F374" s="30" t="s">
        <v>50</v>
      </c>
      <c r="G374" s="30" t="s">
        <v>51</v>
      </c>
      <c r="H374" s="28" t="s">
        <v>85</v>
      </c>
      <c r="I374" s="30"/>
      <c r="J374" s="30" t="s">
        <v>53</v>
      </c>
      <c r="K374" s="30" t="s">
        <v>3066</v>
      </c>
      <c r="L374" s="30" t="s">
        <v>55</v>
      </c>
      <c r="M374" s="30" t="s">
        <v>1573</v>
      </c>
      <c r="N374" s="30" t="s">
        <v>3067</v>
      </c>
      <c r="O374" s="30" t="s">
        <v>3068</v>
      </c>
      <c r="P374" s="30" t="s">
        <v>3069</v>
      </c>
      <c r="Q374" s="28" t="s">
        <v>3070</v>
      </c>
      <c r="R374" s="30" t="s">
        <v>3071</v>
      </c>
      <c r="S374" s="30" t="s">
        <v>53</v>
      </c>
      <c r="T374" s="30"/>
      <c r="U374" s="28" t="s">
        <v>3072</v>
      </c>
      <c r="V374" s="30" t="s">
        <v>63</v>
      </c>
      <c r="W374" s="30" t="s">
        <v>64</v>
      </c>
      <c r="X374" s="32">
        <v>44197</v>
      </c>
      <c r="Y374" s="32">
        <v>45992</v>
      </c>
      <c r="Z374" s="30" t="s">
        <v>65</v>
      </c>
      <c r="AA374" s="28" t="s">
        <v>66</v>
      </c>
      <c r="AB374" s="28" t="s">
        <v>67</v>
      </c>
      <c r="AC374" s="29"/>
      <c r="AD374" s="28">
        <v>0</v>
      </c>
      <c r="AE374" s="29"/>
      <c r="AF374" s="31"/>
      <c r="AG374" s="30" t="s">
        <v>1579</v>
      </c>
      <c r="AH374" s="28"/>
      <c r="AI374" s="28" t="s">
        <v>118</v>
      </c>
      <c r="AJ374" s="33">
        <v>34242</v>
      </c>
      <c r="AK374" s="28">
        <v>6</v>
      </c>
      <c r="AL374" s="28">
        <v>15</v>
      </c>
      <c r="AM374" s="21"/>
      <c r="AN374" s="27"/>
      <c r="AO374" s="27"/>
      <c r="AP374" s="27"/>
      <c r="AQ374" s="27"/>
    </row>
    <row r="375" spans="1:43" ht="15.75" customHeight="1">
      <c r="A375" s="28">
        <v>183</v>
      </c>
      <c r="B375" s="29" t="s">
        <v>3073</v>
      </c>
      <c r="C375" s="30"/>
      <c r="D375" s="31" t="s">
        <v>3074</v>
      </c>
      <c r="E375" s="30" t="s">
        <v>72</v>
      </c>
      <c r="F375" s="30" t="s">
        <v>50</v>
      </c>
      <c r="G375" s="30" t="s">
        <v>51</v>
      </c>
      <c r="H375" s="28" t="s">
        <v>52</v>
      </c>
      <c r="I375" s="30"/>
      <c r="J375" s="30" t="s">
        <v>53</v>
      </c>
      <c r="K375" s="30" t="s">
        <v>3075</v>
      </c>
      <c r="L375" s="30" t="s">
        <v>55</v>
      </c>
      <c r="M375" s="30" t="s">
        <v>2449</v>
      </c>
      <c r="N375" s="30" t="s">
        <v>3076</v>
      </c>
      <c r="O375" s="30" t="s">
        <v>2451</v>
      </c>
      <c r="P375" s="30" t="s">
        <v>3077</v>
      </c>
      <c r="Q375" s="28"/>
      <c r="R375" s="30" t="s">
        <v>3078</v>
      </c>
      <c r="S375" s="30" t="s">
        <v>53</v>
      </c>
      <c r="T375" s="30"/>
      <c r="U375" s="28" t="s">
        <v>3079</v>
      </c>
      <c r="V375" s="30" t="s">
        <v>63</v>
      </c>
      <c r="W375" s="30" t="s">
        <v>64</v>
      </c>
      <c r="X375" s="32">
        <v>44228</v>
      </c>
      <c r="Y375" s="32">
        <v>45992</v>
      </c>
      <c r="Z375" s="30" t="s">
        <v>65</v>
      </c>
      <c r="AA375" s="28" t="s">
        <v>134</v>
      </c>
      <c r="AB375" s="28" t="s">
        <v>67</v>
      </c>
      <c r="AC375" s="29"/>
      <c r="AD375" s="28">
        <v>0</v>
      </c>
      <c r="AE375" s="29"/>
      <c r="AF375" s="31"/>
      <c r="AG375" s="30" t="s">
        <v>1579</v>
      </c>
      <c r="AH375" s="28"/>
      <c r="AI375" s="28" t="s">
        <v>118</v>
      </c>
      <c r="AJ375" s="33">
        <v>37634</v>
      </c>
      <c r="AK375" s="28">
        <v>6</v>
      </c>
      <c r="AL375" s="28">
        <v>15</v>
      </c>
      <c r="AM375" s="21"/>
      <c r="AN375" s="27"/>
      <c r="AO375" s="27"/>
      <c r="AP375" s="27"/>
      <c r="AQ375" s="27"/>
    </row>
    <row r="376" spans="1:43" ht="15.75" customHeight="1">
      <c r="A376" s="28">
        <v>184</v>
      </c>
      <c r="B376" s="29" t="s">
        <v>3080</v>
      </c>
      <c r="C376" s="30"/>
      <c r="D376" s="31" t="s">
        <v>3081</v>
      </c>
      <c r="E376" s="30" t="s">
        <v>72</v>
      </c>
      <c r="F376" s="30" t="s">
        <v>50</v>
      </c>
      <c r="G376" s="30" t="s">
        <v>51</v>
      </c>
      <c r="H376" s="28" t="s">
        <v>191</v>
      </c>
      <c r="I376" s="30"/>
      <c r="J376" s="30" t="s">
        <v>53</v>
      </c>
      <c r="K376" s="30" t="s">
        <v>3082</v>
      </c>
      <c r="L376" s="30" t="s">
        <v>55</v>
      </c>
      <c r="M376" s="30" t="s">
        <v>1573</v>
      </c>
      <c r="N376" s="30" t="s">
        <v>3083</v>
      </c>
      <c r="O376" s="30" t="s">
        <v>2374</v>
      </c>
      <c r="P376" s="30" t="s">
        <v>3084</v>
      </c>
      <c r="Q376" s="28"/>
      <c r="R376" s="30" t="s">
        <v>3085</v>
      </c>
      <c r="S376" s="30" t="s">
        <v>53</v>
      </c>
      <c r="T376" s="30"/>
      <c r="U376" s="28" t="s">
        <v>1771</v>
      </c>
      <c r="V376" s="30" t="s">
        <v>63</v>
      </c>
      <c r="W376" s="30" t="s">
        <v>64</v>
      </c>
      <c r="X376" s="32">
        <v>44044</v>
      </c>
      <c r="Y376" s="32">
        <v>46174</v>
      </c>
      <c r="Z376" s="30" t="s">
        <v>65</v>
      </c>
      <c r="AA376" s="28" t="s">
        <v>134</v>
      </c>
      <c r="AB376" s="28" t="s">
        <v>67</v>
      </c>
      <c r="AC376" s="29"/>
      <c r="AD376" s="28">
        <v>0</v>
      </c>
      <c r="AE376" s="29"/>
      <c r="AF376" s="31"/>
      <c r="AG376" s="30" t="s">
        <v>1579</v>
      </c>
      <c r="AH376" s="28"/>
      <c r="AI376" s="28" t="s">
        <v>53</v>
      </c>
      <c r="AJ376" s="33">
        <v>38047</v>
      </c>
      <c r="AK376" s="28">
        <v>5</v>
      </c>
      <c r="AL376" s="28">
        <v>15</v>
      </c>
      <c r="AM376" s="21"/>
      <c r="AN376" s="27"/>
      <c r="AO376" s="27"/>
      <c r="AP376" s="27"/>
      <c r="AQ376" s="27"/>
    </row>
    <row r="377" spans="1:43" ht="15.75" customHeight="1">
      <c r="A377" s="28">
        <v>185</v>
      </c>
      <c r="B377" s="29" t="s">
        <v>3086</v>
      </c>
      <c r="C377" s="30"/>
      <c r="D377" s="31" t="s">
        <v>3087</v>
      </c>
      <c r="E377" s="30" t="s">
        <v>49</v>
      </c>
      <c r="F377" s="30" t="s">
        <v>84</v>
      </c>
      <c r="G377" s="30" t="s">
        <v>51</v>
      </c>
      <c r="H377" s="28" t="s">
        <v>85</v>
      </c>
      <c r="I377" s="30"/>
      <c r="J377" s="30" t="s">
        <v>53</v>
      </c>
      <c r="K377" s="30" t="s">
        <v>3088</v>
      </c>
      <c r="L377" s="30" t="s">
        <v>55</v>
      </c>
      <c r="M377" s="30" t="s">
        <v>1573</v>
      </c>
      <c r="N377" s="30" t="s">
        <v>3089</v>
      </c>
      <c r="O377" s="30" t="s">
        <v>3090</v>
      </c>
      <c r="P377" s="30" t="s">
        <v>3091</v>
      </c>
      <c r="Q377" s="28" t="s">
        <v>3092</v>
      </c>
      <c r="R377" s="30" t="s">
        <v>3093</v>
      </c>
      <c r="S377" s="30" t="s">
        <v>53</v>
      </c>
      <c r="T377" s="30"/>
      <c r="U377" s="28" t="s">
        <v>2267</v>
      </c>
      <c r="V377" s="30" t="s">
        <v>63</v>
      </c>
      <c r="W377" s="30" t="s">
        <v>64</v>
      </c>
      <c r="X377" s="32">
        <v>44013</v>
      </c>
      <c r="Y377" s="32">
        <v>45839</v>
      </c>
      <c r="Z377" s="30" t="s">
        <v>65</v>
      </c>
      <c r="AA377" s="28" t="s">
        <v>134</v>
      </c>
      <c r="AB377" s="28" t="s">
        <v>67</v>
      </c>
      <c r="AC377" s="29"/>
      <c r="AD377" s="28">
        <v>0</v>
      </c>
      <c r="AE377" s="29"/>
      <c r="AF377" s="31"/>
      <c r="AG377" s="30" t="s">
        <v>1579</v>
      </c>
      <c r="AH377" s="28"/>
      <c r="AI377" s="28" t="s">
        <v>53</v>
      </c>
      <c r="AJ377" s="33">
        <v>24357</v>
      </c>
      <c r="AK377" s="28">
        <v>8</v>
      </c>
      <c r="AL377" s="28">
        <v>15</v>
      </c>
      <c r="AM377" s="21"/>
      <c r="AN377" s="27"/>
      <c r="AO377" s="27"/>
      <c r="AP377" s="27"/>
      <c r="AQ377" s="27"/>
    </row>
    <row r="378" spans="1:43" ht="15.75" customHeight="1">
      <c r="A378" s="28">
        <v>186</v>
      </c>
      <c r="B378" s="29" t="s">
        <v>3094</v>
      </c>
      <c r="C378" s="30"/>
      <c r="D378" s="31" t="s">
        <v>3095</v>
      </c>
      <c r="E378" s="30" t="s">
        <v>72</v>
      </c>
      <c r="F378" s="30" t="s">
        <v>50</v>
      </c>
      <c r="G378" s="30" t="s">
        <v>51</v>
      </c>
      <c r="H378" s="28" t="s">
        <v>85</v>
      </c>
      <c r="I378" s="30"/>
      <c r="J378" s="30" t="s">
        <v>53</v>
      </c>
      <c r="K378" s="30" t="s">
        <v>3096</v>
      </c>
      <c r="L378" s="30" t="s">
        <v>55</v>
      </c>
      <c r="M378" s="30" t="s">
        <v>656</v>
      </c>
      <c r="N378" s="30" t="s">
        <v>3097</v>
      </c>
      <c r="O378" s="30" t="s">
        <v>1662</v>
      </c>
      <c r="P378" s="30" t="s">
        <v>3098</v>
      </c>
      <c r="Q378" s="28" t="s">
        <v>3099</v>
      </c>
      <c r="R378" s="30" t="s">
        <v>3100</v>
      </c>
      <c r="S378" s="30" t="s">
        <v>53</v>
      </c>
      <c r="T378" s="30"/>
      <c r="U378" s="28" t="s">
        <v>3101</v>
      </c>
      <c r="V378" s="30" t="s">
        <v>63</v>
      </c>
      <c r="W378" s="30" t="s">
        <v>64</v>
      </c>
      <c r="X378" s="32">
        <v>44958</v>
      </c>
      <c r="Y378" s="32">
        <v>46722</v>
      </c>
      <c r="Z378" s="30" t="s">
        <v>65</v>
      </c>
      <c r="AA378" s="28" t="s">
        <v>134</v>
      </c>
      <c r="AB378" s="28" t="s">
        <v>67</v>
      </c>
      <c r="AC378" s="29"/>
      <c r="AD378" s="28">
        <v>0</v>
      </c>
      <c r="AE378" s="29"/>
      <c r="AF378" s="31"/>
      <c r="AG378" s="30" t="s">
        <v>1579</v>
      </c>
      <c r="AH378" s="28"/>
      <c r="AI378" s="28" t="s">
        <v>53</v>
      </c>
      <c r="AJ378" s="33">
        <v>38279</v>
      </c>
      <c r="AK378" s="28">
        <v>5</v>
      </c>
      <c r="AL378" s="28">
        <v>15</v>
      </c>
      <c r="AM378" s="21"/>
      <c r="AN378" s="27"/>
      <c r="AO378" s="27"/>
      <c r="AP378" s="27"/>
      <c r="AQ378" s="27"/>
    </row>
    <row r="379" spans="1:43" ht="15.75" customHeight="1">
      <c r="A379" s="28">
        <v>187</v>
      </c>
      <c r="B379" s="29" t="s">
        <v>3102</v>
      </c>
      <c r="C379" s="30" t="s">
        <v>3103</v>
      </c>
      <c r="D379" s="31" t="s">
        <v>3104</v>
      </c>
      <c r="E379" s="30" t="s">
        <v>72</v>
      </c>
      <c r="F379" s="30" t="s">
        <v>50</v>
      </c>
      <c r="G379" s="30" t="s">
        <v>51</v>
      </c>
      <c r="H379" s="28" t="s">
        <v>85</v>
      </c>
      <c r="I379" s="30"/>
      <c r="J379" s="30" t="s">
        <v>53</v>
      </c>
      <c r="K379" s="30" t="s">
        <v>2148</v>
      </c>
      <c r="L379" s="30" t="s">
        <v>55</v>
      </c>
      <c r="M379" s="30" t="s">
        <v>656</v>
      </c>
      <c r="N379" s="30" t="s">
        <v>3105</v>
      </c>
      <c r="O379" s="30" t="s">
        <v>2150</v>
      </c>
      <c r="P379" s="30" t="s">
        <v>3106</v>
      </c>
      <c r="Q379" s="28"/>
      <c r="R379" s="30" t="s">
        <v>3107</v>
      </c>
      <c r="S379" s="30" t="s">
        <v>53</v>
      </c>
      <c r="T379" s="30"/>
      <c r="U379" s="28" t="s">
        <v>3108</v>
      </c>
      <c r="V379" s="30" t="s">
        <v>63</v>
      </c>
      <c r="W379" s="30" t="s">
        <v>64</v>
      </c>
      <c r="X379" s="32">
        <v>43466</v>
      </c>
      <c r="Y379" s="32">
        <v>45627</v>
      </c>
      <c r="Z379" s="30" t="s">
        <v>65</v>
      </c>
      <c r="AA379" s="28" t="s">
        <v>66</v>
      </c>
      <c r="AB379" s="28" t="s">
        <v>67</v>
      </c>
      <c r="AC379" s="29"/>
      <c r="AD379" s="28">
        <v>0</v>
      </c>
      <c r="AE379" s="29"/>
      <c r="AF379" s="31"/>
      <c r="AG379" s="30" t="s">
        <v>1579</v>
      </c>
      <c r="AH379" s="28"/>
      <c r="AI379" s="28" t="s">
        <v>53</v>
      </c>
      <c r="AJ379" s="33">
        <v>36999</v>
      </c>
      <c r="AK379" s="28">
        <v>8</v>
      </c>
      <c r="AL379" s="28">
        <v>15</v>
      </c>
      <c r="AM379" s="21"/>
      <c r="AN379" s="27"/>
      <c r="AO379" s="27"/>
      <c r="AP379" s="27"/>
      <c r="AQ379" s="27"/>
    </row>
    <row r="380" spans="1:43" ht="15.75" customHeight="1">
      <c r="A380" s="28">
        <v>188</v>
      </c>
      <c r="B380" s="29" t="s">
        <v>3109</v>
      </c>
      <c r="C380" s="30"/>
      <c r="D380" s="31" t="s">
        <v>3110</v>
      </c>
      <c r="E380" s="30" t="s">
        <v>72</v>
      </c>
      <c r="F380" s="30" t="s">
        <v>50</v>
      </c>
      <c r="G380" s="30" t="s">
        <v>51</v>
      </c>
      <c r="H380" s="28" t="s">
        <v>85</v>
      </c>
      <c r="I380" s="30"/>
      <c r="J380" s="30" t="s">
        <v>53</v>
      </c>
      <c r="K380" s="30" t="s">
        <v>3111</v>
      </c>
      <c r="L380" s="30" t="s">
        <v>55</v>
      </c>
      <c r="M380" s="30" t="s">
        <v>1573</v>
      </c>
      <c r="N380" s="30" t="s">
        <v>3112</v>
      </c>
      <c r="O380" s="30" t="s">
        <v>3113</v>
      </c>
      <c r="P380" s="30" t="s">
        <v>3114</v>
      </c>
      <c r="Q380" s="28" t="s">
        <v>3115</v>
      </c>
      <c r="R380" s="30" t="s">
        <v>3116</v>
      </c>
      <c r="S380" s="30" t="s">
        <v>53</v>
      </c>
      <c r="T380" s="30"/>
      <c r="U380" s="28" t="s">
        <v>1740</v>
      </c>
      <c r="V380" s="30" t="s">
        <v>63</v>
      </c>
      <c r="W380" s="30" t="s">
        <v>64</v>
      </c>
      <c r="X380" s="32">
        <v>44562</v>
      </c>
      <c r="Y380" s="32">
        <v>46023</v>
      </c>
      <c r="Z380" s="30" t="s">
        <v>65</v>
      </c>
      <c r="AA380" s="28" t="s">
        <v>66</v>
      </c>
      <c r="AB380" s="28" t="s">
        <v>67</v>
      </c>
      <c r="AC380" s="29"/>
      <c r="AD380" s="28">
        <v>0</v>
      </c>
      <c r="AE380" s="29"/>
      <c r="AF380" s="31"/>
      <c r="AG380" s="30" t="s">
        <v>1579</v>
      </c>
      <c r="AH380" s="28"/>
      <c r="AI380" s="28" t="s">
        <v>118</v>
      </c>
      <c r="AJ380" s="33">
        <v>35598</v>
      </c>
      <c r="AK380" s="28">
        <v>5</v>
      </c>
      <c r="AL380" s="28">
        <v>15</v>
      </c>
      <c r="AM380" s="21"/>
      <c r="AN380" s="27"/>
      <c r="AO380" s="27"/>
      <c r="AP380" s="27"/>
      <c r="AQ380" s="27"/>
    </row>
    <row r="381" spans="1:43" ht="15.75" customHeight="1">
      <c r="A381" s="28">
        <v>189</v>
      </c>
      <c r="B381" s="29" t="s">
        <v>3117</v>
      </c>
      <c r="C381" s="30"/>
      <c r="D381" s="31" t="s">
        <v>3118</v>
      </c>
      <c r="E381" s="30" t="s">
        <v>72</v>
      </c>
      <c r="F381" s="30" t="s">
        <v>50</v>
      </c>
      <c r="G381" s="30" t="s">
        <v>51</v>
      </c>
      <c r="H381" s="28" t="s">
        <v>85</v>
      </c>
      <c r="I381" s="30"/>
      <c r="J381" s="30" t="s">
        <v>53</v>
      </c>
      <c r="K381" s="30" t="s">
        <v>2101</v>
      </c>
      <c r="L381" s="30" t="s">
        <v>55</v>
      </c>
      <c r="M381" s="30" t="s">
        <v>1573</v>
      </c>
      <c r="N381" s="30" t="s">
        <v>3119</v>
      </c>
      <c r="O381" s="30" t="s">
        <v>1776</v>
      </c>
      <c r="P381" s="30" t="s">
        <v>3120</v>
      </c>
      <c r="Q381" s="28" t="s">
        <v>3121</v>
      </c>
      <c r="R381" s="30" t="s">
        <v>3122</v>
      </c>
      <c r="S381" s="30" t="s">
        <v>53</v>
      </c>
      <c r="T381" s="30"/>
      <c r="U381" s="28" t="s">
        <v>1898</v>
      </c>
      <c r="V381" s="30" t="s">
        <v>63</v>
      </c>
      <c r="W381" s="30" t="s">
        <v>64</v>
      </c>
      <c r="X381" s="32">
        <v>44562</v>
      </c>
      <c r="Y381" s="32">
        <v>46357</v>
      </c>
      <c r="Z381" s="30" t="s">
        <v>65</v>
      </c>
      <c r="AA381" s="28" t="s">
        <v>134</v>
      </c>
      <c r="AB381" s="28" t="s">
        <v>67</v>
      </c>
      <c r="AC381" s="29"/>
      <c r="AD381" s="28">
        <v>0</v>
      </c>
      <c r="AE381" s="29"/>
      <c r="AF381" s="31"/>
      <c r="AG381" s="30" t="s">
        <v>1579</v>
      </c>
      <c r="AH381" s="28"/>
      <c r="AI381" s="28" t="s">
        <v>53</v>
      </c>
      <c r="AJ381" s="33">
        <v>38051</v>
      </c>
      <c r="AK381" s="28">
        <v>5</v>
      </c>
      <c r="AL381" s="28">
        <v>15</v>
      </c>
      <c r="AM381" s="21"/>
      <c r="AN381" s="27"/>
      <c r="AO381" s="27"/>
      <c r="AP381" s="27"/>
      <c r="AQ381" s="27"/>
    </row>
    <row r="382" spans="1:43" ht="15.75" customHeight="1">
      <c r="A382" s="28">
        <v>190</v>
      </c>
      <c r="B382" s="29" t="s">
        <v>3123</v>
      </c>
      <c r="C382" s="30"/>
      <c r="D382" s="31" t="s">
        <v>3124</v>
      </c>
      <c r="E382" s="30" t="s">
        <v>49</v>
      </c>
      <c r="F382" s="30" t="s">
        <v>84</v>
      </c>
      <c r="G382" s="30" t="s">
        <v>51</v>
      </c>
      <c r="H382" s="28" t="s">
        <v>52</v>
      </c>
      <c r="I382" s="30"/>
      <c r="J382" s="30" t="s">
        <v>53</v>
      </c>
      <c r="K382" s="30" t="s">
        <v>3125</v>
      </c>
      <c r="L382" s="30" t="s">
        <v>55</v>
      </c>
      <c r="M382" s="30" t="s">
        <v>1573</v>
      </c>
      <c r="N382" s="30" t="s">
        <v>3126</v>
      </c>
      <c r="O382" s="30" t="s">
        <v>3127</v>
      </c>
      <c r="P382" s="30" t="s">
        <v>3128</v>
      </c>
      <c r="Q382" s="28"/>
      <c r="R382" s="30" t="s">
        <v>3129</v>
      </c>
      <c r="S382" s="30" t="s">
        <v>53</v>
      </c>
      <c r="T382" s="30"/>
      <c r="U382" s="28" t="s">
        <v>3130</v>
      </c>
      <c r="V382" s="30" t="s">
        <v>63</v>
      </c>
      <c r="W382" s="30" t="s">
        <v>64</v>
      </c>
      <c r="X382" s="32">
        <v>44044</v>
      </c>
      <c r="Y382" s="32">
        <v>45870</v>
      </c>
      <c r="Z382" s="30" t="s">
        <v>65</v>
      </c>
      <c r="AA382" s="28" t="s">
        <v>66</v>
      </c>
      <c r="AB382" s="28" t="s">
        <v>67</v>
      </c>
      <c r="AC382" s="29"/>
      <c r="AD382" s="28">
        <v>0</v>
      </c>
      <c r="AE382" s="29"/>
      <c r="AF382" s="31"/>
      <c r="AG382" s="30" t="s">
        <v>1579</v>
      </c>
      <c r="AH382" s="28" t="s">
        <v>431</v>
      </c>
      <c r="AI382" s="28" t="s">
        <v>53</v>
      </c>
      <c r="AJ382" s="33">
        <v>27904</v>
      </c>
      <c r="AK382" s="28">
        <v>7</v>
      </c>
      <c r="AL382" s="28">
        <v>15</v>
      </c>
      <c r="AM382" s="21"/>
      <c r="AN382" s="27"/>
      <c r="AO382" s="27"/>
      <c r="AP382" s="27"/>
      <c r="AQ382" s="27"/>
    </row>
    <row r="383" spans="1:43" ht="15.75" customHeight="1">
      <c r="A383" s="28">
        <v>191</v>
      </c>
      <c r="B383" s="29" t="s">
        <v>3131</v>
      </c>
      <c r="C383" s="30" t="s">
        <v>3132</v>
      </c>
      <c r="D383" s="31" t="s">
        <v>3133</v>
      </c>
      <c r="E383" s="30" t="s">
        <v>72</v>
      </c>
      <c r="F383" s="30" t="s">
        <v>50</v>
      </c>
      <c r="G383" s="30" t="s">
        <v>51</v>
      </c>
      <c r="H383" s="28" t="s">
        <v>85</v>
      </c>
      <c r="I383" s="30"/>
      <c r="J383" s="30" t="s">
        <v>53</v>
      </c>
      <c r="K383" s="30" t="s">
        <v>3134</v>
      </c>
      <c r="L383" s="30" t="s">
        <v>55</v>
      </c>
      <c r="M383" s="30" t="s">
        <v>1573</v>
      </c>
      <c r="N383" s="30" t="s">
        <v>3135</v>
      </c>
      <c r="O383" s="30" t="s">
        <v>3136</v>
      </c>
      <c r="P383" s="30" t="s">
        <v>3137</v>
      </c>
      <c r="Q383" s="28" t="s">
        <v>3138</v>
      </c>
      <c r="R383" s="30" t="s">
        <v>3139</v>
      </c>
      <c r="S383" s="30" t="s">
        <v>53</v>
      </c>
      <c r="T383" s="30"/>
      <c r="U383" s="28" t="s">
        <v>2886</v>
      </c>
      <c r="V383" s="30" t="s">
        <v>63</v>
      </c>
      <c r="W383" s="30" t="s">
        <v>64</v>
      </c>
      <c r="X383" s="32">
        <v>44197</v>
      </c>
      <c r="Y383" s="32">
        <v>45809</v>
      </c>
      <c r="Z383" s="30" t="s">
        <v>65</v>
      </c>
      <c r="AA383" s="28" t="s">
        <v>66</v>
      </c>
      <c r="AB383" s="28" t="s">
        <v>67</v>
      </c>
      <c r="AC383" s="29"/>
      <c r="AD383" s="28">
        <v>0</v>
      </c>
      <c r="AE383" s="29"/>
      <c r="AF383" s="31"/>
      <c r="AG383" s="30" t="s">
        <v>1579</v>
      </c>
      <c r="AH383" s="28"/>
      <c r="AI383" s="28" t="s">
        <v>53</v>
      </c>
      <c r="AJ383" s="33">
        <v>36585</v>
      </c>
      <c r="AK383" s="28">
        <v>7</v>
      </c>
      <c r="AL383" s="28">
        <v>15</v>
      </c>
      <c r="AM383" s="21"/>
      <c r="AN383" s="27"/>
      <c r="AO383" s="27"/>
      <c r="AP383" s="27"/>
      <c r="AQ383" s="27"/>
    </row>
    <row r="384" spans="1:43" ht="15.75" customHeight="1">
      <c r="A384" s="28">
        <v>192</v>
      </c>
      <c r="B384" s="29" t="s">
        <v>3140</v>
      </c>
      <c r="C384" s="30"/>
      <c r="D384" s="31" t="s">
        <v>3141</v>
      </c>
      <c r="E384" s="30" t="s">
        <v>72</v>
      </c>
      <c r="F384" s="30" t="s">
        <v>50</v>
      </c>
      <c r="G384" s="30" t="s">
        <v>51</v>
      </c>
      <c r="H384" s="28" t="s">
        <v>85</v>
      </c>
      <c r="I384" s="30"/>
      <c r="J384" s="30" t="s">
        <v>53</v>
      </c>
      <c r="K384" s="30" t="s">
        <v>3142</v>
      </c>
      <c r="L384" s="30" t="s">
        <v>55</v>
      </c>
      <c r="M384" s="30" t="s">
        <v>1573</v>
      </c>
      <c r="N384" s="30" t="s">
        <v>3143</v>
      </c>
      <c r="O384" s="30" t="s">
        <v>3144</v>
      </c>
      <c r="P384" s="30" t="s">
        <v>3145</v>
      </c>
      <c r="Q384" s="28" t="s">
        <v>3146</v>
      </c>
      <c r="R384" s="30" t="s">
        <v>3147</v>
      </c>
      <c r="S384" s="30" t="s">
        <v>53</v>
      </c>
      <c r="T384" s="30"/>
      <c r="U384" s="28" t="s">
        <v>765</v>
      </c>
      <c r="V384" s="30" t="s">
        <v>63</v>
      </c>
      <c r="W384" s="30" t="s">
        <v>64</v>
      </c>
      <c r="X384" s="32">
        <v>43313</v>
      </c>
      <c r="Y384" s="32">
        <v>45809</v>
      </c>
      <c r="Z384" s="30" t="s">
        <v>65</v>
      </c>
      <c r="AA384" s="28" t="s">
        <v>66</v>
      </c>
      <c r="AB384" s="28" t="s">
        <v>67</v>
      </c>
      <c r="AC384" s="29"/>
      <c r="AD384" s="28">
        <v>0</v>
      </c>
      <c r="AE384" s="29"/>
      <c r="AF384" s="31"/>
      <c r="AG384" s="30" t="s">
        <v>1579</v>
      </c>
      <c r="AH384" s="28"/>
      <c r="AI384" s="28" t="s">
        <v>53</v>
      </c>
      <c r="AJ384" s="33">
        <v>31979</v>
      </c>
      <c r="AK384" s="28">
        <v>7</v>
      </c>
      <c r="AL384" s="28">
        <v>15</v>
      </c>
      <c r="AM384" s="21"/>
      <c r="AN384" s="27"/>
      <c r="AO384" s="27"/>
      <c r="AP384" s="27"/>
      <c r="AQ384" s="27"/>
    </row>
    <row r="385" spans="1:43" ht="15.75" customHeight="1">
      <c r="A385" s="28">
        <v>193</v>
      </c>
      <c r="B385" s="29" t="s">
        <v>3148</v>
      </c>
      <c r="C385" s="30"/>
      <c r="D385" s="31" t="s">
        <v>3149</v>
      </c>
      <c r="E385" s="30" t="s">
        <v>72</v>
      </c>
      <c r="F385" s="30" t="s">
        <v>50</v>
      </c>
      <c r="G385" s="30" t="s">
        <v>51</v>
      </c>
      <c r="H385" s="28" t="s">
        <v>85</v>
      </c>
      <c r="I385" s="30"/>
      <c r="J385" s="30" t="s">
        <v>53</v>
      </c>
      <c r="K385" s="30" t="s">
        <v>3150</v>
      </c>
      <c r="L385" s="30" t="s">
        <v>55</v>
      </c>
      <c r="M385" s="30" t="s">
        <v>1573</v>
      </c>
      <c r="N385" s="30" t="s">
        <v>3151</v>
      </c>
      <c r="O385" s="30" t="s">
        <v>1575</v>
      </c>
      <c r="P385" s="30" t="s">
        <v>3152</v>
      </c>
      <c r="Q385" s="28" t="s">
        <v>3153</v>
      </c>
      <c r="R385" s="30" t="s">
        <v>3154</v>
      </c>
      <c r="S385" s="30" t="s">
        <v>53</v>
      </c>
      <c r="T385" s="30"/>
      <c r="U385" s="28" t="s">
        <v>3155</v>
      </c>
      <c r="V385" s="30" t="s">
        <v>63</v>
      </c>
      <c r="W385" s="30" t="s">
        <v>64</v>
      </c>
      <c r="X385" s="32">
        <v>43862</v>
      </c>
      <c r="Y385" s="32">
        <v>45689</v>
      </c>
      <c r="Z385" s="30" t="s">
        <v>65</v>
      </c>
      <c r="AA385" s="28" t="s">
        <v>246</v>
      </c>
      <c r="AB385" s="28" t="s">
        <v>67</v>
      </c>
      <c r="AC385" s="29"/>
      <c r="AD385" s="28">
        <v>0</v>
      </c>
      <c r="AE385" s="29"/>
      <c r="AF385" s="31"/>
      <c r="AG385" s="30" t="s">
        <v>1579</v>
      </c>
      <c r="AH385" s="28"/>
      <c r="AI385" s="28" t="s">
        <v>53</v>
      </c>
      <c r="AJ385" s="33">
        <v>36928</v>
      </c>
      <c r="AK385" s="28">
        <v>6</v>
      </c>
      <c r="AL385" s="28">
        <v>15</v>
      </c>
      <c r="AM385" s="21"/>
      <c r="AN385" s="27"/>
      <c r="AO385" s="27"/>
      <c r="AP385" s="27"/>
      <c r="AQ385" s="27"/>
    </row>
    <row r="386" spans="1:43" ht="15.75" customHeight="1">
      <c r="A386" s="28">
        <v>194</v>
      </c>
      <c r="B386" s="29" t="s">
        <v>3156</v>
      </c>
      <c r="C386" s="30"/>
      <c r="D386" s="31" t="s">
        <v>3157</v>
      </c>
      <c r="E386" s="30" t="s">
        <v>72</v>
      </c>
      <c r="F386" s="30" t="s">
        <v>50</v>
      </c>
      <c r="G386" s="30" t="s">
        <v>51</v>
      </c>
      <c r="H386" s="28" t="s">
        <v>85</v>
      </c>
      <c r="I386" s="30"/>
      <c r="J386" s="30" t="s">
        <v>53</v>
      </c>
      <c r="K386" s="30" t="s">
        <v>3158</v>
      </c>
      <c r="L386" s="30" t="s">
        <v>55</v>
      </c>
      <c r="M386" s="30" t="s">
        <v>1573</v>
      </c>
      <c r="N386" s="30" t="s">
        <v>3159</v>
      </c>
      <c r="O386" s="30" t="s">
        <v>1575</v>
      </c>
      <c r="P386" s="30" t="s">
        <v>3160</v>
      </c>
      <c r="Q386" s="28" t="s">
        <v>3161</v>
      </c>
      <c r="R386" s="30" t="s">
        <v>3162</v>
      </c>
      <c r="S386" s="30" t="s">
        <v>53</v>
      </c>
      <c r="T386" s="30"/>
      <c r="U386" s="28" t="s">
        <v>3163</v>
      </c>
      <c r="V386" s="30" t="s">
        <v>63</v>
      </c>
      <c r="W386" s="30" t="s">
        <v>64</v>
      </c>
      <c r="X386" s="32">
        <v>44409</v>
      </c>
      <c r="Y386" s="32">
        <v>46174</v>
      </c>
      <c r="Z386" s="30" t="s">
        <v>65</v>
      </c>
      <c r="AA386" s="28" t="s">
        <v>67</v>
      </c>
      <c r="AB386" s="28" t="s">
        <v>67</v>
      </c>
      <c r="AC386" s="29"/>
      <c r="AD386" s="28">
        <v>0</v>
      </c>
      <c r="AE386" s="29"/>
      <c r="AF386" s="31"/>
      <c r="AG386" s="30" t="s">
        <v>1579</v>
      </c>
      <c r="AH386" s="28"/>
      <c r="AI386" s="28" t="s">
        <v>53</v>
      </c>
      <c r="AJ386" s="33">
        <v>37720</v>
      </c>
      <c r="AK386" s="28">
        <v>5</v>
      </c>
      <c r="AL386" s="28">
        <v>15</v>
      </c>
      <c r="AM386" s="21"/>
      <c r="AN386" s="27"/>
      <c r="AO386" s="27"/>
      <c r="AP386" s="27"/>
      <c r="AQ386" s="27"/>
    </row>
    <row r="387" spans="1:43" ht="15.75" customHeight="1">
      <c r="A387" s="28">
        <v>1</v>
      </c>
      <c r="B387" s="29" t="s">
        <v>3164</v>
      </c>
      <c r="C387" s="30"/>
      <c r="D387" s="31" t="s">
        <v>3165</v>
      </c>
      <c r="E387" s="30" t="s">
        <v>72</v>
      </c>
      <c r="F387" s="30" t="s">
        <v>84</v>
      </c>
      <c r="G387" s="30" t="s">
        <v>51</v>
      </c>
      <c r="H387" s="28" t="s">
        <v>85</v>
      </c>
      <c r="I387" s="30"/>
      <c r="J387" s="30" t="s">
        <v>53</v>
      </c>
      <c r="K387" s="30" t="s">
        <v>3166</v>
      </c>
      <c r="L387" s="30" t="s">
        <v>55</v>
      </c>
      <c r="M387" s="30" t="s">
        <v>2449</v>
      </c>
      <c r="N387" s="30" t="s">
        <v>3167</v>
      </c>
      <c r="O387" s="30" t="s">
        <v>3168</v>
      </c>
      <c r="P387" s="30" t="s">
        <v>3169</v>
      </c>
      <c r="Q387" s="28"/>
      <c r="R387" s="30" t="s">
        <v>3170</v>
      </c>
      <c r="S387" s="30" t="s">
        <v>53</v>
      </c>
      <c r="T387" s="30"/>
      <c r="U387" s="28" t="s">
        <v>3171</v>
      </c>
      <c r="V387" s="30" t="s">
        <v>63</v>
      </c>
      <c r="W387" s="30" t="s">
        <v>3172</v>
      </c>
      <c r="X387" s="32">
        <v>42767</v>
      </c>
      <c r="Y387" s="32">
        <v>45658</v>
      </c>
      <c r="Z387" s="30" t="s">
        <v>65</v>
      </c>
      <c r="AA387" s="28" t="s">
        <v>66</v>
      </c>
      <c r="AB387" s="28" t="s">
        <v>67</v>
      </c>
      <c r="AC387" s="29"/>
      <c r="AD387" s="28">
        <v>0</v>
      </c>
      <c r="AE387" s="29"/>
      <c r="AF387" s="31"/>
      <c r="AG387" s="30" t="s">
        <v>1579</v>
      </c>
      <c r="AH387" s="28"/>
      <c r="AI387" s="28" t="s">
        <v>118</v>
      </c>
      <c r="AJ387" s="33">
        <v>35350</v>
      </c>
      <c r="AK387" s="28">
        <v>7</v>
      </c>
      <c r="AL387" s="28">
        <v>25</v>
      </c>
      <c r="AM387" s="21"/>
      <c r="AN387" s="27"/>
      <c r="AO387" s="27"/>
      <c r="AP387" s="27"/>
      <c r="AQ387" s="27"/>
    </row>
    <row r="388" spans="1:43" ht="15.75" customHeight="1">
      <c r="A388" s="28">
        <v>2</v>
      </c>
      <c r="B388" s="29" t="s">
        <v>3173</v>
      </c>
      <c r="C388" s="30" t="s">
        <v>3174</v>
      </c>
      <c r="D388" s="31" t="s">
        <v>3175</v>
      </c>
      <c r="E388" s="30" t="s">
        <v>72</v>
      </c>
      <c r="F388" s="30" t="s">
        <v>50</v>
      </c>
      <c r="G388" s="30" t="s">
        <v>51</v>
      </c>
      <c r="H388" s="28" t="s">
        <v>85</v>
      </c>
      <c r="I388" s="30"/>
      <c r="J388" s="30" t="s">
        <v>53</v>
      </c>
      <c r="K388" s="30" t="s">
        <v>3176</v>
      </c>
      <c r="L388" s="30" t="s">
        <v>55</v>
      </c>
      <c r="M388" s="30" t="s">
        <v>656</v>
      </c>
      <c r="N388" s="30" t="s">
        <v>3177</v>
      </c>
      <c r="O388" s="30" t="s">
        <v>3090</v>
      </c>
      <c r="P388" s="30" t="s">
        <v>3178</v>
      </c>
      <c r="Q388" s="28"/>
      <c r="R388" s="30" t="s">
        <v>3179</v>
      </c>
      <c r="S388" s="30" t="s">
        <v>53</v>
      </c>
      <c r="T388" s="30"/>
      <c r="U388" s="28" t="s">
        <v>3171</v>
      </c>
      <c r="V388" s="30" t="s">
        <v>63</v>
      </c>
      <c r="W388" s="30" t="s">
        <v>3172</v>
      </c>
      <c r="X388" s="32">
        <v>44197</v>
      </c>
      <c r="Y388" s="32">
        <v>45962</v>
      </c>
      <c r="Z388" s="30" t="s">
        <v>65</v>
      </c>
      <c r="AA388" s="28" t="s">
        <v>246</v>
      </c>
      <c r="AB388" s="28" t="s">
        <v>67</v>
      </c>
      <c r="AC388" s="29"/>
      <c r="AD388" s="28">
        <v>0</v>
      </c>
      <c r="AE388" s="29"/>
      <c r="AF388" s="31"/>
      <c r="AG388" s="30" t="s">
        <v>1579</v>
      </c>
      <c r="AH388" s="28"/>
      <c r="AI388" s="28" t="s">
        <v>53</v>
      </c>
      <c r="AJ388" s="33">
        <v>34985</v>
      </c>
      <c r="AK388" s="28">
        <v>6</v>
      </c>
      <c r="AL388" s="28">
        <v>22</v>
      </c>
      <c r="AM388" s="21"/>
      <c r="AN388" s="27"/>
      <c r="AO388" s="27"/>
      <c r="AP388" s="27"/>
      <c r="AQ388" s="27"/>
    </row>
    <row r="389" spans="1:43" ht="15.75" customHeight="1">
      <c r="A389" s="28">
        <v>3</v>
      </c>
      <c r="B389" s="29" t="s">
        <v>3180</v>
      </c>
      <c r="C389" s="30"/>
      <c r="D389" s="31" t="s">
        <v>3181</v>
      </c>
      <c r="E389" s="30" t="s">
        <v>72</v>
      </c>
      <c r="F389" s="30" t="s">
        <v>50</v>
      </c>
      <c r="G389" s="30" t="s">
        <v>51</v>
      </c>
      <c r="H389" s="28" t="s">
        <v>52</v>
      </c>
      <c r="I389" s="30"/>
      <c r="J389" s="30" t="s">
        <v>53</v>
      </c>
      <c r="K389" s="30" t="s">
        <v>3182</v>
      </c>
      <c r="L389" s="30" t="s">
        <v>55</v>
      </c>
      <c r="M389" s="30" t="s">
        <v>1573</v>
      </c>
      <c r="N389" s="30" t="s">
        <v>3183</v>
      </c>
      <c r="O389" s="30" t="s">
        <v>2753</v>
      </c>
      <c r="P389" s="30" t="s">
        <v>3184</v>
      </c>
      <c r="Q389" s="28" t="s">
        <v>3185</v>
      </c>
      <c r="R389" s="30" t="s">
        <v>3186</v>
      </c>
      <c r="S389" s="30" t="s">
        <v>53</v>
      </c>
      <c r="T389" s="30"/>
      <c r="U389" s="28" t="s">
        <v>1756</v>
      </c>
      <c r="V389" s="30" t="s">
        <v>63</v>
      </c>
      <c r="W389" s="30" t="s">
        <v>3172</v>
      </c>
      <c r="X389" s="32">
        <v>43862</v>
      </c>
      <c r="Y389" s="32">
        <v>45627</v>
      </c>
      <c r="Z389" s="30" t="s">
        <v>65</v>
      </c>
      <c r="AA389" s="28" t="s">
        <v>66</v>
      </c>
      <c r="AB389" s="28" t="s">
        <v>67</v>
      </c>
      <c r="AC389" s="29"/>
      <c r="AD389" s="28">
        <v>0</v>
      </c>
      <c r="AE389" s="29"/>
      <c r="AF389" s="31"/>
      <c r="AG389" s="30" t="s">
        <v>1579</v>
      </c>
      <c r="AH389" s="28"/>
      <c r="AI389" s="28" t="s">
        <v>53</v>
      </c>
      <c r="AJ389" s="33">
        <v>37463</v>
      </c>
      <c r="AK389" s="28">
        <v>6</v>
      </c>
      <c r="AL389" s="28">
        <v>22</v>
      </c>
      <c r="AM389" s="21"/>
      <c r="AN389" s="27"/>
      <c r="AO389" s="27"/>
      <c r="AP389" s="27"/>
      <c r="AQ389" s="27"/>
    </row>
    <row r="390" spans="1:43" ht="15.75" customHeight="1">
      <c r="A390" s="28">
        <v>4</v>
      </c>
      <c r="B390" s="29" t="s">
        <v>3187</v>
      </c>
      <c r="C390" s="30"/>
      <c r="D390" s="31" t="s">
        <v>3188</v>
      </c>
      <c r="E390" s="30" t="s">
        <v>49</v>
      </c>
      <c r="F390" s="30" t="s">
        <v>50</v>
      </c>
      <c r="G390" s="30" t="s">
        <v>51</v>
      </c>
      <c r="H390" s="28" t="s">
        <v>191</v>
      </c>
      <c r="I390" s="30"/>
      <c r="J390" s="30" t="s">
        <v>53</v>
      </c>
      <c r="K390" s="30" t="s">
        <v>3189</v>
      </c>
      <c r="L390" s="30" t="s">
        <v>55</v>
      </c>
      <c r="M390" s="30" t="s">
        <v>1573</v>
      </c>
      <c r="N390" s="30" t="s">
        <v>3190</v>
      </c>
      <c r="O390" s="30" t="s">
        <v>2287</v>
      </c>
      <c r="P390" s="30" t="s">
        <v>3191</v>
      </c>
      <c r="Q390" s="28"/>
      <c r="R390" s="30" t="s">
        <v>3192</v>
      </c>
      <c r="S390" s="30" t="s">
        <v>53</v>
      </c>
      <c r="T390" s="30"/>
      <c r="U390" s="28" t="s">
        <v>3193</v>
      </c>
      <c r="V390" s="30" t="s">
        <v>63</v>
      </c>
      <c r="W390" s="30" t="s">
        <v>3172</v>
      </c>
      <c r="X390" s="32">
        <v>43862</v>
      </c>
      <c r="Y390" s="32">
        <v>45627</v>
      </c>
      <c r="Z390" s="30" t="s">
        <v>65</v>
      </c>
      <c r="AA390" s="28" t="s">
        <v>66</v>
      </c>
      <c r="AB390" s="28" t="s">
        <v>67</v>
      </c>
      <c r="AC390" s="29"/>
      <c r="AD390" s="28">
        <v>0</v>
      </c>
      <c r="AE390" s="29"/>
      <c r="AF390" s="31"/>
      <c r="AG390" s="30" t="s">
        <v>1579</v>
      </c>
      <c r="AH390" s="28"/>
      <c r="AI390" s="28" t="s">
        <v>118</v>
      </c>
      <c r="AJ390" s="33">
        <v>36888</v>
      </c>
      <c r="AK390" s="28">
        <v>6</v>
      </c>
      <c r="AL390" s="28">
        <v>19</v>
      </c>
      <c r="AM390" s="21"/>
      <c r="AN390" s="27"/>
      <c r="AO390" s="27"/>
      <c r="AP390" s="27"/>
      <c r="AQ390" s="27"/>
    </row>
    <row r="391" spans="1:43" ht="15.75" customHeight="1">
      <c r="A391" s="28">
        <v>5</v>
      </c>
      <c r="B391" s="29" t="s">
        <v>3194</v>
      </c>
      <c r="C391" s="30"/>
      <c r="D391" s="31" t="s">
        <v>3195</v>
      </c>
      <c r="E391" s="30" t="s">
        <v>49</v>
      </c>
      <c r="F391" s="30" t="s">
        <v>50</v>
      </c>
      <c r="G391" s="30" t="s">
        <v>51</v>
      </c>
      <c r="H391" s="28" t="s">
        <v>52</v>
      </c>
      <c r="I391" s="30"/>
      <c r="J391" s="30" t="s">
        <v>53</v>
      </c>
      <c r="K391" s="30" t="s">
        <v>3196</v>
      </c>
      <c r="L391" s="30" t="s">
        <v>55</v>
      </c>
      <c r="M391" s="30" t="s">
        <v>3197</v>
      </c>
      <c r="N391" s="30" t="s">
        <v>3198</v>
      </c>
      <c r="O391" s="30" t="s">
        <v>3199</v>
      </c>
      <c r="P391" s="30" t="s">
        <v>3200</v>
      </c>
      <c r="Q391" s="28"/>
      <c r="R391" s="30" t="s">
        <v>3201</v>
      </c>
      <c r="S391" s="30" t="s">
        <v>53</v>
      </c>
      <c r="T391" s="30"/>
      <c r="U391" s="28" t="s">
        <v>1625</v>
      </c>
      <c r="V391" s="30" t="s">
        <v>63</v>
      </c>
      <c r="W391" s="30" t="s">
        <v>3172</v>
      </c>
      <c r="X391" s="32">
        <v>43862</v>
      </c>
      <c r="Y391" s="32">
        <v>45627</v>
      </c>
      <c r="Z391" s="30" t="s">
        <v>65</v>
      </c>
      <c r="AA391" s="28" t="s">
        <v>66</v>
      </c>
      <c r="AB391" s="28" t="s">
        <v>67</v>
      </c>
      <c r="AC391" s="29"/>
      <c r="AD391" s="28">
        <v>0</v>
      </c>
      <c r="AE391" s="29"/>
      <c r="AF391" s="31"/>
      <c r="AG391" s="30" t="s">
        <v>1579</v>
      </c>
      <c r="AH391" s="28"/>
      <c r="AI391" s="28" t="s">
        <v>118</v>
      </c>
      <c r="AJ391" s="33">
        <v>37048</v>
      </c>
      <c r="AK391" s="28">
        <v>8</v>
      </c>
      <c r="AL391" s="28">
        <v>19</v>
      </c>
      <c r="AM391" s="21"/>
      <c r="AN391" s="27"/>
      <c r="AO391" s="27"/>
      <c r="AP391" s="27"/>
      <c r="AQ391" s="27"/>
    </row>
    <row r="392" spans="1:43" ht="15.75" customHeight="1">
      <c r="A392" s="28">
        <v>6</v>
      </c>
      <c r="B392" s="29" t="s">
        <v>3202</v>
      </c>
      <c r="C392" s="30" t="s">
        <v>3203</v>
      </c>
      <c r="D392" s="31" t="s">
        <v>3204</v>
      </c>
      <c r="E392" s="30" t="s">
        <v>72</v>
      </c>
      <c r="F392" s="30" t="s">
        <v>50</v>
      </c>
      <c r="G392" s="30" t="s">
        <v>51</v>
      </c>
      <c r="H392" s="28" t="s">
        <v>52</v>
      </c>
      <c r="I392" s="30"/>
      <c r="J392" s="30" t="s">
        <v>53</v>
      </c>
      <c r="K392" s="30" t="s">
        <v>3205</v>
      </c>
      <c r="L392" s="30" t="s">
        <v>55</v>
      </c>
      <c r="M392" s="30" t="s">
        <v>2449</v>
      </c>
      <c r="N392" s="30" t="s">
        <v>3206</v>
      </c>
      <c r="O392" s="30" t="s">
        <v>3207</v>
      </c>
      <c r="P392" s="30" t="s">
        <v>3208</v>
      </c>
      <c r="Q392" s="28" t="s">
        <v>3209</v>
      </c>
      <c r="R392" s="30" t="s">
        <v>3210</v>
      </c>
      <c r="S392" s="30" t="s">
        <v>53</v>
      </c>
      <c r="T392" s="30"/>
      <c r="U392" s="28" t="s">
        <v>3211</v>
      </c>
      <c r="V392" s="30" t="s">
        <v>63</v>
      </c>
      <c r="W392" s="30" t="s">
        <v>3172</v>
      </c>
      <c r="X392" s="32">
        <v>44197</v>
      </c>
      <c r="Y392" s="32">
        <v>46023</v>
      </c>
      <c r="Z392" s="30" t="s">
        <v>65</v>
      </c>
      <c r="AA392" s="28" t="s">
        <v>66</v>
      </c>
      <c r="AB392" s="28" t="s">
        <v>67</v>
      </c>
      <c r="AC392" s="29"/>
      <c r="AD392" s="28">
        <v>0</v>
      </c>
      <c r="AE392" s="29"/>
      <c r="AF392" s="31"/>
      <c r="AG392" s="30" t="s">
        <v>1579</v>
      </c>
      <c r="AH392" s="28"/>
      <c r="AI392" s="28" t="s">
        <v>118</v>
      </c>
      <c r="AJ392" s="33">
        <v>35499</v>
      </c>
      <c r="AK392" s="28">
        <v>5</v>
      </c>
      <c r="AL392" s="28">
        <v>19</v>
      </c>
      <c r="AM392" s="21"/>
      <c r="AN392" s="27"/>
      <c r="AO392" s="27"/>
      <c r="AP392" s="27"/>
      <c r="AQ392" s="27"/>
    </row>
    <row r="393" spans="1:43" ht="15.75" customHeight="1">
      <c r="A393" s="28">
        <v>7</v>
      </c>
      <c r="B393" s="29" t="s">
        <v>3212</v>
      </c>
      <c r="C393" s="30"/>
      <c r="D393" s="31" t="s">
        <v>3213</v>
      </c>
      <c r="E393" s="30" t="s">
        <v>72</v>
      </c>
      <c r="F393" s="30" t="s">
        <v>50</v>
      </c>
      <c r="G393" s="30" t="s">
        <v>51</v>
      </c>
      <c r="H393" s="28" t="s">
        <v>191</v>
      </c>
      <c r="I393" s="30"/>
      <c r="J393" s="30" t="s">
        <v>53</v>
      </c>
      <c r="K393" s="30" t="s">
        <v>3214</v>
      </c>
      <c r="L393" s="30" t="s">
        <v>55</v>
      </c>
      <c r="M393" s="30" t="s">
        <v>656</v>
      </c>
      <c r="N393" s="30" t="s">
        <v>3215</v>
      </c>
      <c r="O393" s="30" t="s">
        <v>3216</v>
      </c>
      <c r="P393" s="30" t="s">
        <v>3217</v>
      </c>
      <c r="Q393" s="28"/>
      <c r="R393" s="30" t="s">
        <v>3218</v>
      </c>
      <c r="S393" s="30" t="s">
        <v>53</v>
      </c>
      <c r="T393" s="30"/>
      <c r="U393" s="28" t="s">
        <v>765</v>
      </c>
      <c r="V393" s="30" t="s">
        <v>63</v>
      </c>
      <c r="W393" s="30" t="s">
        <v>3172</v>
      </c>
      <c r="X393" s="32">
        <v>44197</v>
      </c>
      <c r="Y393" s="32">
        <v>46023</v>
      </c>
      <c r="Z393" s="30" t="s">
        <v>65</v>
      </c>
      <c r="AA393" s="28" t="s">
        <v>134</v>
      </c>
      <c r="AB393" s="28" t="s">
        <v>67</v>
      </c>
      <c r="AC393" s="29"/>
      <c r="AD393" s="28">
        <v>0</v>
      </c>
      <c r="AE393" s="29"/>
      <c r="AF393" s="31"/>
      <c r="AG393" s="30" t="s">
        <v>1579</v>
      </c>
      <c r="AH393" s="28"/>
      <c r="AI393" s="28" t="s">
        <v>53</v>
      </c>
      <c r="AJ393" s="33">
        <v>37392</v>
      </c>
      <c r="AK393" s="28">
        <v>5</v>
      </c>
      <c r="AL393" s="28">
        <v>19</v>
      </c>
      <c r="AM393" s="21"/>
      <c r="AN393" s="27"/>
      <c r="AO393" s="27"/>
      <c r="AP393" s="27"/>
      <c r="AQ393" s="27"/>
    </row>
    <row r="394" spans="1:43" ht="15.75" customHeight="1">
      <c r="A394" s="28">
        <v>8</v>
      </c>
      <c r="B394" s="29" t="s">
        <v>3219</v>
      </c>
      <c r="C394" s="30"/>
      <c r="D394" s="31" t="s">
        <v>3220</v>
      </c>
      <c r="E394" s="30" t="s">
        <v>72</v>
      </c>
      <c r="F394" s="30" t="s">
        <v>50</v>
      </c>
      <c r="G394" s="30" t="s">
        <v>51</v>
      </c>
      <c r="H394" s="28" t="s">
        <v>85</v>
      </c>
      <c r="I394" s="30"/>
      <c r="J394" s="30" t="s">
        <v>53</v>
      </c>
      <c r="K394" s="30" t="s">
        <v>3221</v>
      </c>
      <c r="L394" s="30" t="s">
        <v>55</v>
      </c>
      <c r="M394" s="30" t="s">
        <v>1573</v>
      </c>
      <c r="N394" s="30" t="s">
        <v>3222</v>
      </c>
      <c r="O394" s="30" t="s">
        <v>3223</v>
      </c>
      <c r="P394" s="30" t="s">
        <v>3224</v>
      </c>
      <c r="Q394" s="28"/>
      <c r="R394" s="30" t="s">
        <v>3225</v>
      </c>
      <c r="S394" s="30" t="s">
        <v>53</v>
      </c>
      <c r="T394" s="30"/>
      <c r="U394" s="28" t="s">
        <v>1898</v>
      </c>
      <c r="V394" s="30" t="s">
        <v>63</v>
      </c>
      <c r="W394" s="30" t="s">
        <v>3172</v>
      </c>
      <c r="X394" s="32">
        <v>43862</v>
      </c>
      <c r="Y394" s="32">
        <v>45627</v>
      </c>
      <c r="Z394" s="30" t="s">
        <v>65</v>
      </c>
      <c r="AA394" s="28" t="s">
        <v>134</v>
      </c>
      <c r="AB394" s="28" t="s">
        <v>67</v>
      </c>
      <c r="AC394" s="29"/>
      <c r="AD394" s="28">
        <v>0</v>
      </c>
      <c r="AE394" s="29"/>
      <c r="AF394" s="31"/>
      <c r="AG394" s="30" t="s">
        <v>1579</v>
      </c>
      <c r="AH394" s="28"/>
      <c r="AI394" s="28" t="s">
        <v>53</v>
      </c>
      <c r="AJ394" s="33">
        <v>37311</v>
      </c>
      <c r="AK394" s="28">
        <v>8</v>
      </c>
      <c r="AL394" s="28">
        <v>18</v>
      </c>
      <c r="AM394" s="21"/>
      <c r="AN394" s="27"/>
      <c r="AO394" s="27"/>
      <c r="AP394" s="27"/>
      <c r="AQ394" s="27"/>
    </row>
    <row r="395" spans="1:43" ht="15.75" customHeight="1">
      <c r="A395" s="28">
        <v>9</v>
      </c>
      <c r="B395" s="29" t="s">
        <v>3226</v>
      </c>
      <c r="C395" s="30"/>
      <c r="D395" s="31" t="s">
        <v>3227</v>
      </c>
      <c r="E395" s="30" t="s">
        <v>49</v>
      </c>
      <c r="F395" s="30" t="s">
        <v>50</v>
      </c>
      <c r="G395" s="30" t="s">
        <v>51</v>
      </c>
      <c r="H395" s="28" t="s">
        <v>191</v>
      </c>
      <c r="I395" s="30"/>
      <c r="J395" s="30" t="s">
        <v>53</v>
      </c>
      <c r="K395" s="30" t="s">
        <v>3228</v>
      </c>
      <c r="L395" s="30" t="s">
        <v>55</v>
      </c>
      <c r="M395" s="30" t="s">
        <v>1573</v>
      </c>
      <c r="N395" s="30" t="s">
        <v>3229</v>
      </c>
      <c r="O395" s="30" t="s">
        <v>3230</v>
      </c>
      <c r="P395" s="30" t="s">
        <v>3231</v>
      </c>
      <c r="Q395" s="28"/>
      <c r="R395" s="30" t="s">
        <v>3232</v>
      </c>
      <c r="S395" s="30" t="s">
        <v>53</v>
      </c>
      <c r="T395" s="30"/>
      <c r="U395" s="28" t="s">
        <v>3233</v>
      </c>
      <c r="V395" s="30" t="s">
        <v>63</v>
      </c>
      <c r="W395" s="30" t="s">
        <v>3172</v>
      </c>
      <c r="X395" s="32">
        <v>43831</v>
      </c>
      <c r="Y395" s="32">
        <v>45627</v>
      </c>
      <c r="Z395" s="30" t="s">
        <v>65</v>
      </c>
      <c r="AA395" s="28" t="s">
        <v>66</v>
      </c>
      <c r="AB395" s="28" t="s">
        <v>67</v>
      </c>
      <c r="AC395" s="29"/>
      <c r="AD395" s="28">
        <v>0</v>
      </c>
      <c r="AE395" s="29"/>
      <c r="AF395" s="31"/>
      <c r="AG395" s="30" t="s">
        <v>1579</v>
      </c>
      <c r="AH395" s="28"/>
      <c r="AI395" s="28" t="s">
        <v>53</v>
      </c>
      <c r="AJ395" s="33">
        <v>34325</v>
      </c>
      <c r="AK395" s="28">
        <v>8</v>
      </c>
      <c r="AL395" s="28">
        <v>18</v>
      </c>
      <c r="AM395" s="21"/>
      <c r="AN395" s="27"/>
      <c r="AO395" s="27"/>
      <c r="AP395" s="27"/>
      <c r="AQ395" s="27"/>
    </row>
    <row r="396" spans="1:43" ht="15.75" customHeight="1">
      <c r="A396" s="28">
        <v>10</v>
      </c>
      <c r="B396" s="29" t="s">
        <v>3234</v>
      </c>
      <c r="C396" s="30"/>
      <c r="D396" s="31" t="s">
        <v>3235</v>
      </c>
      <c r="E396" s="30" t="s">
        <v>49</v>
      </c>
      <c r="F396" s="30" t="s">
        <v>50</v>
      </c>
      <c r="G396" s="30" t="s">
        <v>51</v>
      </c>
      <c r="H396" s="28" t="s">
        <v>85</v>
      </c>
      <c r="I396" s="30"/>
      <c r="J396" s="30" t="s">
        <v>53</v>
      </c>
      <c r="K396" s="30" t="s">
        <v>3236</v>
      </c>
      <c r="L396" s="30" t="s">
        <v>55</v>
      </c>
      <c r="M396" s="30" t="s">
        <v>656</v>
      </c>
      <c r="N396" s="30" t="s">
        <v>3237</v>
      </c>
      <c r="O396" s="30" t="s">
        <v>650</v>
      </c>
      <c r="P396" s="30" t="s">
        <v>3238</v>
      </c>
      <c r="Q396" s="28"/>
      <c r="R396" s="30" t="s">
        <v>3239</v>
      </c>
      <c r="S396" s="30" t="s">
        <v>53</v>
      </c>
      <c r="T396" s="30"/>
      <c r="U396" s="28" t="s">
        <v>3240</v>
      </c>
      <c r="V396" s="30" t="s">
        <v>63</v>
      </c>
      <c r="W396" s="30" t="s">
        <v>3172</v>
      </c>
      <c r="X396" s="32">
        <v>43831</v>
      </c>
      <c r="Y396" s="32">
        <v>45627</v>
      </c>
      <c r="Z396" s="30" t="s">
        <v>65</v>
      </c>
      <c r="AA396" s="28" t="s">
        <v>134</v>
      </c>
      <c r="AB396" s="28" t="s">
        <v>67</v>
      </c>
      <c r="AC396" s="29"/>
      <c r="AD396" s="28">
        <v>0</v>
      </c>
      <c r="AE396" s="29"/>
      <c r="AF396" s="31"/>
      <c r="AG396" s="30" t="s">
        <v>1579</v>
      </c>
      <c r="AH396" s="28"/>
      <c r="AI396" s="28" t="s">
        <v>53</v>
      </c>
      <c r="AJ396" s="33">
        <v>37227</v>
      </c>
      <c r="AK396" s="28">
        <v>8</v>
      </c>
      <c r="AL396" s="28">
        <v>18</v>
      </c>
      <c r="AM396" s="21"/>
      <c r="AN396" s="27"/>
      <c r="AO396" s="27"/>
      <c r="AP396" s="27"/>
      <c r="AQ396" s="27"/>
    </row>
    <row r="397" spans="1:43" ht="15.75" customHeight="1">
      <c r="A397" s="28">
        <v>11</v>
      </c>
      <c r="B397" s="29" t="s">
        <v>3241</v>
      </c>
      <c r="C397" s="30"/>
      <c r="D397" s="31" t="s">
        <v>3242</v>
      </c>
      <c r="E397" s="30" t="s">
        <v>72</v>
      </c>
      <c r="F397" s="30" t="s">
        <v>50</v>
      </c>
      <c r="G397" s="30" t="s">
        <v>51</v>
      </c>
      <c r="H397" s="28" t="s">
        <v>52</v>
      </c>
      <c r="I397" s="30"/>
      <c r="J397" s="30" t="s">
        <v>53</v>
      </c>
      <c r="K397" s="30" t="s">
        <v>3243</v>
      </c>
      <c r="L397" s="30" t="s">
        <v>55</v>
      </c>
      <c r="M397" s="30" t="s">
        <v>3244</v>
      </c>
      <c r="N397" s="30" t="s">
        <v>3245</v>
      </c>
      <c r="O397" s="30" t="s">
        <v>3246</v>
      </c>
      <c r="P397" s="30" t="s">
        <v>3247</v>
      </c>
      <c r="Q397" s="28" t="s">
        <v>3248</v>
      </c>
      <c r="R397" s="30" t="s">
        <v>3249</v>
      </c>
      <c r="S397" s="30" t="s">
        <v>53</v>
      </c>
      <c r="T397" s="30"/>
      <c r="U397" s="28" t="s">
        <v>3250</v>
      </c>
      <c r="V397" s="30" t="s">
        <v>63</v>
      </c>
      <c r="W397" s="30" t="s">
        <v>3172</v>
      </c>
      <c r="X397" s="32">
        <v>44409</v>
      </c>
      <c r="Y397" s="32">
        <v>46235</v>
      </c>
      <c r="Z397" s="30" t="s">
        <v>65</v>
      </c>
      <c r="AA397" s="28" t="s">
        <v>66</v>
      </c>
      <c r="AB397" s="28" t="s">
        <v>67</v>
      </c>
      <c r="AC397" s="29"/>
      <c r="AD397" s="28">
        <v>0</v>
      </c>
      <c r="AE397" s="29"/>
      <c r="AF397" s="31"/>
      <c r="AG397" s="30" t="s">
        <v>1579</v>
      </c>
      <c r="AH397" s="28"/>
      <c r="AI397" s="28" t="s">
        <v>118</v>
      </c>
      <c r="AJ397" s="33">
        <v>37046</v>
      </c>
      <c r="AK397" s="28">
        <v>5</v>
      </c>
      <c r="AL397" s="28">
        <v>17</v>
      </c>
      <c r="AM397" s="21"/>
      <c r="AN397" s="27"/>
      <c r="AO397" s="27"/>
      <c r="AP397" s="27"/>
      <c r="AQ397" s="27"/>
    </row>
    <row r="398" spans="1:43" ht="15.75" customHeight="1">
      <c r="A398" s="28">
        <v>12</v>
      </c>
      <c r="B398" s="29" t="s">
        <v>3251</v>
      </c>
      <c r="C398" s="30"/>
      <c r="D398" s="31" t="s">
        <v>3252</v>
      </c>
      <c r="E398" s="30" t="s">
        <v>72</v>
      </c>
      <c r="F398" s="30" t="s">
        <v>50</v>
      </c>
      <c r="G398" s="30" t="s">
        <v>51</v>
      </c>
      <c r="H398" s="28" t="s">
        <v>85</v>
      </c>
      <c r="I398" s="30"/>
      <c r="J398" s="30" t="s">
        <v>53</v>
      </c>
      <c r="K398" s="30" t="s">
        <v>3253</v>
      </c>
      <c r="L398" s="30" t="s">
        <v>55</v>
      </c>
      <c r="M398" s="30" t="s">
        <v>1573</v>
      </c>
      <c r="N398" s="30" t="s">
        <v>3254</v>
      </c>
      <c r="O398" s="30" t="s">
        <v>2657</v>
      </c>
      <c r="P398" s="30" t="s">
        <v>3255</v>
      </c>
      <c r="Q398" s="28"/>
      <c r="R398" s="30" t="s">
        <v>3256</v>
      </c>
      <c r="S398" s="30" t="s">
        <v>53</v>
      </c>
      <c r="T398" s="30"/>
      <c r="U398" s="28" t="s">
        <v>3257</v>
      </c>
      <c r="V398" s="30" t="s">
        <v>63</v>
      </c>
      <c r="W398" s="30" t="s">
        <v>3172</v>
      </c>
      <c r="X398" s="32">
        <v>43831</v>
      </c>
      <c r="Y398" s="32">
        <v>45627</v>
      </c>
      <c r="Z398" s="30" t="s">
        <v>65</v>
      </c>
      <c r="AA398" s="28" t="s">
        <v>66</v>
      </c>
      <c r="AB398" s="28" t="s">
        <v>67</v>
      </c>
      <c r="AC398" s="29"/>
      <c r="AD398" s="28">
        <v>0</v>
      </c>
      <c r="AE398" s="29"/>
      <c r="AF398" s="31"/>
      <c r="AG398" s="30" t="s">
        <v>1579</v>
      </c>
      <c r="AH398" s="28"/>
      <c r="AI398" s="28" t="s">
        <v>118</v>
      </c>
      <c r="AJ398" s="33">
        <v>37315</v>
      </c>
      <c r="AK398" s="28">
        <v>8</v>
      </c>
      <c r="AL398" s="28">
        <v>17</v>
      </c>
      <c r="AM398" s="21"/>
      <c r="AN398" s="27"/>
      <c r="AO398" s="27"/>
      <c r="AP398" s="27"/>
      <c r="AQ398" s="27"/>
    </row>
    <row r="399" spans="1:43" ht="15.75" customHeight="1">
      <c r="A399" s="28">
        <v>13</v>
      </c>
      <c r="B399" s="29" t="s">
        <v>3258</v>
      </c>
      <c r="C399" s="30"/>
      <c r="D399" s="31" t="s">
        <v>3259</v>
      </c>
      <c r="E399" s="30" t="s">
        <v>72</v>
      </c>
      <c r="F399" s="30" t="s">
        <v>50</v>
      </c>
      <c r="G399" s="30" t="s">
        <v>51</v>
      </c>
      <c r="H399" s="28" t="s">
        <v>191</v>
      </c>
      <c r="I399" s="30"/>
      <c r="J399" s="30" t="s">
        <v>53</v>
      </c>
      <c r="K399" s="30" t="s">
        <v>3260</v>
      </c>
      <c r="L399" s="30" t="s">
        <v>55</v>
      </c>
      <c r="M399" s="30" t="s">
        <v>2449</v>
      </c>
      <c r="N399" s="30" t="s">
        <v>3261</v>
      </c>
      <c r="O399" s="30" t="s">
        <v>3262</v>
      </c>
      <c r="P399" s="30" t="s">
        <v>3263</v>
      </c>
      <c r="Q399" s="28"/>
      <c r="R399" s="30" t="s">
        <v>3264</v>
      </c>
      <c r="S399" s="30" t="s">
        <v>53</v>
      </c>
      <c r="T399" s="30"/>
      <c r="U399" s="28" t="s">
        <v>758</v>
      </c>
      <c r="V399" s="30" t="s">
        <v>63</v>
      </c>
      <c r="W399" s="30" t="s">
        <v>3172</v>
      </c>
      <c r="X399" s="32">
        <v>44197</v>
      </c>
      <c r="Y399" s="32">
        <v>45658</v>
      </c>
      <c r="Z399" s="30" t="s">
        <v>65</v>
      </c>
      <c r="AA399" s="28" t="s">
        <v>66</v>
      </c>
      <c r="AB399" s="28" t="s">
        <v>67</v>
      </c>
      <c r="AC399" s="29"/>
      <c r="AD399" s="28">
        <v>0</v>
      </c>
      <c r="AE399" s="29"/>
      <c r="AF399" s="31"/>
      <c r="AG399" s="30" t="s">
        <v>1579</v>
      </c>
      <c r="AH399" s="28"/>
      <c r="AI399" s="28" t="s">
        <v>53</v>
      </c>
      <c r="AJ399" s="33">
        <v>33341</v>
      </c>
      <c r="AK399" s="28">
        <v>6</v>
      </c>
      <c r="AL399" s="28">
        <v>16</v>
      </c>
      <c r="AM399" s="21"/>
      <c r="AN399" s="27"/>
      <c r="AO399" s="27"/>
      <c r="AP399" s="27"/>
      <c r="AQ399" s="27"/>
    </row>
    <row r="400" spans="1:43" ht="15.75" customHeight="1">
      <c r="A400" s="28">
        <v>14</v>
      </c>
      <c r="B400" s="29" t="s">
        <v>3265</v>
      </c>
      <c r="C400" s="30"/>
      <c r="D400" s="31" t="s">
        <v>3266</v>
      </c>
      <c r="E400" s="30" t="s">
        <v>72</v>
      </c>
      <c r="F400" s="30" t="s">
        <v>50</v>
      </c>
      <c r="G400" s="30" t="s">
        <v>51</v>
      </c>
      <c r="H400" s="28" t="s">
        <v>52</v>
      </c>
      <c r="I400" s="30"/>
      <c r="J400" s="30" t="s">
        <v>53</v>
      </c>
      <c r="K400" s="30" t="s">
        <v>3267</v>
      </c>
      <c r="L400" s="30" t="s">
        <v>55</v>
      </c>
      <c r="M400" s="30" t="s">
        <v>656</v>
      </c>
      <c r="N400" s="30" t="s">
        <v>3268</v>
      </c>
      <c r="O400" s="30" t="s">
        <v>788</v>
      </c>
      <c r="P400" s="30" t="s">
        <v>3269</v>
      </c>
      <c r="Q400" s="28"/>
      <c r="R400" s="30" t="s">
        <v>3270</v>
      </c>
      <c r="S400" s="30" t="s">
        <v>53</v>
      </c>
      <c r="T400" s="30"/>
      <c r="U400" s="28" t="s">
        <v>3271</v>
      </c>
      <c r="V400" s="30" t="s">
        <v>63</v>
      </c>
      <c r="W400" s="30" t="s">
        <v>3172</v>
      </c>
      <c r="X400" s="32">
        <v>44197</v>
      </c>
      <c r="Y400" s="32">
        <v>45627</v>
      </c>
      <c r="Z400" s="30" t="s">
        <v>65</v>
      </c>
      <c r="AA400" s="28" t="s">
        <v>66</v>
      </c>
      <c r="AB400" s="28" t="s">
        <v>67</v>
      </c>
      <c r="AC400" s="29"/>
      <c r="AD400" s="28">
        <v>0</v>
      </c>
      <c r="AE400" s="29"/>
      <c r="AF400" s="31"/>
      <c r="AG400" s="30" t="s">
        <v>1579</v>
      </c>
      <c r="AH400" s="28"/>
      <c r="AI400" s="28" t="s">
        <v>118</v>
      </c>
      <c r="AJ400" s="33">
        <v>37722</v>
      </c>
      <c r="AK400" s="28">
        <v>6</v>
      </c>
      <c r="AL400" s="28">
        <v>15</v>
      </c>
      <c r="AM400" s="21"/>
      <c r="AN400" s="27"/>
      <c r="AO400" s="27"/>
      <c r="AP400" s="27"/>
      <c r="AQ400" s="27"/>
    </row>
    <row r="401" spans="1:43" ht="15.75" customHeight="1">
      <c r="A401" s="28">
        <v>15</v>
      </c>
      <c r="B401" s="29" t="s">
        <v>3272</v>
      </c>
      <c r="C401" s="30"/>
      <c r="D401" s="31" t="s">
        <v>3273</v>
      </c>
      <c r="E401" s="30" t="s">
        <v>49</v>
      </c>
      <c r="F401" s="30" t="s">
        <v>50</v>
      </c>
      <c r="G401" s="30" t="s">
        <v>51</v>
      </c>
      <c r="H401" s="28" t="s">
        <v>85</v>
      </c>
      <c r="I401" s="30"/>
      <c r="J401" s="30" t="s">
        <v>53</v>
      </c>
      <c r="K401" s="30" t="s">
        <v>3274</v>
      </c>
      <c r="L401" s="30" t="s">
        <v>55</v>
      </c>
      <c r="M401" s="30" t="s">
        <v>1376</v>
      </c>
      <c r="N401" s="30" t="s">
        <v>3275</v>
      </c>
      <c r="O401" s="30" t="s">
        <v>3276</v>
      </c>
      <c r="P401" s="30" t="s">
        <v>3277</v>
      </c>
      <c r="Q401" s="28" t="s">
        <v>3278</v>
      </c>
      <c r="R401" s="30" t="s">
        <v>3279</v>
      </c>
      <c r="S401" s="30" t="s">
        <v>53</v>
      </c>
      <c r="T401" s="30"/>
      <c r="U401" s="28" t="s">
        <v>3280</v>
      </c>
      <c r="V401" s="30" t="s">
        <v>63</v>
      </c>
      <c r="W401" s="30" t="s">
        <v>3172</v>
      </c>
      <c r="X401" s="32">
        <v>45108</v>
      </c>
      <c r="Y401" s="32">
        <v>46569</v>
      </c>
      <c r="Z401" s="30" t="s">
        <v>65</v>
      </c>
      <c r="AA401" s="28" t="s">
        <v>66</v>
      </c>
      <c r="AB401" s="28" t="s">
        <v>67</v>
      </c>
      <c r="AC401" s="29"/>
      <c r="AD401" s="28">
        <v>0</v>
      </c>
      <c r="AE401" s="29"/>
      <c r="AF401" s="31"/>
      <c r="AG401" s="30" t="s">
        <v>1579</v>
      </c>
      <c r="AH401" s="28"/>
      <c r="AI401" s="28" t="s">
        <v>53</v>
      </c>
      <c r="AJ401" s="33">
        <v>37982</v>
      </c>
      <c r="AK401" s="28">
        <v>5</v>
      </c>
      <c r="AL401" s="28">
        <v>15</v>
      </c>
      <c r="AM401" s="21"/>
      <c r="AN401" s="27"/>
      <c r="AO401" s="27"/>
      <c r="AP401" s="27"/>
      <c r="AQ401" s="27"/>
    </row>
    <row r="402" spans="1:43" ht="15.75" customHeight="1">
      <c r="A402" s="28">
        <v>16</v>
      </c>
      <c r="B402" s="29" t="s">
        <v>3281</v>
      </c>
      <c r="C402" s="30" t="s">
        <v>3282</v>
      </c>
      <c r="D402" s="31" t="s">
        <v>3283</v>
      </c>
      <c r="E402" s="30" t="s">
        <v>72</v>
      </c>
      <c r="F402" s="30" t="s">
        <v>50</v>
      </c>
      <c r="G402" s="30" t="s">
        <v>51</v>
      </c>
      <c r="H402" s="28" t="s">
        <v>85</v>
      </c>
      <c r="I402" s="30"/>
      <c r="J402" s="30" t="s">
        <v>53</v>
      </c>
      <c r="K402" s="30" t="s">
        <v>3284</v>
      </c>
      <c r="L402" s="30" t="s">
        <v>55</v>
      </c>
      <c r="M402" s="30" t="s">
        <v>1573</v>
      </c>
      <c r="N402" s="30" t="s">
        <v>3285</v>
      </c>
      <c r="O402" s="30" t="s">
        <v>1868</v>
      </c>
      <c r="P402" s="30" t="s">
        <v>3286</v>
      </c>
      <c r="Q402" s="28"/>
      <c r="R402" s="30" t="s">
        <v>3287</v>
      </c>
      <c r="S402" s="30" t="s">
        <v>53</v>
      </c>
      <c r="T402" s="30"/>
      <c r="U402" s="28" t="s">
        <v>765</v>
      </c>
      <c r="V402" s="30" t="s">
        <v>63</v>
      </c>
      <c r="W402" s="30" t="s">
        <v>3172</v>
      </c>
      <c r="X402" s="32">
        <v>43678</v>
      </c>
      <c r="Y402" s="32">
        <v>45505</v>
      </c>
      <c r="Z402" s="30" t="s">
        <v>65</v>
      </c>
      <c r="AA402" s="28" t="s">
        <v>246</v>
      </c>
      <c r="AB402" s="28" t="s">
        <v>67</v>
      </c>
      <c r="AC402" s="29"/>
      <c r="AD402" s="28">
        <v>0</v>
      </c>
      <c r="AE402" s="29"/>
      <c r="AF402" s="31"/>
      <c r="AG402" s="30" t="s">
        <v>1579</v>
      </c>
      <c r="AH402" s="28"/>
      <c r="AI402" s="28" t="s">
        <v>118</v>
      </c>
      <c r="AJ402" s="33">
        <v>36812</v>
      </c>
      <c r="AK402" s="28">
        <v>9</v>
      </c>
      <c r="AL402" s="28">
        <v>15</v>
      </c>
      <c r="AM402" s="21"/>
      <c r="AN402" s="27"/>
      <c r="AO402" s="27"/>
      <c r="AP402" s="27"/>
      <c r="AQ402" s="27"/>
    </row>
    <row r="403" spans="1:43" ht="15.75" customHeight="1">
      <c r="A403" s="28">
        <v>17</v>
      </c>
      <c r="B403" s="29" t="s">
        <v>3288</v>
      </c>
      <c r="C403" s="30" t="s">
        <v>3289</v>
      </c>
      <c r="D403" s="31" t="s">
        <v>3290</v>
      </c>
      <c r="E403" s="30" t="s">
        <v>72</v>
      </c>
      <c r="F403" s="30" t="s">
        <v>50</v>
      </c>
      <c r="G403" s="30" t="s">
        <v>51</v>
      </c>
      <c r="H403" s="28" t="s">
        <v>85</v>
      </c>
      <c r="I403" s="30"/>
      <c r="J403" s="30" t="s">
        <v>53</v>
      </c>
      <c r="K403" s="30" t="s">
        <v>3291</v>
      </c>
      <c r="L403" s="30" t="s">
        <v>55</v>
      </c>
      <c r="M403" s="30" t="s">
        <v>1573</v>
      </c>
      <c r="N403" s="30" t="s">
        <v>3292</v>
      </c>
      <c r="O403" s="30" t="s">
        <v>3090</v>
      </c>
      <c r="P403" s="30" t="s">
        <v>3293</v>
      </c>
      <c r="Q403" s="28" t="s">
        <v>3294</v>
      </c>
      <c r="R403" s="30" t="s">
        <v>3295</v>
      </c>
      <c r="S403" s="30" t="s">
        <v>53</v>
      </c>
      <c r="T403" s="30"/>
      <c r="U403" s="28" t="s">
        <v>765</v>
      </c>
      <c r="V403" s="30" t="s">
        <v>63</v>
      </c>
      <c r="W403" s="30" t="s">
        <v>3172</v>
      </c>
      <c r="X403" s="32">
        <v>44228</v>
      </c>
      <c r="Y403" s="32">
        <v>46054</v>
      </c>
      <c r="Z403" s="30" t="s">
        <v>65</v>
      </c>
      <c r="AA403" s="28" t="s">
        <v>134</v>
      </c>
      <c r="AB403" s="28" t="s">
        <v>67</v>
      </c>
      <c r="AC403" s="29"/>
      <c r="AD403" s="28">
        <v>0</v>
      </c>
      <c r="AE403" s="29"/>
      <c r="AF403" s="31"/>
      <c r="AG403" s="30" t="s">
        <v>1579</v>
      </c>
      <c r="AH403" s="28"/>
      <c r="AI403" s="28" t="s">
        <v>53</v>
      </c>
      <c r="AJ403" s="33">
        <v>36476</v>
      </c>
      <c r="AK403" s="28">
        <v>6</v>
      </c>
      <c r="AL403" s="28">
        <v>15</v>
      </c>
      <c r="AM403" s="21"/>
      <c r="AN403" s="27"/>
      <c r="AO403" s="27"/>
      <c r="AP403" s="27"/>
      <c r="AQ403" s="27"/>
    </row>
    <row r="404" spans="1:43" ht="15.75" customHeight="1">
      <c r="A404" s="28">
        <v>1</v>
      </c>
      <c r="B404" s="29" t="s">
        <v>3296</v>
      </c>
      <c r="C404" s="30"/>
      <c r="D404" s="31" t="s">
        <v>3297</v>
      </c>
      <c r="E404" s="30" t="s">
        <v>72</v>
      </c>
      <c r="F404" s="30" t="s">
        <v>50</v>
      </c>
      <c r="G404" s="30" t="s">
        <v>51</v>
      </c>
      <c r="H404" s="28" t="s">
        <v>52</v>
      </c>
      <c r="I404" s="30"/>
      <c r="J404" s="30" t="s">
        <v>53</v>
      </c>
      <c r="K404" s="30" t="s">
        <v>3298</v>
      </c>
      <c r="L404" s="30" t="s">
        <v>55</v>
      </c>
      <c r="M404" s="30" t="s">
        <v>1573</v>
      </c>
      <c r="N404" s="30" t="s">
        <v>3299</v>
      </c>
      <c r="O404" s="30" t="s">
        <v>1575</v>
      </c>
      <c r="P404" s="30" t="s">
        <v>3300</v>
      </c>
      <c r="Q404" s="28"/>
      <c r="R404" s="30" t="s">
        <v>3301</v>
      </c>
      <c r="S404" s="30" t="s">
        <v>53</v>
      </c>
      <c r="T404" s="30"/>
      <c r="U404" s="28" t="s">
        <v>1615</v>
      </c>
      <c r="V404" s="30" t="s">
        <v>63</v>
      </c>
      <c r="W404" s="30" t="s">
        <v>3302</v>
      </c>
      <c r="X404" s="32">
        <v>43891</v>
      </c>
      <c r="Y404" s="32">
        <v>46357</v>
      </c>
      <c r="Z404" s="30" t="s">
        <v>65</v>
      </c>
      <c r="AA404" s="28" t="s">
        <v>66</v>
      </c>
      <c r="AB404" s="28" t="s">
        <v>67</v>
      </c>
      <c r="AC404" s="29"/>
      <c r="AD404" s="28">
        <v>0</v>
      </c>
      <c r="AE404" s="29"/>
      <c r="AF404" s="31"/>
      <c r="AG404" s="30" t="s">
        <v>1579</v>
      </c>
      <c r="AH404" s="28"/>
      <c r="AI404" s="28" t="s">
        <v>53</v>
      </c>
      <c r="AJ404" s="33">
        <v>37390</v>
      </c>
      <c r="AK404" s="28">
        <v>4</v>
      </c>
      <c r="AL404" s="28">
        <v>25</v>
      </c>
      <c r="AM404" s="21"/>
      <c r="AN404" s="27"/>
      <c r="AO404" s="27"/>
      <c r="AP404" s="27"/>
      <c r="AQ404" s="27"/>
    </row>
    <row r="405" spans="1:43" ht="15.75" customHeight="1">
      <c r="A405" s="28">
        <v>2</v>
      </c>
      <c r="B405" s="29" t="s">
        <v>3303</v>
      </c>
      <c r="C405" s="30"/>
      <c r="D405" s="31" t="s">
        <v>3304</v>
      </c>
      <c r="E405" s="30" t="s">
        <v>72</v>
      </c>
      <c r="F405" s="30" t="s">
        <v>50</v>
      </c>
      <c r="G405" s="30" t="s">
        <v>51</v>
      </c>
      <c r="H405" s="28" t="s">
        <v>52</v>
      </c>
      <c r="I405" s="30"/>
      <c r="J405" s="30" t="s">
        <v>53</v>
      </c>
      <c r="K405" s="30" t="s">
        <v>3305</v>
      </c>
      <c r="L405" s="30" t="s">
        <v>55</v>
      </c>
      <c r="M405" s="30" t="s">
        <v>250</v>
      </c>
      <c r="N405" s="30" t="s">
        <v>3306</v>
      </c>
      <c r="O405" s="30" t="s">
        <v>3307</v>
      </c>
      <c r="P405" s="30" t="s">
        <v>3308</v>
      </c>
      <c r="Q405" s="28" t="s">
        <v>3309</v>
      </c>
      <c r="R405" s="30" t="s">
        <v>3310</v>
      </c>
      <c r="S405" s="30" t="s">
        <v>53</v>
      </c>
      <c r="T405" s="30"/>
      <c r="U405" s="28" t="s">
        <v>255</v>
      </c>
      <c r="V405" s="30" t="s">
        <v>63</v>
      </c>
      <c r="W405" s="30" t="s">
        <v>3302</v>
      </c>
      <c r="X405" s="32">
        <v>43678</v>
      </c>
      <c r="Y405" s="32">
        <v>45627</v>
      </c>
      <c r="Z405" s="30" t="s">
        <v>65</v>
      </c>
      <c r="AA405" s="28" t="s">
        <v>802</v>
      </c>
      <c r="AB405" s="28" t="s">
        <v>67</v>
      </c>
      <c r="AC405" s="29"/>
      <c r="AD405" s="28">
        <v>0</v>
      </c>
      <c r="AE405" s="29"/>
      <c r="AF405" s="31"/>
      <c r="AG405" s="30" t="s">
        <v>1579</v>
      </c>
      <c r="AH405" s="28"/>
      <c r="AI405" s="28" t="s">
        <v>53</v>
      </c>
      <c r="AJ405" s="33">
        <v>37371</v>
      </c>
      <c r="AK405" s="28">
        <v>8</v>
      </c>
      <c r="AL405" s="28">
        <v>21</v>
      </c>
      <c r="AM405" s="21"/>
      <c r="AN405" s="27"/>
      <c r="AO405" s="27"/>
      <c r="AP405" s="27"/>
      <c r="AQ405" s="27"/>
    </row>
    <row r="406" spans="1:43" ht="15.75" customHeight="1">
      <c r="A406" s="28">
        <v>3</v>
      </c>
      <c r="B406" s="29" t="s">
        <v>3311</v>
      </c>
      <c r="C406" s="30" t="s">
        <v>3312</v>
      </c>
      <c r="D406" s="31" t="s">
        <v>3313</v>
      </c>
      <c r="E406" s="30" t="s">
        <v>49</v>
      </c>
      <c r="F406" s="30" t="s">
        <v>50</v>
      </c>
      <c r="G406" s="30" t="s">
        <v>51</v>
      </c>
      <c r="H406" s="28" t="s">
        <v>1121</v>
      </c>
      <c r="I406" s="30"/>
      <c r="J406" s="30" t="s">
        <v>53</v>
      </c>
      <c r="K406" s="30" t="s">
        <v>3314</v>
      </c>
      <c r="L406" s="30" t="s">
        <v>55</v>
      </c>
      <c r="M406" s="30" t="s">
        <v>656</v>
      </c>
      <c r="N406" s="30" t="s">
        <v>3315</v>
      </c>
      <c r="O406" s="30" t="s">
        <v>3316</v>
      </c>
      <c r="P406" s="30" t="s">
        <v>3317</v>
      </c>
      <c r="Q406" s="28" t="s">
        <v>3318</v>
      </c>
      <c r="R406" s="30" t="s">
        <v>3319</v>
      </c>
      <c r="S406" s="30" t="s">
        <v>53</v>
      </c>
      <c r="T406" s="30"/>
      <c r="U406" s="28" t="s">
        <v>3320</v>
      </c>
      <c r="V406" s="30" t="s">
        <v>63</v>
      </c>
      <c r="W406" s="30" t="s">
        <v>3302</v>
      </c>
      <c r="X406" s="32">
        <v>44197</v>
      </c>
      <c r="Y406" s="32">
        <v>45992</v>
      </c>
      <c r="Z406" s="30" t="s">
        <v>65</v>
      </c>
      <c r="AA406" s="28" t="s">
        <v>66</v>
      </c>
      <c r="AB406" s="28" t="s">
        <v>67</v>
      </c>
      <c r="AC406" s="29"/>
      <c r="AD406" s="28">
        <v>0</v>
      </c>
      <c r="AE406" s="29"/>
      <c r="AF406" s="31"/>
      <c r="AG406" s="30" t="s">
        <v>1579</v>
      </c>
      <c r="AH406" s="28"/>
      <c r="AI406" s="28" t="s">
        <v>53</v>
      </c>
      <c r="AJ406" s="33">
        <v>33160</v>
      </c>
      <c r="AK406" s="28">
        <v>6</v>
      </c>
      <c r="AL406" s="28">
        <v>19</v>
      </c>
      <c r="AM406" s="21"/>
      <c r="AN406" s="27"/>
      <c r="AO406" s="27"/>
      <c r="AP406" s="27"/>
      <c r="AQ406" s="27"/>
    </row>
    <row r="407" spans="1:43" ht="15.75" customHeight="1">
      <c r="A407" s="28">
        <v>4</v>
      </c>
      <c r="B407" s="29" t="s">
        <v>3321</v>
      </c>
      <c r="C407" s="30" t="s">
        <v>3322</v>
      </c>
      <c r="D407" s="31" t="s">
        <v>3323</v>
      </c>
      <c r="E407" s="30" t="s">
        <v>49</v>
      </c>
      <c r="F407" s="30" t="s">
        <v>84</v>
      </c>
      <c r="G407" s="30" t="s">
        <v>51</v>
      </c>
      <c r="H407" s="28" t="s">
        <v>191</v>
      </c>
      <c r="I407" s="30"/>
      <c r="J407" s="30" t="s">
        <v>53</v>
      </c>
      <c r="K407" s="30" t="s">
        <v>3324</v>
      </c>
      <c r="L407" s="30" t="s">
        <v>55</v>
      </c>
      <c r="M407" s="30" t="s">
        <v>1573</v>
      </c>
      <c r="N407" s="30" t="s">
        <v>3325</v>
      </c>
      <c r="O407" s="30" t="s">
        <v>3326</v>
      </c>
      <c r="P407" s="30" t="s">
        <v>3327</v>
      </c>
      <c r="Q407" s="28" t="s">
        <v>3328</v>
      </c>
      <c r="R407" s="30" t="s">
        <v>3329</v>
      </c>
      <c r="S407" s="30" t="s">
        <v>118</v>
      </c>
      <c r="T407" s="30" t="s">
        <v>3330</v>
      </c>
      <c r="U407" s="28" t="s">
        <v>1598</v>
      </c>
      <c r="V407" s="30" t="s">
        <v>63</v>
      </c>
      <c r="W407" s="30" t="s">
        <v>3302</v>
      </c>
      <c r="X407" s="32">
        <v>43678</v>
      </c>
      <c r="Y407" s="32">
        <v>45444</v>
      </c>
      <c r="Z407" s="30" t="s">
        <v>65</v>
      </c>
      <c r="AA407" s="28" t="s">
        <v>66</v>
      </c>
      <c r="AB407" s="28" t="s">
        <v>67</v>
      </c>
      <c r="AC407" s="29"/>
      <c r="AD407" s="28">
        <v>0</v>
      </c>
      <c r="AE407" s="29"/>
      <c r="AF407" s="31"/>
      <c r="AG407" s="30" t="s">
        <v>1579</v>
      </c>
      <c r="AH407" s="28" t="s">
        <v>3331</v>
      </c>
      <c r="AI407" s="28" t="s">
        <v>53</v>
      </c>
      <c r="AJ407" s="33">
        <v>28355</v>
      </c>
      <c r="AK407" s="28">
        <v>9</v>
      </c>
      <c r="AL407" s="28">
        <v>15</v>
      </c>
      <c r="AM407" s="21"/>
      <c r="AN407" s="27"/>
      <c r="AO407" s="27"/>
      <c r="AP407" s="27"/>
      <c r="AQ407" s="27"/>
    </row>
    <row r="408" spans="1:43" ht="15.75" customHeight="1">
      <c r="A408" s="28">
        <v>1</v>
      </c>
      <c r="B408" s="29" t="s">
        <v>3332</v>
      </c>
      <c r="C408" s="30" t="s">
        <v>3333</v>
      </c>
      <c r="D408" s="31" t="s">
        <v>3334</v>
      </c>
      <c r="E408" s="30" t="s">
        <v>49</v>
      </c>
      <c r="F408" s="30" t="s">
        <v>50</v>
      </c>
      <c r="G408" s="30" t="s">
        <v>51</v>
      </c>
      <c r="H408" s="28" t="s">
        <v>52</v>
      </c>
      <c r="I408" s="30"/>
      <c r="J408" s="30" t="s">
        <v>53</v>
      </c>
      <c r="K408" s="30" t="s">
        <v>3335</v>
      </c>
      <c r="L408" s="30" t="s">
        <v>55</v>
      </c>
      <c r="M408" s="30" t="s">
        <v>1573</v>
      </c>
      <c r="N408" s="30" t="s">
        <v>3336</v>
      </c>
      <c r="O408" s="30" t="s">
        <v>1585</v>
      </c>
      <c r="P408" s="30" t="s">
        <v>3337</v>
      </c>
      <c r="Q408" s="28"/>
      <c r="R408" s="30" t="s">
        <v>3338</v>
      </c>
      <c r="S408" s="30" t="s">
        <v>53</v>
      </c>
      <c r="T408" s="30"/>
      <c r="U408" s="28" t="s">
        <v>1657</v>
      </c>
      <c r="V408" s="30" t="s">
        <v>63</v>
      </c>
      <c r="W408" s="30" t="s">
        <v>3339</v>
      </c>
      <c r="X408" s="32">
        <v>42583</v>
      </c>
      <c r="Y408" s="32">
        <v>45809</v>
      </c>
      <c r="Z408" s="30" t="s">
        <v>65</v>
      </c>
      <c r="AA408" s="28" t="s">
        <v>246</v>
      </c>
      <c r="AB408" s="28" t="s">
        <v>67</v>
      </c>
      <c r="AC408" s="29"/>
      <c r="AD408" s="28">
        <v>0</v>
      </c>
      <c r="AE408" s="29"/>
      <c r="AF408" s="31"/>
      <c r="AG408" s="30" t="s">
        <v>1579</v>
      </c>
      <c r="AH408" s="28"/>
      <c r="AI408" s="28" t="s">
        <v>53</v>
      </c>
      <c r="AJ408" s="33">
        <v>36057</v>
      </c>
      <c r="AK408" s="28">
        <v>9</v>
      </c>
      <c r="AL408" s="28">
        <v>26</v>
      </c>
      <c r="AM408" s="21"/>
      <c r="AN408" s="27"/>
      <c r="AO408" s="27"/>
      <c r="AP408" s="27"/>
      <c r="AQ408" s="27"/>
    </row>
    <row r="409" spans="1:43" ht="15.75" customHeight="1">
      <c r="A409" s="28">
        <v>2</v>
      </c>
      <c r="B409" s="29" t="s">
        <v>3340</v>
      </c>
      <c r="C409" s="30" t="s">
        <v>3341</v>
      </c>
      <c r="D409" s="31" t="s">
        <v>3342</v>
      </c>
      <c r="E409" s="30" t="s">
        <v>49</v>
      </c>
      <c r="F409" s="30" t="s">
        <v>50</v>
      </c>
      <c r="G409" s="30" t="s">
        <v>51</v>
      </c>
      <c r="H409" s="28" t="s">
        <v>85</v>
      </c>
      <c r="I409" s="30"/>
      <c r="J409" s="30" t="s">
        <v>53</v>
      </c>
      <c r="K409" s="30" t="s">
        <v>3343</v>
      </c>
      <c r="L409" s="30" t="s">
        <v>55</v>
      </c>
      <c r="M409" s="30" t="s">
        <v>1573</v>
      </c>
      <c r="N409" s="30" t="s">
        <v>3344</v>
      </c>
      <c r="O409" s="30" t="s">
        <v>2132</v>
      </c>
      <c r="P409" s="30" t="s">
        <v>3345</v>
      </c>
      <c r="Q409" s="28"/>
      <c r="R409" s="30" t="s">
        <v>3346</v>
      </c>
      <c r="S409" s="30" t="s">
        <v>53</v>
      </c>
      <c r="T409" s="30"/>
      <c r="U409" s="28" t="s">
        <v>1657</v>
      </c>
      <c r="V409" s="30" t="s">
        <v>63</v>
      </c>
      <c r="W409" s="30" t="s">
        <v>3339</v>
      </c>
      <c r="X409" s="32">
        <v>43313</v>
      </c>
      <c r="Y409" s="32">
        <v>45413</v>
      </c>
      <c r="Z409" s="30" t="s">
        <v>65</v>
      </c>
      <c r="AA409" s="28" t="s">
        <v>246</v>
      </c>
      <c r="AB409" s="28" t="s">
        <v>67</v>
      </c>
      <c r="AC409" s="29"/>
      <c r="AD409" s="28">
        <v>0</v>
      </c>
      <c r="AE409" s="29"/>
      <c r="AF409" s="31"/>
      <c r="AG409" s="30" t="s">
        <v>1579</v>
      </c>
      <c r="AH409" s="28"/>
      <c r="AI409" s="28" t="s">
        <v>53</v>
      </c>
      <c r="AJ409" s="33">
        <v>32543</v>
      </c>
      <c r="AK409" s="28">
        <v>9</v>
      </c>
      <c r="AL409" s="28">
        <v>23</v>
      </c>
      <c r="AM409" s="21"/>
      <c r="AN409" s="27"/>
      <c r="AO409" s="27"/>
      <c r="AP409" s="27"/>
      <c r="AQ409" s="27"/>
    </row>
    <row r="410" spans="1:43" ht="15.75" customHeight="1">
      <c r="A410" s="28">
        <v>3</v>
      </c>
      <c r="B410" s="29" t="s">
        <v>3347</v>
      </c>
      <c r="C410" s="30" t="s">
        <v>3348</v>
      </c>
      <c r="D410" s="31" t="s">
        <v>3349</v>
      </c>
      <c r="E410" s="30" t="s">
        <v>49</v>
      </c>
      <c r="F410" s="30" t="s">
        <v>50</v>
      </c>
      <c r="G410" s="30" t="s">
        <v>51</v>
      </c>
      <c r="H410" s="28" t="s">
        <v>52</v>
      </c>
      <c r="I410" s="30"/>
      <c r="J410" s="30" t="s">
        <v>53</v>
      </c>
      <c r="K410" s="30" t="s">
        <v>3350</v>
      </c>
      <c r="L410" s="30" t="s">
        <v>55</v>
      </c>
      <c r="M410" s="30" t="s">
        <v>1573</v>
      </c>
      <c r="N410" s="30" t="s">
        <v>3351</v>
      </c>
      <c r="O410" s="30" t="s">
        <v>1868</v>
      </c>
      <c r="P410" s="30" t="s">
        <v>3352</v>
      </c>
      <c r="Q410" s="28" t="s">
        <v>3353</v>
      </c>
      <c r="R410" s="30" t="s">
        <v>3354</v>
      </c>
      <c r="S410" s="30" t="s">
        <v>53</v>
      </c>
      <c r="T410" s="30"/>
      <c r="U410" s="28" t="s">
        <v>1657</v>
      </c>
      <c r="V410" s="30" t="s">
        <v>63</v>
      </c>
      <c r="W410" s="30" t="s">
        <v>3339</v>
      </c>
      <c r="X410" s="32">
        <v>43313</v>
      </c>
      <c r="Y410" s="32">
        <v>45627</v>
      </c>
      <c r="Z410" s="30" t="s">
        <v>65</v>
      </c>
      <c r="AA410" s="28" t="s">
        <v>802</v>
      </c>
      <c r="AB410" s="28" t="s">
        <v>67</v>
      </c>
      <c r="AC410" s="29"/>
      <c r="AD410" s="28">
        <v>0</v>
      </c>
      <c r="AE410" s="29"/>
      <c r="AF410" s="31"/>
      <c r="AG410" s="30" t="s">
        <v>1579</v>
      </c>
      <c r="AH410" s="28" t="s">
        <v>431</v>
      </c>
      <c r="AI410" s="28" t="s">
        <v>53</v>
      </c>
      <c r="AJ410" s="33">
        <v>36416</v>
      </c>
      <c r="AK410" s="28">
        <v>6</v>
      </c>
      <c r="AL410" s="28">
        <v>21</v>
      </c>
      <c r="AM410" s="21"/>
      <c r="AN410" s="27"/>
      <c r="AO410" s="27"/>
      <c r="AP410" s="27"/>
      <c r="AQ410" s="27"/>
    </row>
    <row r="411" spans="1:43" ht="15.75" customHeight="1">
      <c r="A411" s="28">
        <v>4</v>
      </c>
      <c r="B411" s="29" t="s">
        <v>3355</v>
      </c>
      <c r="C411" s="30"/>
      <c r="D411" s="31" t="s">
        <v>3356</v>
      </c>
      <c r="E411" s="30" t="s">
        <v>49</v>
      </c>
      <c r="F411" s="30" t="s">
        <v>50</v>
      </c>
      <c r="G411" s="30" t="s">
        <v>51</v>
      </c>
      <c r="H411" s="28" t="s">
        <v>85</v>
      </c>
      <c r="I411" s="30"/>
      <c r="J411" s="30" t="s">
        <v>53</v>
      </c>
      <c r="K411" s="30" t="s">
        <v>2995</v>
      </c>
      <c r="L411" s="30" t="s">
        <v>55</v>
      </c>
      <c r="M411" s="30" t="s">
        <v>656</v>
      </c>
      <c r="N411" s="30" t="s">
        <v>3357</v>
      </c>
      <c r="O411" s="30" t="s">
        <v>2997</v>
      </c>
      <c r="P411" s="30" t="s">
        <v>3358</v>
      </c>
      <c r="Q411" s="28"/>
      <c r="R411" s="30" t="s">
        <v>3359</v>
      </c>
      <c r="S411" s="30" t="s">
        <v>53</v>
      </c>
      <c r="T411" s="30"/>
      <c r="U411" s="28" t="s">
        <v>1929</v>
      </c>
      <c r="V411" s="30" t="s">
        <v>63</v>
      </c>
      <c r="W411" s="30" t="s">
        <v>3339</v>
      </c>
      <c r="X411" s="32">
        <v>44409</v>
      </c>
      <c r="Y411" s="32">
        <v>46235</v>
      </c>
      <c r="Z411" s="30" t="s">
        <v>65</v>
      </c>
      <c r="AA411" s="28" t="s">
        <v>802</v>
      </c>
      <c r="AB411" s="28" t="s">
        <v>67</v>
      </c>
      <c r="AC411" s="29"/>
      <c r="AD411" s="28">
        <v>0</v>
      </c>
      <c r="AE411" s="29"/>
      <c r="AF411" s="31"/>
      <c r="AG411" s="30" t="s">
        <v>1579</v>
      </c>
      <c r="AH411" s="28"/>
      <c r="AI411" s="28" t="s">
        <v>53</v>
      </c>
      <c r="AJ411" s="33">
        <v>35099</v>
      </c>
      <c r="AK411" s="28">
        <v>3</v>
      </c>
      <c r="AL411" s="28">
        <v>20</v>
      </c>
      <c r="AM411" s="21"/>
      <c r="AN411" s="27"/>
      <c r="AO411" s="27"/>
      <c r="AP411" s="27"/>
      <c r="AQ411" s="27"/>
    </row>
    <row r="412" spans="1:43" ht="15.75" customHeight="1">
      <c r="A412" s="28">
        <v>5</v>
      </c>
      <c r="B412" s="29" t="s">
        <v>3360</v>
      </c>
      <c r="C412" s="30" t="s">
        <v>3361</v>
      </c>
      <c r="D412" s="31" t="s">
        <v>3362</v>
      </c>
      <c r="E412" s="30" t="s">
        <v>49</v>
      </c>
      <c r="F412" s="30" t="s">
        <v>84</v>
      </c>
      <c r="G412" s="30" t="s">
        <v>51</v>
      </c>
      <c r="H412" s="28" t="s">
        <v>85</v>
      </c>
      <c r="I412" s="30"/>
      <c r="J412" s="30" t="s">
        <v>53</v>
      </c>
      <c r="K412" s="30" t="s">
        <v>3363</v>
      </c>
      <c r="L412" s="30" t="s">
        <v>55</v>
      </c>
      <c r="M412" s="30" t="s">
        <v>1573</v>
      </c>
      <c r="N412" s="30" t="s">
        <v>3364</v>
      </c>
      <c r="O412" s="30" t="s">
        <v>3365</v>
      </c>
      <c r="P412" s="30" t="s">
        <v>3366</v>
      </c>
      <c r="Q412" s="28"/>
      <c r="R412" s="30" t="s">
        <v>3367</v>
      </c>
      <c r="S412" s="30" t="s">
        <v>53</v>
      </c>
      <c r="T412" s="30"/>
      <c r="U412" s="28" t="s">
        <v>3368</v>
      </c>
      <c r="V412" s="30" t="s">
        <v>63</v>
      </c>
      <c r="W412" s="30" t="s">
        <v>3339</v>
      </c>
      <c r="X412" s="32">
        <v>44958</v>
      </c>
      <c r="Y412" s="32">
        <v>46357</v>
      </c>
      <c r="Z412" s="30" t="s">
        <v>65</v>
      </c>
      <c r="AA412" s="28" t="s">
        <v>66</v>
      </c>
      <c r="AB412" s="28" t="s">
        <v>67</v>
      </c>
      <c r="AC412" s="29"/>
      <c r="AD412" s="28">
        <v>0</v>
      </c>
      <c r="AE412" s="29"/>
      <c r="AF412" s="31"/>
      <c r="AG412" s="30" t="s">
        <v>1579</v>
      </c>
      <c r="AH412" s="28"/>
      <c r="AI412" s="28" t="s">
        <v>53</v>
      </c>
      <c r="AJ412" s="33">
        <v>32078</v>
      </c>
      <c r="AK412" s="28">
        <v>3</v>
      </c>
      <c r="AL412" s="28">
        <v>19</v>
      </c>
      <c r="AM412" s="21"/>
      <c r="AN412" s="27"/>
      <c r="AO412" s="27"/>
      <c r="AP412" s="27"/>
      <c r="AQ412" s="27"/>
    </row>
    <row r="413" spans="1:43" ht="15.75" customHeight="1">
      <c r="A413" s="28">
        <v>1</v>
      </c>
      <c r="B413" s="29" t="s">
        <v>3369</v>
      </c>
      <c r="C413" s="30" t="s">
        <v>3370</v>
      </c>
      <c r="D413" s="31" t="s">
        <v>3371</v>
      </c>
      <c r="E413" s="30" t="s">
        <v>49</v>
      </c>
      <c r="F413" s="30" t="s">
        <v>50</v>
      </c>
      <c r="G413" s="30" t="s">
        <v>51</v>
      </c>
      <c r="H413" s="28" t="s">
        <v>85</v>
      </c>
      <c r="I413" s="30"/>
      <c r="J413" s="30" t="s">
        <v>53</v>
      </c>
      <c r="K413" s="30" t="s">
        <v>2183</v>
      </c>
      <c r="L413" s="30" t="s">
        <v>55</v>
      </c>
      <c r="M413" s="30" t="s">
        <v>656</v>
      </c>
      <c r="N413" s="30" t="s">
        <v>3372</v>
      </c>
      <c r="O413" s="30" t="s">
        <v>2185</v>
      </c>
      <c r="P413" s="30" t="s">
        <v>3373</v>
      </c>
      <c r="Q413" s="28"/>
      <c r="R413" s="30" t="s">
        <v>3374</v>
      </c>
      <c r="S413" s="30" t="s">
        <v>53</v>
      </c>
      <c r="T413" s="30"/>
      <c r="U413" s="28" t="s">
        <v>1657</v>
      </c>
      <c r="V413" s="30" t="s">
        <v>63</v>
      </c>
      <c r="W413" s="30" t="s">
        <v>3375</v>
      </c>
      <c r="X413" s="32">
        <v>43891</v>
      </c>
      <c r="Y413" s="32">
        <v>46082</v>
      </c>
      <c r="Z413" s="30" t="s">
        <v>65</v>
      </c>
      <c r="AA413" s="28" t="s">
        <v>246</v>
      </c>
      <c r="AB413" s="28" t="s">
        <v>67</v>
      </c>
      <c r="AC413" s="29"/>
      <c r="AD413" s="28">
        <v>0</v>
      </c>
      <c r="AE413" s="29"/>
      <c r="AF413" s="31"/>
      <c r="AG413" s="30" t="s">
        <v>1579</v>
      </c>
      <c r="AH413" s="28"/>
      <c r="AI413" s="28" t="s">
        <v>53</v>
      </c>
      <c r="AJ413" s="33">
        <v>37354</v>
      </c>
      <c r="AK413" s="28">
        <v>5</v>
      </c>
      <c r="AL413" s="28">
        <v>23</v>
      </c>
      <c r="AM413" s="21"/>
      <c r="AN413" s="27"/>
      <c r="AO413" s="27"/>
      <c r="AP413" s="27"/>
      <c r="AQ413" s="27"/>
    </row>
    <row r="414" spans="1:43" ht="15.75" customHeight="1">
      <c r="A414" s="28">
        <v>2</v>
      </c>
      <c r="B414" s="29" t="s">
        <v>3376</v>
      </c>
      <c r="C414" s="30"/>
      <c r="D414" s="31" t="s">
        <v>3377</v>
      </c>
      <c r="E414" s="30" t="s">
        <v>49</v>
      </c>
      <c r="F414" s="30" t="s">
        <v>50</v>
      </c>
      <c r="G414" s="30" t="s">
        <v>51</v>
      </c>
      <c r="H414" s="28" t="s">
        <v>85</v>
      </c>
      <c r="I414" s="30"/>
      <c r="J414" s="30" t="s">
        <v>53</v>
      </c>
      <c r="K414" s="30" t="s">
        <v>3378</v>
      </c>
      <c r="L414" s="30" t="s">
        <v>55</v>
      </c>
      <c r="M414" s="30" t="s">
        <v>1573</v>
      </c>
      <c r="N414" s="30" t="s">
        <v>3379</v>
      </c>
      <c r="O414" s="30" t="s">
        <v>1575</v>
      </c>
      <c r="P414" s="30" t="s">
        <v>3380</v>
      </c>
      <c r="Q414" s="28" t="s">
        <v>3381</v>
      </c>
      <c r="R414" s="30" t="s">
        <v>3382</v>
      </c>
      <c r="S414" s="30" t="s">
        <v>53</v>
      </c>
      <c r="T414" s="30"/>
      <c r="U414" s="28" t="s">
        <v>3383</v>
      </c>
      <c r="V414" s="30" t="s">
        <v>63</v>
      </c>
      <c r="W414" s="30" t="s">
        <v>3375</v>
      </c>
      <c r="X414" s="32">
        <v>44287</v>
      </c>
      <c r="Y414" s="32">
        <v>46327</v>
      </c>
      <c r="Z414" s="30" t="s">
        <v>65</v>
      </c>
      <c r="AA414" s="28" t="s">
        <v>134</v>
      </c>
      <c r="AB414" s="28" t="s">
        <v>67</v>
      </c>
      <c r="AC414" s="29"/>
      <c r="AD414" s="28">
        <v>0</v>
      </c>
      <c r="AE414" s="29"/>
      <c r="AF414" s="31"/>
      <c r="AG414" s="30" t="s">
        <v>1579</v>
      </c>
      <c r="AH414" s="28"/>
      <c r="AI414" s="28" t="s">
        <v>53</v>
      </c>
      <c r="AJ414" s="33">
        <v>37474</v>
      </c>
      <c r="AK414" s="28">
        <v>6</v>
      </c>
      <c r="AL414" s="28">
        <v>20</v>
      </c>
      <c r="AM414" s="21"/>
      <c r="AN414" s="27"/>
      <c r="AO414" s="27"/>
      <c r="AP414" s="27"/>
      <c r="AQ414" s="27"/>
    </row>
    <row r="415" spans="1:43" ht="15.75" customHeight="1">
      <c r="A415" s="28">
        <v>3</v>
      </c>
      <c r="B415" s="29" t="s">
        <v>3384</v>
      </c>
      <c r="C415" s="30"/>
      <c r="D415" s="31" t="s">
        <v>3385</v>
      </c>
      <c r="E415" s="30" t="s">
        <v>49</v>
      </c>
      <c r="F415" s="30" t="s">
        <v>50</v>
      </c>
      <c r="G415" s="30" t="s">
        <v>51</v>
      </c>
      <c r="H415" s="28" t="s">
        <v>85</v>
      </c>
      <c r="I415" s="30"/>
      <c r="J415" s="30" t="s">
        <v>53</v>
      </c>
      <c r="K415" s="30" t="s">
        <v>3386</v>
      </c>
      <c r="L415" s="30" t="s">
        <v>55</v>
      </c>
      <c r="M415" s="30" t="s">
        <v>1573</v>
      </c>
      <c r="N415" s="30" t="s">
        <v>3387</v>
      </c>
      <c r="O415" s="30" t="s">
        <v>2657</v>
      </c>
      <c r="P415" s="30" t="s">
        <v>3388</v>
      </c>
      <c r="Q415" s="28" t="s">
        <v>3389</v>
      </c>
      <c r="R415" s="30" t="s">
        <v>3390</v>
      </c>
      <c r="S415" s="30" t="s">
        <v>53</v>
      </c>
      <c r="T415" s="30"/>
      <c r="U415" s="28" t="s">
        <v>3391</v>
      </c>
      <c r="V415" s="30" t="s">
        <v>63</v>
      </c>
      <c r="W415" s="30" t="s">
        <v>3375</v>
      </c>
      <c r="X415" s="32">
        <v>44044</v>
      </c>
      <c r="Y415" s="32">
        <v>45839</v>
      </c>
      <c r="Z415" s="30" t="s">
        <v>65</v>
      </c>
      <c r="AA415" s="28" t="s">
        <v>66</v>
      </c>
      <c r="AB415" s="28" t="s">
        <v>67</v>
      </c>
      <c r="AC415" s="29"/>
      <c r="AD415" s="28">
        <v>0</v>
      </c>
      <c r="AE415" s="29"/>
      <c r="AF415" s="31"/>
      <c r="AG415" s="30" t="s">
        <v>1579</v>
      </c>
      <c r="AH415" s="28"/>
      <c r="AI415" s="28" t="s">
        <v>53</v>
      </c>
      <c r="AJ415" s="33">
        <v>37091</v>
      </c>
      <c r="AK415" s="28">
        <v>7</v>
      </c>
      <c r="AL415" s="28">
        <v>17</v>
      </c>
      <c r="AM415" s="21"/>
      <c r="AN415" s="27"/>
      <c r="AO415" s="27"/>
      <c r="AP415" s="27"/>
      <c r="AQ415" s="27"/>
    </row>
    <row r="416" spans="1:43" ht="15.75" customHeight="1">
      <c r="A416" s="28">
        <v>1</v>
      </c>
      <c r="B416" s="29" t="s">
        <v>3392</v>
      </c>
      <c r="C416" s="30"/>
      <c r="D416" s="31" t="s">
        <v>3393</v>
      </c>
      <c r="E416" s="30" t="s">
        <v>72</v>
      </c>
      <c r="F416" s="30" t="s">
        <v>50</v>
      </c>
      <c r="G416" s="30" t="s">
        <v>51</v>
      </c>
      <c r="H416" s="28" t="s">
        <v>85</v>
      </c>
      <c r="I416" s="30"/>
      <c r="J416" s="30" t="s">
        <v>53</v>
      </c>
      <c r="K416" s="30" t="s">
        <v>3394</v>
      </c>
      <c r="L416" s="30" t="s">
        <v>55</v>
      </c>
      <c r="M416" s="30" t="s">
        <v>656</v>
      </c>
      <c r="N416" s="30" t="s">
        <v>3395</v>
      </c>
      <c r="O416" s="30" t="s">
        <v>3396</v>
      </c>
      <c r="P416" s="30" t="s">
        <v>3397</v>
      </c>
      <c r="Q416" s="28"/>
      <c r="R416" s="30" t="s">
        <v>3398</v>
      </c>
      <c r="S416" s="30" t="s">
        <v>53</v>
      </c>
      <c r="T416" s="30"/>
      <c r="U416" s="28" t="s">
        <v>765</v>
      </c>
      <c r="V416" s="30" t="s">
        <v>63</v>
      </c>
      <c r="W416" s="30" t="s">
        <v>3399</v>
      </c>
      <c r="X416" s="32">
        <v>43678</v>
      </c>
      <c r="Y416" s="32">
        <v>45078</v>
      </c>
      <c r="Z416" s="30" t="s">
        <v>65</v>
      </c>
      <c r="AA416" s="28" t="s">
        <v>246</v>
      </c>
      <c r="AB416" s="28" t="s">
        <v>67</v>
      </c>
      <c r="AC416" s="29"/>
      <c r="AD416" s="28">
        <v>0</v>
      </c>
      <c r="AE416" s="29"/>
      <c r="AF416" s="31"/>
      <c r="AG416" s="30" t="s">
        <v>1579</v>
      </c>
      <c r="AH416" s="28"/>
      <c r="AI416" s="28" t="s">
        <v>53</v>
      </c>
      <c r="AJ416" s="33">
        <v>37152</v>
      </c>
      <c r="AK416" s="28">
        <v>8</v>
      </c>
      <c r="AL416" s="28">
        <v>21</v>
      </c>
      <c r="AM416" s="21"/>
      <c r="AN416" s="27"/>
      <c r="AO416" s="27"/>
      <c r="AP416" s="27"/>
      <c r="AQ416" s="27"/>
    </row>
    <row r="417" spans="1:43" ht="15.75" customHeight="1">
      <c r="A417" s="28">
        <v>1</v>
      </c>
      <c r="B417" s="29" t="s">
        <v>3400</v>
      </c>
      <c r="C417" s="30" t="s">
        <v>3401</v>
      </c>
      <c r="D417" s="31" t="s">
        <v>3402</v>
      </c>
      <c r="E417" s="30" t="s">
        <v>49</v>
      </c>
      <c r="F417" s="30" t="s">
        <v>50</v>
      </c>
      <c r="G417" s="30" t="s">
        <v>51</v>
      </c>
      <c r="H417" s="28" t="s">
        <v>52</v>
      </c>
      <c r="I417" s="30"/>
      <c r="J417" s="30" t="s">
        <v>53</v>
      </c>
      <c r="K417" s="30" t="s">
        <v>3403</v>
      </c>
      <c r="L417" s="30" t="s">
        <v>55</v>
      </c>
      <c r="M417" s="30" t="s">
        <v>656</v>
      </c>
      <c r="N417" s="30" t="s">
        <v>3404</v>
      </c>
      <c r="O417" s="30" t="s">
        <v>3405</v>
      </c>
      <c r="P417" s="30" t="s">
        <v>3406</v>
      </c>
      <c r="Q417" s="28" t="s">
        <v>3407</v>
      </c>
      <c r="R417" s="30" t="s">
        <v>3408</v>
      </c>
      <c r="S417" s="30" t="s">
        <v>53</v>
      </c>
      <c r="T417" s="30"/>
      <c r="U417" s="28" t="s">
        <v>765</v>
      </c>
      <c r="V417" s="30" t="s">
        <v>63</v>
      </c>
      <c r="W417" s="30" t="s">
        <v>3409</v>
      </c>
      <c r="X417" s="32">
        <v>44593</v>
      </c>
      <c r="Y417" s="32">
        <v>46692</v>
      </c>
      <c r="Z417" s="30" t="s">
        <v>65</v>
      </c>
      <c r="AA417" s="28" t="s">
        <v>134</v>
      </c>
      <c r="AB417" s="28" t="s">
        <v>67</v>
      </c>
      <c r="AC417" s="29"/>
      <c r="AD417" s="28">
        <v>0</v>
      </c>
      <c r="AE417" s="29"/>
      <c r="AF417" s="31"/>
      <c r="AG417" s="30" t="s">
        <v>1579</v>
      </c>
      <c r="AH417" s="28"/>
      <c r="AI417" s="28" t="s">
        <v>53</v>
      </c>
      <c r="AJ417" s="33">
        <v>38034</v>
      </c>
      <c r="AK417" s="28">
        <v>4</v>
      </c>
      <c r="AL417" s="28">
        <v>28</v>
      </c>
      <c r="AM417" s="21"/>
      <c r="AN417" s="27"/>
      <c r="AO417" s="27"/>
      <c r="AP417" s="27"/>
      <c r="AQ417" s="27"/>
    </row>
    <row r="418" spans="1:43" ht="15.75" customHeight="1">
      <c r="A418" s="28">
        <v>2</v>
      </c>
      <c r="B418" s="29" t="s">
        <v>3410</v>
      </c>
      <c r="C418" s="30"/>
      <c r="D418" s="31" t="s">
        <v>3411</v>
      </c>
      <c r="E418" s="30" t="s">
        <v>49</v>
      </c>
      <c r="F418" s="30" t="s">
        <v>50</v>
      </c>
      <c r="G418" s="30" t="s">
        <v>51</v>
      </c>
      <c r="H418" s="28" t="s">
        <v>52</v>
      </c>
      <c r="I418" s="30"/>
      <c r="J418" s="30" t="s">
        <v>53</v>
      </c>
      <c r="K418" s="30" t="s">
        <v>3412</v>
      </c>
      <c r="L418" s="30" t="s">
        <v>55</v>
      </c>
      <c r="M418" s="30" t="s">
        <v>1573</v>
      </c>
      <c r="N418" s="30" t="s">
        <v>3413</v>
      </c>
      <c r="O418" s="30" t="s">
        <v>3414</v>
      </c>
      <c r="P418" s="30" t="s">
        <v>3415</v>
      </c>
      <c r="Q418" s="28"/>
      <c r="R418" s="30" t="s">
        <v>3416</v>
      </c>
      <c r="S418" s="30" t="s">
        <v>53</v>
      </c>
      <c r="T418" s="30"/>
      <c r="U418" s="28" t="s">
        <v>1929</v>
      </c>
      <c r="V418" s="30" t="s">
        <v>63</v>
      </c>
      <c r="W418" s="30" t="s">
        <v>3409</v>
      </c>
      <c r="X418" s="32">
        <v>44652</v>
      </c>
      <c r="Y418" s="32">
        <v>46569</v>
      </c>
      <c r="Z418" s="30" t="s">
        <v>65</v>
      </c>
      <c r="AA418" s="28" t="s">
        <v>66</v>
      </c>
      <c r="AB418" s="28" t="s">
        <v>67</v>
      </c>
      <c r="AC418" s="29"/>
      <c r="AD418" s="28">
        <v>0</v>
      </c>
      <c r="AE418" s="29"/>
      <c r="AF418" s="31"/>
      <c r="AG418" s="30" t="s">
        <v>1579</v>
      </c>
      <c r="AH418" s="28"/>
      <c r="AI418" s="28" t="s">
        <v>53</v>
      </c>
      <c r="AJ418" s="33">
        <v>35102</v>
      </c>
      <c r="AK418" s="28">
        <v>3</v>
      </c>
      <c r="AL418" s="28">
        <v>26</v>
      </c>
      <c r="AM418" s="21"/>
      <c r="AN418" s="27"/>
      <c r="AO418" s="27"/>
      <c r="AP418" s="27"/>
      <c r="AQ418" s="27"/>
    </row>
    <row r="419" spans="1:43" ht="15.75" customHeight="1">
      <c r="A419" s="28">
        <v>3</v>
      </c>
      <c r="B419" s="29" t="s">
        <v>3417</v>
      </c>
      <c r="C419" s="30" t="s">
        <v>3418</v>
      </c>
      <c r="D419" s="31" t="s">
        <v>3419</v>
      </c>
      <c r="E419" s="30" t="s">
        <v>72</v>
      </c>
      <c r="F419" s="30" t="s">
        <v>50</v>
      </c>
      <c r="G419" s="30" t="s">
        <v>51</v>
      </c>
      <c r="H419" s="28" t="s">
        <v>52</v>
      </c>
      <c r="I419" s="30"/>
      <c r="J419" s="30" t="s">
        <v>53</v>
      </c>
      <c r="K419" s="30" t="s">
        <v>3420</v>
      </c>
      <c r="L419" s="30" t="s">
        <v>55</v>
      </c>
      <c r="M419" s="30" t="s">
        <v>1573</v>
      </c>
      <c r="N419" s="30" t="s">
        <v>3421</v>
      </c>
      <c r="O419" s="30" t="s">
        <v>2753</v>
      </c>
      <c r="P419" s="30" t="s">
        <v>3422</v>
      </c>
      <c r="Q419" s="28"/>
      <c r="R419" s="30" t="s">
        <v>3423</v>
      </c>
      <c r="S419" s="30" t="s">
        <v>53</v>
      </c>
      <c r="T419" s="30"/>
      <c r="U419" s="28" t="s">
        <v>1657</v>
      </c>
      <c r="V419" s="30" t="s">
        <v>63</v>
      </c>
      <c r="W419" s="30" t="s">
        <v>3409</v>
      </c>
      <c r="X419" s="32">
        <v>44682</v>
      </c>
      <c r="Y419" s="32">
        <v>46266</v>
      </c>
      <c r="Z419" s="30" t="s">
        <v>65</v>
      </c>
      <c r="AA419" s="28" t="s">
        <v>66</v>
      </c>
      <c r="AB419" s="28" t="s">
        <v>67</v>
      </c>
      <c r="AC419" s="29"/>
      <c r="AD419" s="28">
        <v>0</v>
      </c>
      <c r="AE419" s="29"/>
      <c r="AF419" s="31"/>
      <c r="AG419" s="30" t="s">
        <v>1579</v>
      </c>
      <c r="AH419" s="28" t="s">
        <v>122</v>
      </c>
      <c r="AI419" s="28" t="s">
        <v>53</v>
      </c>
      <c r="AJ419" s="33">
        <v>37737</v>
      </c>
      <c r="AK419" s="28">
        <v>3</v>
      </c>
      <c r="AL419" s="28">
        <v>26</v>
      </c>
      <c r="AM419" s="21"/>
      <c r="AN419" s="27"/>
      <c r="AO419" s="27"/>
      <c r="AP419" s="27"/>
      <c r="AQ419" s="27"/>
    </row>
    <row r="420" spans="1:43" ht="15.75" customHeight="1">
      <c r="A420" s="28">
        <v>4</v>
      </c>
      <c r="B420" s="29" t="s">
        <v>3424</v>
      </c>
      <c r="C420" s="30" t="s">
        <v>3425</v>
      </c>
      <c r="D420" s="31" t="s">
        <v>3426</v>
      </c>
      <c r="E420" s="30" t="s">
        <v>49</v>
      </c>
      <c r="F420" s="30" t="s">
        <v>50</v>
      </c>
      <c r="G420" s="30" t="s">
        <v>51</v>
      </c>
      <c r="H420" s="28" t="s">
        <v>85</v>
      </c>
      <c r="I420" s="30"/>
      <c r="J420" s="30" t="s">
        <v>53</v>
      </c>
      <c r="K420" s="30" t="s">
        <v>3427</v>
      </c>
      <c r="L420" s="30" t="s">
        <v>55</v>
      </c>
      <c r="M420" s="30" t="s">
        <v>1573</v>
      </c>
      <c r="N420" s="30" t="s">
        <v>3428</v>
      </c>
      <c r="O420" s="30" t="s">
        <v>3429</v>
      </c>
      <c r="P420" s="30" t="s">
        <v>3430</v>
      </c>
      <c r="Q420" s="28"/>
      <c r="R420" s="30" t="s">
        <v>3431</v>
      </c>
      <c r="S420" s="30" t="s">
        <v>53</v>
      </c>
      <c r="T420" s="30"/>
      <c r="U420" s="28" t="s">
        <v>1657</v>
      </c>
      <c r="V420" s="30" t="s">
        <v>63</v>
      </c>
      <c r="W420" s="30" t="s">
        <v>3409</v>
      </c>
      <c r="X420" s="32">
        <v>44652</v>
      </c>
      <c r="Y420" s="32">
        <v>46296</v>
      </c>
      <c r="Z420" s="30" t="s">
        <v>65</v>
      </c>
      <c r="AA420" s="28" t="s">
        <v>66</v>
      </c>
      <c r="AB420" s="28" t="s">
        <v>67</v>
      </c>
      <c r="AC420" s="29"/>
      <c r="AD420" s="28">
        <v>0</v>
      </c>
      <c r="AE420" s="29"/>
      <c r="AF420" s="31"/>
      <c r="AG420" s="30" t="s">
        <v>1579</v>
      </c>
      <c r="AH420" s="28"/>
      <c r="AI420" s="28" t="s">
        <v>53</v>
      </c>
      <c r="AJ420" s="33">
        <v>37908</v>
      </c>
      <c r="AK420" s="28">
        <v>3</v>
      </c>
      <c r="AL420" s="28">
        <v>25</v>
      </c>
      <c r="AM420" s="21"/>
      <c r="AN420" s="27"/>
      <c r="AO420" s="27"/>
      <c r="AP420" s="27"/>
      <c r="AQ420" s="27"/>
    </row>
    <row r="421" spans="1:43" ht="15.75" customHeight="1">
      <c r="A421" s="28">
        <v>5</v>
      </c>
      <c r="B421" s="29" t="s">
        <v>3432</v>
      </c>
      <c r="C421" s="30" t="s">
        <v>3433</v>
      </c>
      <c r="D421" s="31" t="s">
        <v>3434</v>
      </c>
      <c r="E421" s="30" t="s">
        <v>72</v>
      </c>
      <c r="F421" s="30" t="s">
        <v>50</v>
      </c>
      <c r="G421" s="30" t="s">
        <v>51</v>
      </c>
      <c r="H421" s="28" t="s">
        <v>52</v>
      </c>
      <c r="I421" s="30"/>
      <c r="J421" s="30" t="s">
        <v>53</v>
      </c>
      <c r="K421" s="30" t="s">
        <v>3435</v>
      </c>
      <c r="L421" s="30" t="s">
        <v>55</v>
      </c>
      <c r="M421" s="30" t="s">
        <v>656</v>
      </c>
      <c r="N421" s="30" t="s">
        <v>3436</v>
      </c>
      <c r="O421" s="30" t="s">
        <v>1776</v>
      </c>
      <c r="P421" s="30" t="s">
        <v>3437</v>
      </c>
      <c r="Q421" s="28" t="s">
        <v>3438</v>
      </c>
      <c r="R421" s="30" t="s">
        <v>3439</v>
      </c>
      <c r="S421" s="30" t="s">
        <v>53</v>
      </c>
      <c r="T421" s="30"/>
      <c r="U421" s="28" t="s">
        <v>3440</v>
      </c>
      <c r="V421" s="30" t="s">
        <v>63</v>
      </c>
      <c r="W421" s="30" t="s">
        <v>3409</v>
      </c>
      <c r="X421" s="32">
        <v>44866</v>
      </c>
      <c r="Y421" s="32">
        <v>45778</v>
      </c>
      <c r="Z421" s="30" t="s">
        <v>65</v>
      </c>
      <c r="AA421" s="28" t="s">
        <v>246</v>
      </c>
      <c r="AB421" s="28" t="s">
        <v>67</v>
      </c>
      <c r="AC421" s="29"/>
      <c r="AD421" s="28">
        <v>0</v>
      </c>
      <c r="AE421" s="29"/>
      <c r="AF421" s="31"/>
      <c r="AG421" s="30" t="s">
        <v>1579</v>
      </c>
      <c r="AH421" s="28"/>
      <c r="AI421" s="28" t="s">
        <v>53</v>
      </c>
      <c r="AJ421" s="33">
        <v>34100</v>
      </c>
      <c r="AK421" s="28">
        <v>3</v>
      </c>
      <c r="AL421" s="28">
        <v>25</v>
      </c>
      <c r="AM421" s="21"/>
      <c r="AN421" s="27"/>
      <c r="AO421" s="27"/>
      <c r="AP421" s="27"/>
      <c r="AQ421" s="27"/>
    </row>
    <row r="422" spans="1:43" ht="15.75" customHeight="1">
      <c r="A422" s="28">
        <v>6</v>
      </c>
      <c r="B422" s="29" t="s">
        <v>3441</v>
      </c>
      <c r="C422" s="30"/>
      <c r="D422" s="31" t="s">
        <v>3442</v>
      </c>
      <c r="E422" s="30" t="s">
        <v>49</v>
      </c>
      <c r="F422" s="30" t="s">
        <v>50</v>
      </c>
      <c r="G422" s="30" t="s">
        <v>51</v>
      </c>
      <c r="H422" s="28" t="s">
        <v>85</v>
      </c>
      <c r="I422" s="30"/>
      <c r="J422" s="30" t="s">
        <v>53</v>
      </c>
      <c r="K422" s="30" t="s">
        <v>3443</v>
      </c>
      <c r="L422" s="30" t="s">
        <v>55</v>
      </c>
      <c r="M422" s="30" t="s">
        <v>250</v>
      </c>
      <c r="N422" s="30" t="s">
        <v>3444</v>
      </c>
      <c r="O422" s="30" t="s">
        <v>3445</v>
      </c>
      <c r="P422" s="30" t="s">
        <v>3446</v>
      </c>
      <c r="Q422" s="28"/>
      <c r="R422" s="30" t="s">
        <v>3447</v>
      </c>
      <c r="S422" s="30" t="s">
        <v>53</v>
      </c>
      <c r="T422" s="30"/>
      <c r="U422" s="28" t="s">
        <v>308</v>
      </c>
      <c r="V422" s="30" t="s">
        <v>63</v>
      </c>
      <c r="W422" s="30" t="s">
        <v>3409</v>
      </c>
      <c r="X422" s="32">
        <v>44593</v>
      </c>
      <c r="Y422" s="32">
        <v>45992</v>
      </c>
      <c r="Z422" s="30" t="s">
        <v>65</v>
      </c>
      <c r="AA422" s="28" t="s">
        <v>66</v>
      </c>
      <c r="AB422" s="28" t="s">
        <v>67</v>
      </c>
      <c r="AC422" s="29"/>
      <c r="AD422" s="28">
        <v>0</v>
      </c>
      <c r="AE422" s="29"/>
      <c r="AF422" s="31"/>
      <c r="AG422" s="30" t="s">
        <v>1579</v>
      </c>
      <c r="AH422" s="28"/>
      <c r="AI422" s="28" t="s">
        <v>53</v>
      </c>
      <c r="AJ422" s="33">
        <v>37966</v>
      </c>
      <c r="AK422" s="28">
        <v>4</v>
      </c>
      <c r="AL422" s="28">
        <v>24</v>
      </c>
      <c r="AM422" s="21"/>
      <c r="AN422" s="27"/>
      <c r="AO422" s="27"/>
      <c r="AP422" s="27"/>
      <c r="AQ422" s="27"/>
    </row>
    <row r="423" spans="1:43" ht="15.75" customHeight="1">
      <c r="A423" s="28">
        <v>7</v>
      </c>
      <c r="B423" s="29" t="s">
        <v>3448</v>
      </c>
      <c r="C423" s="30"/>
      <c r="D423" s="31" t="s">
        <v>3449</v>
      </c>
      <c r="E423" s="30" t="s">
        <v>72</v>
      </c>
      <c r="F423" s="30" t="s">
        <v>50</v>
      </c>
      <c r="G423" s="30" t="s">
        <v>51</v>
      </c>
      <c r="H423" s="28" t="s">
        <v>85</v>
      </c>
      <c r="I423" s="30"/>
      <c r="J423" s="30" t="s">
        <v>53</v>
      </c>
      <c r="K423" s="30" t="s">
        <v>3450</v>
      </c>
      <c r="L423" s="30" t="s">
        <v>55</v>
      </c>
      <c r="M423" s="30" t="s">
        <v>656</v>
      </c>
      <c r="N423" s="30" t="s">
        <v>3451</v>
      </c>
      <c r="O423" s="30" t="s">
        <v>2199</v>
      </c>
      <c r="P423" s="30" t="s">
        <v>3452</v>
      </c>
      <c r="Q423" s="28" t="s">
        <v>3453</v>
      </c>
      <c r="R423" s="30" t="s">
        <v>3454</v>
      </c>
      <c r="S423" s="30" t="s">
        <v>53</v>
      </c>
      <c r="T423" s="30"/>
      <c r="U423" s="28" t="s">
        <v>1657</v>
      </c>
      <c r="V423" s="30" t="s">
        <v>63</v>
      </c>
      <c r="W423" s="30" t="s">
        <v>3409</v>
      </c>
      <c r="X423" s="32">
        <v>44378</v>
      </c>
      <c r="Y423" s="32">
        <v>46204</v>
      </c>
      <c r="Z423" s="30" t="s">
        <v>65</v>
      </c>
      <c r="AA423" s="28" t="s">
        <v>246</v>
      </c>
      <c r="AB423" s="28" t="s">
        <v>67</v>
      </c>
      <c r="AC423" s="29"/>
      <c r="AD423" s="28">
        <v>0</v>
      </c>
      <c r="AE423" s="29"/>
      <c r="AF423" s="31"/>
      <c r="AG423" s="30" t="s">
        <v>1579</v>
      </c>
      <c r="AH423" s="28"/>
      <c r="AI423" s="28" t="s">
        <v>53</v>
      </c>
      <c r="AJ423" s="33">
        <v>37128</v>
      </c>
      <c r="AK423" s="28">
        <v>5</v>
      </c>
      <c r="AL423" s="28">
        <v>23</v>
      </c>
      <c r="AM423" s="21"/>
      <c r="AN423" s="27"/>
      <c r="AO423" s="27"/>
      <c r="AP423" s="27"/>
      <c r="AQ423" s="27"/>
    </row>
    <row r="424" spans="1:43" ht="15.75" customHeight="1">
      <c r="A424" s="28">
        <v>8</v>
      </c>
      <c r="B424" s="29" t="s">
        <v>3455</v>
      </c>
      <c r="C424" s="30"/>
      <c r="D424" s="31" t="s">
        <v>3456</v>
      </c>
      <c r="E424" s="30" t="s">
        <v>72</v>
      </c>
      <c r="F424" s="30" t="s">
        <v>50</v>
      </c>
      <c r="G424" s="30" t="s">
        <v>51</v>
      </c>
      <c r="H424" s="28" t="s">
        <v>52</v>
      </c>
      <c r="I424" s="30"/>
      <c r="J424" s="30" t="s">
        <v>53</v>
      </c>
      <c r="K424" s="30" t="s">
        <v>3457</v>
      </c>
      <c r="L424" s="30" t="s">
        <v>55</v>
      </c>
      <c r="M424" s="30" t="s">
        <v>1573</v>
      </c>
      <c r="N424" s="30" t="s">
        <v>3458</v>
      </c>
      <c r="O424" s="30" t="s">
        <v>3459</v>
      </c>
      <c r="P424" s="30" t="s">
        <v>3460</v>
      </c>
      <c r="Q424" s="28"/>
      <c r="R424" s="30" t="s">
        <v>3461</v>
      </c>
      <c r="S424" s="30" t="s">
        <v>53</v>
      </c>
      <c r="T424" s="30"/>
      <c r="U424" s="28" t="s">
        <v>3462</v>
      </c>
      <c r="V424" s="30" t="s">
        <v>63</v>
      </c>
      <c r="W424" s="30" t="s">
        <v>3409</v>
      </c>
      <c r="X424" s="32">
        <v>44774</v>
      </c>
      <c r="Y424" s="32">
        <v>45474</v>
      </c>
      <c r="Z424" s="30" t="s">
        <v>65</v>
      </c>
      <c r="AA424" s="28" t="s">
        <v>66</v>
      </c>
      <c r="AB424" s="28" t="s">
        <v>67</v>
      </c>
      <c r="AC424" s="29"/>
      <c r="AD424" s="28">
        <v>0</v>
      </c>
      <c r="AE424" s="29"/>
      <c r="AF424" s="31"/>
      <c r="AG424" s="30" t="s">
        <v>1579</v>
      </c>
      <c r="AH424" s="28"/>
      <c r="AI424" s="28" t="s">
        <v>53</v>
      </c>
      <c r="AJ424" s="33">
        <v>37896</v>
      </c>
      <c r="AK424" s="28">
        <v>3</v>
      </c>
      <c r="AL424" s="28">
        <v>22</v>
      </c>
      <c r="AM424" s="21"/>
      <c r="AN424" s="27"/>
      <c r="AO424" s="27"/>
      <c r="AP424" s="27"/>
      <c r="AQ424" s="27"/>
    </row>
    <row r="425" spans="1:43" ht="15.75" customHeight="1">
      <c r="A425" s="28">
        <v>9</v>
      </c>
      <c r="B425" s="29" t="s">
        <v>3463</v>
      </c>
      <c r="C425" s="30"/>
      <c r="D425" s="31" t="s">
        <v>3464</v>
      </c>
      <c r="E425" s="30" t="s">
        <v>49</v>
      </c>
      <c r="F425" s="30" t="s">
        <v>50</v>
      </c>
      <c r="G425" s="30" t="s">
        <v>51</v>
      </c>
      <c r="H425" s="28" t="s">
        <v>85</v>
      </c>
      <c r="I425" s="30"/>
      <c r="J425" s="30" t="s">
        <v>53</v>
      </c>
      <c r="K425" s="30" t="s">
        <v>3435</v>
      </c>
      <c r="L425" s="30" t="s">
        <v>55</v>
      </c>
      <c r="M425" s="30" t="s">
        <v>1573</v>
      </c>
      <c r="N425" s="30" t="s">
        <v>3465</v>
      </c>
      <c r="O425" s="30" t="s">
        <v>1776</v>
      </c>
      <c r="P425" s="30" t="s">
        <v>3466</v>
      </c>
      <c r="Q425" s="28" t="s">
        <v>3467</v>
      </c>
      <c r="R425" s="30" t="s">
        <v>3468</v>
      </c>
      <c r="S425" s="30" t="s">
        <v>53</v>
      </c>
      <c r="T425" s="30"/>
      <c r="U425" s="28" t="s">
        <v>2726</v>
      </c>
      <c r="V425" s="30" t="s">
        <v>63</v>
      </c>
      <c r="W425" s="30" t="s">
        <v>3409</v>
      </c>
      <c r="X425" s="32">
        <v>44743</v>
      </c>
      <c r="Y425" s="32">
        <v>46174</v>
      </c>
      <c r="Z425" s="30" t="s">
        <v>65</v>
      </c>
      <c r="AA425" s="28" t="s">
        <v>66</v>
      </c>
      <c r="AB425" s="28" t="s">
        <v>67</v>
      </c>
      <c r="AC425" s="29"/>
      <c r="AD425" s="28">
        <v>0</v>
      </c>
      <c r="AE425" s="29"/>
      <c r="AF425" s="31"/>
      <c r="AG425" s="30" t="s">
        <v>1579</v>
      </c>
      <c r="AH425" s="28"/>
      <c r="AI425" s="28" t="s">
        <v>53</v>
      </c>
      <c r="AJ425" s="33">
        <v>37575</v>
      </c>
      <c r="AK425" s="28">
        <v>3</v>
      </c>
      <c r="AL425" s="28">
        <v>22</v>
      </c>
      <c r="AM425" s="21"/>
      <c r="AN425" s="27"/>
      <c r="AO425" s="27"/>
      <c r="AP425" s="27"/>
      <c r="AQ425" s="27"/>
    </row>
    <row r="426" spans="1:43" ht="15.75" customHeight="1">
      <c r="A426" s="28">
        <v>10</v>
      </c>
      <c r="B426" s="29" t="s">
        <v>3469</v>
      </c>
      <c r="C426" s="30"/>
      <c r="D426" s="31" t="s">
        <v>3470</v>
      </c>
      <c r="E426" s="30" t="s">
        <v>49</v>
      </c>
      <c r="F426" s="30" t="s">
        <v>50</v>
      </c>
      <c r="G426" s="30" t="s">
        <v>51</v>
      </c>
      <c r="H426" s="28" t="s">
        <v>85</v>
      </c>
      <c r="I426" s="30"/>
      <c r="J426" s="30" t="s">
        <v>53</v>
      </c>
      <c r="K426" s="30" t="s">
        <v>3471</v>
      </c>
      <c r="L426" s="30" t="s">
        <v>55</v>
      </c>
      <c r="M426" s="30" t="s">
        <v>1573</v>
      </c>
      <c r="N426" s="30" t="s">
        <v>3472</v>
      </c>
      <c r="O426" s="30" t="s">
        <v>2679</v>
      </c>
      <c r="P426" s="30" t="s">
        <v>3473</v>
      </c>
      <c r="Q426" s="28"/>
      <c r="R426" s="30" t="s">
        <v>3474</v>
      </c>
      <c r="S426" s="30" t="s">
        <v>53</v>
      </c>
      <c r="T426" s="30"/>
      <c r="U426" s="28" t="s">
        <v>765</v>
      </c>
      <c r="V426" s="30" t="s">
        <v>63</v>
      </c>
      <c r="W426" s="30" t="s">
        <v>3409</v>
      </c>
      <c r="X426" s="32">
        <v>44593</v>
      </c>
      <c r="Y426" s="32">
        <v>46357</v>
      </c>
      <c r="Z426" s="30" t="s">
        <v>65</v>
      </c>
      <c r="AA426" s="28" t="s">
        <v>134</v>
      </c>
      <c r="AB426" s="28" t="s">
        <v>67</v>
      </c>
      <c r="AC426" s="29"/>
      <c r="AD426" s="28">
        <v>0</v>
      </c>
      <c r="AE426" s="29"/>
      <c r="AF426" s="31"/>
      <c r="AG426" s="30" t="s">
        <v>1579</v>
      </c>
      <c r="AH426" s="28"/>
      <c r="AI426" s="28" t="s">
        <v>53</v>
      </c>
      <c r="AJ426" s="33">
        <v>37864</v>
      </c>
      <c r="AK426" s="28">
        <v>4</v>
      </c>
      <c r="AL426" s="28">
        <v>22</v>
      </c>
      <c r="AM426" s="21"/>
      <c r="AN426" s="27"/>
      <c r="AO426" s="27"/>
      <c r="AP426" s="27"/>
      <c r="AQ426" s="27"/>
    </row>
    <row r="427" spans="1:43" ht="15.75" customHeight="1">
      <c r="A427" s="28">
        <v>11</v>
      </c>
      <c r="B427" s="29" t="s">
        <v>3475</v>
      </c>
      <c r="C427" s="30"/>
      <c r="D427" s="31" t="s">
        <v>3476</v>
      </c>
      <c r="E427" s="30" t="s">
        <v>49</v>
      </c>
      <c r="F427" s="30" t="s">
        <v>50</v>
      </c>
      <c r="G427" s="30" t="s">
        <v>51</v>
      </c>
      <c r="H427" s="28" t="s">
        <v>191</v>
      </c>
      <c r="I427" s="30"/>
      <c r="J427" s="30" t="s">
        <v>53</v>
      </c>
      <c r="K427" s="30" t="s">
        <v>3477</v>
      </c>
      <c r="L427" s="30" t="s">
        <v>55</v>
      </c>
      <c r="M427" s="30" t="s">
        <v>1573</v>
      </c>
      <c r="N427" s="30" t="s">
        <v>3478</v>
      </c>
      <c r="O427" s="30" t="s">
        <v>1646</v>
      </c>
      <c r="P427" s="30" t="s">
        <v>3479</v>
      </c>
      <c r="Q427" s="28" t="s">
        <v>3480</v>
      </c>
      <c r="R427" s="30" t="s">
        <v>3481</v>
      </c>
      <c r="S427" s="30" t="s">
        <v>53</v>
      </c>
      <c r="T427" s="30"/>
      <c r="U427" s="28" t="s">
        <v>765</v>
      </c>
      <c r="V427" s="30" t="s">
        <v>63</v>
      </c>
      <c r="W427" s="30" t="s">
        <v>3409</v>
      </c>
      <c r="X427" s="32">
        <v>44593</v>
      </c>
      <c r="Y427" s="32">
        <v>46357</v>
      </c>
      <c r="Z427" s="30" t="s">
        <v>65</v>
      </c>
      <c r="AA427" s="28" t="s">
        <v>134</v>
      </c>
      <c r="AB427" s="28" t="s">
        <v>67</v>
      </c>
      <c r="AC427" s="29"/>
      <c r="AD427" s="28">
        <v>0</v>
      </c>
      <c r="AE427" s="29"/>
      <c r="AF427" s="31"/>
      <c r="AG427" s="30" t="s">
        <v>1579</v>
      </c>
      <c r="AH427" s="28" t="s">
        <v>431</v>
      </c>
      <c r="AI427" s="28" t="s">
        <v>53</v>
      </c>
      <c r="AJ427" s="33">
        <v>37823</v>
      </c>
      <c r="AK427" s="28">
        <v>4</v>
      </c>
      <c r="AL427" s="28">
        <v>22</v>
      </c>
      <c r="AM427" s="21"/>
      <c r="AN427" s="27"/>
      <c r="AO427" s="27"/>
      <c r="AP427" s="27"/>
      <c r="AQ427" s="27"/>
    </row>
    <row r="428" spans="1:43" ht="15.75" customHeight="1">
      <c r="A428" s="28">
        <v>12</v>
      </c>
      <c r="B428" s="29" t="s">
        <v>3482</v>
      </c>
      <c r="C428" s="30"/>
      <c r="D428" s="31" t="s">
        <v>3483</v>
      </c>
      <c r="E428" s="30" t="s">
        <v>49</v>
      </c>
      <c r="F428" s="30" t="s">
        <v>50</v>
      </c>
      <c r="G428" s="30" t="s">
        <v>51</v>
      </c>
      <c r="H428" s="28" t="s">
        <v>85</v>
      </c>
      <c r="I428" s="30"/>
      <c r="J428" s="30" t="s">
        <v>53</v>
      </c>
      <c r="K428" s="30" t="s">
        <v>3484</v>
      </c>
      <c r="L428" s="30" t="s">
        <v>55</v>
      </c>
      <c r="M428" s="30" t="s">
        <v>1573</v>
      </c>
      <c r="N428" s="30" t="s">
        <v>3485</v>
      </c>
      <c r="O428" s="30" t="s">
        <v>650</v>
      </c>
      <c r="P428" s="30" t="s">
        <v>3486</v>
      </c>
      <c r="Q428" s="28"/>
      <c r="R428" s="30" t="s">
        <v>3487</v>
      </c>
      <c r="S428" s="30" t="s">
        <v>53</v>
      </c>
      <c r="T428" s="30"/>
      <c r="U428" s="28" t="s">
        <v>1692</v>
      </c>
      <c r="V428" s="30" t="s">
        <v>63</v>
      </c>
      <c r="W428" s="30" t="s">
        <v>3409</v>
      </c>
      <c r="X428" s="32">
        <v>44927</v>
      </c>
      <c r="Y428" s="32">
        <v>46388</v>
      </c>
      <c r="Z428" s="30" t="s">
        <v>65</v>
      </c>
      <c r="AA428" s="28" t="s">
        <v>134</v>
      </c>
      <c r="AB428" s="28" t="s">
        <v>67</v>
      </c>
      <c r="AC428" s="29"/>
      <c r="AD428" s="28">
        <v>0</v>
      </c>
      <c r="AE428" s="29"/>
      <c r="AF428" s="31"/>
      <c r="AG428" s="30" t="s">
        <v>1579</v>
      </c>
      <c r="AH428" s="28"/>
      <c r="AI428" s="28" t="s">
        <v>53</v>
      </c>
      <c r="AJ428" s="33">
        <v>38224</v>
      </c>
      <c r="AK428" s="28">
        <v>3</v>
      </c>
      <c r="AL428" s="28">
        <v>21</v>
      </c>
      <c r="AM428" s="21"/>
      <c r="AN428" s="27"/>
      <c r="AO428" s="27"/>
      <c r="AP428" s="27"/>
      <c r="AQ428" s="27"/>
    </row>
    <row r="429" spans="1:43" ht="15.75" customHeight="1">
      <c r="A429" s="28">
        <v>13</v>
      </c>
      <c r="B429" s="29" t="s">
        <v>3488</v>
      </c>
      <c r="C429" s="30"/>
      <c r="D429" s="31" t="s">
        <v>3489</v>
      </c>
      <c r="E429" s="30" t="s">
        <v>72</v>
      </c>
      <c r="F429" s="30" t="s">
        <v>50</v>
      </c>
      <c r="G429" s="30" t="s">
        <v>51</v>
      </c>
      <c r="H429" s="28" t="s">
        <v>85</v>
      </c>
      <c r="I429" s="30"/>
      <c r="J429" s="30" t="s">
        <v>53</v>
      </c>
      <c r="K429" s="30" t="s">
        <v>3490</v>
      </c>
      <c r="L429" s="30" t="s">
        <v>55</v>
      </c>
      <c r="M429" s="30" t="s">
        <v>1573</v>
      </c>
      <c r="N429" s="30" t="s">
        <v>3491</v>
      </c>
      <c r="O429" s="30" t="s">
        <v>1575</v>
      </c>
      <c r="P429" s="30" t="s">
        <v>3492</v>
      </c>
      <c r="Q429" s="28"/>
      <c r="R429" s="30" t="s">
        <v>3493</v>
      </c>
      <c r="S429" s="30" t="s">
        <v>53</v>
      </c>
      <c r="T429" s="30"/>
      <c r="U429" s="28" t="s">
        <v>1657</v>
      </c>
      <c r="V429" s="30" t="s">
        <v>63</v>
      </c>
      <c r="W429" s="30" t="s">
        <v>3409</v>
      </c>
      <c r="X429" s="32">
        <v>44682</v>
      </c>
      <c r="Y429" s="32">
        <v>46235</v>
      </c>
      <c r="Z429" s="30" t="s">
        <v>65</v>
      </c>
      <c r="AA429" s="28" t="s">
        <v>66</v>
      </c>
      <c r="AB429" s="28" t="s">
        <v>67</v>
      </c>
      <c r="AC429" s="29"/>
      <c r="AD429" s="28">
        <v>0</v>
      </c>
      <c r="AE429" s="29"/>
      <c r="AF429" s="31"/>
      <c r="AG429" s="30" t="s">
        <v>1579</v>
      </c>
      <c r="AH429" s="28"/>
      <c r="AI429" s="28" t="s">
        <v>53</v>
      </c>
      <c r="AJ429" s="33">
        <v>36973</v>
      </c>
      <c r="AK429" s="28">
        <v>3</v>
      </c>
      <c r="AL429" s="28">
        <v>21</v>
      </c>
      <c r="AM429" s="21"/>
      <c r="AN429" s="27"/>
      <c r="AO429" s="27"/>
      <c r="AP429" s="27"/>
      <c r="AQ429" s="27"/>
    </row>
    <row r="430" spans="1:43" ht="15.75" customHeight="1">
      <c r="A430" s="28">
        <v>14</v>
      </c>
      <c r="B430" s="29" t="s">
        <v>3494</v>
      </c>
      <c r="C430" s="30"/>
      <c r="D430" s="31" t="s">
        <v>3495</v>
      </c>
      <c r="E430" s="30" t="s">
        <v>49</v>
      </c>
      <c r="F430" s="30" t="s">
        <v>50</v>
      </c>
      <c r="G430" s="30" t="s">
        <v>51</v>
      </c>
      <c r="H430" s="28" t="s">
        <v>85</v>
      </c>
      <c r="I430" s="30"/>
      <c r="J430" s="30" t="s">
        <v>53</v>
      </c>
      <c r="K430" s="30" t="s">
        <v>2325</v>
      </c>
      <c r="L430" s="30" t="s">
        <v>55</v>
      </c>
      <c r="M430" s="30" t="s">
        <v>1573</v>
      </c>
      <c r="N430" s="30" t="s">
        <v>3496</v>
      </c>
      <c r="O430" s="30" t="s">
        <v>2327</v>
      </c>
      <c r="P430" s="30" t="s">
        <v>3497</v>
      </c>
      <c r="Q430" s="28" t="s">
        <v>3498</v>
      </c>
      <c r="R430" s="30" t="s">
        <v>3499</v>
      </c>
      <c r="S430" s="30" t="s">
        <v>53</v>
      </c>
      <c r="T430" s="30"/>
      <c r="U430" s="28" t="s">
        <v>1898</v>
      </c>
      <c r="V430" s="30" t="s">
        <v>63</v>
      </c>
      <c r="W430" s="30" t="s">
        <v>3409</v>
      </c>
      <c r="X430" s="32">
        <v>44927</v>
      </c>
      <c r="Y430" s="32">
        <v>47088</v>
      </c>
      <c r="Z430" s="30" t="s">
        <v>65</v>
      </c>
      <c r="AA430" s="28" t="s">
        <v>134</v>
      </c>
      <c r="AB430" s="28" t="s">
        <v>67</v>
      </c>
      <c r="AC430" s="29"/>
      <c r="AD430" s="28">
        <v>0</v>
      </c>
      <c r="AE430" s="29"/>
      <c r="AF430" s="31"/>
      <c r="AG430" s="30" t="s">
        <v>1579</v>
      </c>
      <c r="AH430" s="28"/>
      <c r="AI430" s="28" t="s">
        <v>53</v>
      </c>
      <c r="AJ430" s="33">
        <v>37817</v>
      </c>
      <c r="AK430" s="28">
        <v>3</v>
      </c>
      <c r="AL430" s="28">
        <v>21</v>
      </c>
      <c r="AM430" s="21"/>
      <c r="AN430" s="27"/>
      <c r="AO430" s="27"/>
      <c r="AP430" s="27"/>
      <c r="AQ430" s="27"/>
    </row>
    <row r="431" spans="1:43" ht="15.75" customHeight="1">
      <c r="A431" s="28">
        <v>15</v>
      </c>
      <c r="B431" s="29" t="s">
        <v>3500</v>
      </c>
      <c r="C431" s="30" t="s">
        <v>3501</v>
      </c>
      <c r="D431" s="31" t="s">
        <v>3502</v>
      </c>
      <c r="E431" s="30" t="s">
        <v>49</v>
      </c>
      <c r="F431" s="30" t="s">
        <v>50</v>
      </c>
      <c r="G431" s="30" t="s">
        <v>51</v>
      </c>
      <c r="H431" s="28" t="s">
        <v>85</v>
      </c>
      <c r="I431" s="30"/>
      <c r="J431" s="30" t="s">
        <v>53</v>
      </c>
      <c r="K431" s="30" t="s">
        <v>3503</v>
      </c>
      <c r="L431" s="30" t="s">
        <v>55</v>
      </c>
      <c r="M431" s="30" t="s">
        <v>1573</v>
      </c>
      <c r="N431" s="30" t="s">
        <v>3504</v>
      </c>
      <c r="O431" s="30" t="s">
        <v>1834</v>
      </c>
      <c r="P431" s="30" t="s">
        <v>3505</v>
      </c>
      <c r="Q431" s="28" t="s">
        <v>3506</v>
      </c>
      <c r="R431" s="30" t="s">
        <v>3507</v>
      </c>
      <c r="S431" s="30" t="s">
        <v>53</v>
      </c>
      <c r="T431" s="30"/>
      <c r="U431" s="28" t="s">
        <v>3508</v>
      </c>
      <c r="V431" s="30" t="s">
        <v>63</v>
      </c>
      <c r="W431" s="30" t="s">
        <v>3409</v>
      </c>
      <c r="X431" s="32">
        <v>44682</v>
      </c>
      <c r="Y431" s="32">
        <v>46874</v>
      </c>
      <c r="Z431" s="30" t="s">
        <v>65</v>
      </c>
      <c r="AA431" s="28" t="s">
        <v>134</v>
      </c>
      <c r="AB431" s="28" t="s">
        <v>67</v>
      </c>
      <c r="AC431" s="29"/>
      <c r="AD431" s="28">
        <v>0</v>
      </c>
      <c r="AE431" s="29"/>
      <c r="AF431" s="31"/>
      <c r="AG431" s="30" t="s">
        <v>1579</v>
      </c>
      <c r="AH431" s="28"/>
      <c r="AI431" s="28" t="s">
        <v>53</v>
      </c>
      <c r="AJ431" s="33">
        <v>37715</v>
      </c>
      <c r="AK431" s="28">
        <v>3</v>
      </c>
      <c r="AL431" s="28">
        <v>21</v>
      </c>
      <c r="AM431" s="21"/>
      <c r="AN431" s="27"/>
      <c r="AO431" s="27"/>
      <c r="AP431" s="27"/>
      <c r="AQ431" s="27"/>
    </row>
    <row r="432" spans="1:43" ht="15.75" customHeight="1">
      <c r="A432" s="28">
        <v>16</v>
      </c>
      <c r="B432" s="29" t="s">
        <v>3509</v>
      </c>
      <c r="C432" s="30" t="s">
        <v>3510</v>
      </c>
      <c r="D432" s="31" t="s">
        <v>3511</v>
      </c>
      <c r="E432" s="30" t="s">
        <v>49</v>
      </c>
      <c r="F432" s="30" t="s">
        <v>50</v>
      </c>
      <c r="G432" s="30" t="s">
        <v>51</v>
      </c>
      <c r="H432" s="28" t="s">
        <v>85</v>
      </c>
      <c r="I432" s="30"/>
      <c r="J432" s="30" t="s">
        <v>53</v>
      </c>
      <c r="K432" s="30" t="s">
        <v>3512</v>
      </c>
      <c r="L432" s="30" t="s">
        <v>55</v>
      </c>
      <c r="M432" s="30" t="s">
        <v>1573</v>
      </c>
      <c r="N432" s="30" t="s">
        <v>3513</v>
      </c>
      <c r="O432" s="30" t="s">
        <v>437</v>
      </c>
      <c r="P432" s="30" t="s">
        <v>3514</v>
      </c>
      <c r="Q432" s="28"/>
      <c r="R432" s="30" t="s">
        <v>3515</v>
      </c>
      <c r="S432" s="30" t="s">
        <v>53</v>
      </c>
      <c r="T432" s="30"/>
      <c r="U432" s="28" t="s">
        <v>1692</v>
      </c>
      <c r="V432" s="30" t="s">
        <v>63</v>
      </c>
      <c r="W432" s="30" t="s">
        <v>3409</v>
      </c>
      <c r="X432" s="32">
        <v>45139</v>
      </c>
      <c r="Y432" s="32">
        <v>46023</v>
      </c>
      <c r="Z432" s="30" t="s">
        <v>65</v>
      </c>
      <c r="AA432" s="28" t="s">
        <v>246</v>
      </c>
      <c r="AB432" s="28" t="s">
        <v>67</v>
      </c>
      <c r="AC432" s="29"/>
      <c r="AD432" s="28">
        <v>0</v>
      </c>
      <c r="AE432" s="29"/>
      <c r="AF432" s="31"/>
      <c r="AG432" s="30" t="s">
        <v>1579</v>
      </c>
      <c r="AH432" s="28"/>
      <c r="AI432" s="28" t="s">
        <v>53</v>
      </c>
      <c r="AJ432" s="33">
        <v>37902</v>
      </c>
      <c r="AK432" s="28">
        <v>3</v>
      </c>
      <c r="AL432" s="28">
        <v>20</v>
      </c>
      <c r="AM432" s="21"/>
      <c r="AN432" s="27"/>
      <c r="AO432" s="27"/>
      <c r="AP432" s="27"/>
      <c r="AQ432" s="27"/>
    </row>
    <row r="433" spans="1:43" ht="15.75" customHeight="1">
      <c r="A433" s="28">
        <v>17</v>
      </c>
      <c r="B433" s="29" t="s">
        <v>3516</v>
      </c>
      <c r="C433" s="30" t="s">
        <v>3517</v>
      </c>
      <c r="D433" s="31" t="s">
        <v>3518</v>
      </c>
      <c r="E433" s="30" t="s">
        <v>49</v>
      </c>
      <c r="F433" s="30" t="s">
        <v>50</v>
      </c>
      <c r="G433" s="30" t="s">
        <v>51</v>
      </c>
      <c r="H433" s="28" t="s">
        <v>52</v>
      </c>
      <c r="I433" s="30"/>
      <c r="J433" s="30" t="s">
        <v>53</v>
      </c>
      <c r="K433" s="30" t="s">
        <v>3519</v>
      </c>
      <c r="L433" s="30" t="s">
        <v>55</v>
      </c>
      <c r="M433" s="30" t="s">
        <v>1573</v>
      </c>
      <c r="N433" s="30" t="s">
        <v>3520</v>
      </c>
      <c r="O433" s="30" t="s">
        <v>1868</v>
      </c>
      <c r="P433" s="30" t="s">
        <v>3521</v>
      </c>
      <c r="Q433" s="28"/>
      <c r="R433" s="30" t="s">
        <v>3522</v>
      </c>
      <c r="S433" s="30" t="s">
        <v>53</v>
      </c>
      <c r="T433" s="30"/>
      <c r="U433" s="28" t="s">
        <v>1732</v>
      </c>
      <c r="V433" s="30" t="s">
        <v>63</v>
      </c>
      <c r="W433" s="30" t="s">
        <v>3409</v>
      </c>
      <c r="X433" s="32">
        <v>43983</v>
      </c>
      <c r="Y433" s="32">
        <v>45627</v>
      </c>
      <c r="Z433" s="30" t="s">
        <v>65</v>
      </c>
      <c r="AA433" s="28" t="s">
        <v>66</v>
      </c>
      <c r="AB433" s="28" t="s">
        <v>67</v>
      </c>
      <c r="AC433" s="29"/>
      <c r="AD433" s="28">
        <v>0</v>
      </c>
      <c r="AE433" s="29"/>
      <c r="AF433" s="31"/>
      <c r="AG433" s="30" t="s">
        <v>1579</v>
      </c>
      <c r="AH433" s="28"/>
      <c r="AI433" s="28" t="s">
        <v>53</v>
      </c>
      <c r="AJ433" s="33">
        <v>35603</v>
      </c>
      <c r="AK433" s="28">
        <v>6</v>
      </c>
      <c r="AL433" s="28">
        <v>20</v>
      </c>
      <c r="AM433" s="21"/>
      <c r="AN433" s="27"/>
      <c r="AO433" s="27"/>
      <c r="AP433" s="27"/>
      <c r="AQ433" s="27"/>
    </row>
    <row r="434" spans="1:43" ht="15.75" customHeight="1">
      <c r="A434" s="28">
        <v>18</v>
      </c>
      <c r="B434" s="29" t="s">
        <v>3523</v>
      </c>
      <c r="C434" s="30"/>
      <c r="D434" s="31" t="s">
        <v>3524</v>
      </c>
      <c r="E434" s="30" t="s">
        <v>49</v>
      </c>
      <c r="F434" s="30" t="s">
        <v>50</v>
      </c>
      <c r="G434" s="30" t="s">
        <v>51</v>
      </c>
      <c r="H434" s="28" t="s">
        <v>85</v>
      </c>
      <c r="I434" s="30"/>
      <c r="J434" s="30" t="s">
        <v>53</v>
      </c>
      <c r="K434" s="30" t="s">
        <v>3525</v>
      </c>
      <c r="L434" s="30" t="s">
        <v>55</v>
      </c>
      <c r="M434" s="30" t="s">
        <v>1573</v>
      </c>
      <c r="N434" s="30" t="s">
        <v>3526</v>
      </c>
      <c r="O434" s="30" t="s">
        <v>3527</v>
      </c>
      <c r="P434" s="30" t="s">
        <v>3528</v>
      </c>
      <c r="Q434" s="28" t="s">
        <v>3529</v>
      </c>
      <c r="R434" s="30" t="s">
        <v>3530</v>
      </c>
      <c r="S434" s="30" t="s">
        <v>53</v>
      </c>
      <c r="T434" s="30"/>
      <c r="U434" s="28" t="s">
        <v>3531</v>
      </c>
      <c r="V434" s="30" t="s">
        <v>63</v>
      </c>
      <c r="W434" s="30" t="s">
        <v>3409</v>
      </c>
      <c r="X434" s="32">
        <v>44986</v>
      </c>
      <c r="Y434" s="32">
        <v>46357</v>
      </c>
      <c r="Z434" s="30" t="s">
        <v>65</v>
      </c>
      <c r="AA434" s="28" t="s">
        <v>134</v>
      </c>
      <c r="AB434" s="28" t="s">
        <v>67</v>
      </c>
      <c r="AC434" s="29"/>
      <c r="AD434" s="28">
        <v>0</v>
      </c>
      <c r="AE434" s="29"/>
      <c r="AF434" s="31"/>
      <c r="AG434" s="30" t="s">
        <v>1579</v>
      </c>
      <c r="AH434" s="28"/>
      <c r="AI434" s="28" t="s">
        <v>53</v>
      </c>
      <c r="AJ434" s="33">
        <v>38085</v>
      </c>
      <c r="AK434" s="28">
        <v>3</v>
      </c>
      <c r="AL434" s="28">
        <v>19</v>
      </c>
      <c r="AM434" s="21"/>
      <c r="AN434" s="27"/>
      <c r="AO434" s="27"/>
      <c r="AP434" s="27"/>
      <c r="AQ434" s="27"/>
    </row>
    <row r="435" spans="1:43" ht="15.75" customHeight="1">
      <c r="A435" s="28">
        <v>19</v>
      </c>
      <c r="B435" s="29" t="s">
        <v>3532</v>
      </c>
      <c r="C435" s="30"/>
      <c r="D435" s="31" t="s">
        <v>3533</v>
      </c>
      <c r="E435" s="30" t="s">
        <v>49</v>
      </c>
      <c r="F435" s="30" t="s">
        <v>50</v>
      </c>
      <c r="G435" s="30" t="s">
        <v>51</v>
      </c>
      <c r="H435" s="28" t="s">
        <v>85</v>
      </c>
      <c r="I435" s="30"/>
      <c r="J435" s="30" t="s">
        <v>53</v>
      </c>
      <c r="K435" s="30" t="s">
        <v>2101</v>
      </c>
      <c r="L435" s="30" t="s">
        <v>55</v>
      </c>
      <c r="M435" s="30" t="s">
        <v>1573</v>
      </c>
      <c r="N435" s="30" t="s">
        <v>3534</v>
      </c>
      <c r="O435" s="30" t="s">
        <v>1776</v>
      </c>
      <c r="P435" s="30" t="s">
        <v>3535</v>
      </c>
      <c r="Q435" s="28"/>
      <c r="R435" s="30" t="s">
        <v>3536</v>
      </c>
      <c r="S435" s="30" t="s">
        <v>53</v>
      </c>
      <c r="T435" s="30"/>
      <c r="U435" s="28" t="s">
        <v>765</v>
      </c>
      <c r="V435" s="30" t="s">
        <v>63</v>
      </c>
      <c r="W435" s="30" t="s">
        <v>3409</v>
      </c>
      <c r="X435" s="32">
        <v>44593</v>
      </c>
      <c r="Y435" s="32">
        <v>46357</v>
      </c>
      <c r="Z435" s="30" t="s">
        <v>65</v>
      </c>
      <c r="AA435" s="28" t="s">
        <v>134</v>
      </c>
      <c r="AB435" s="28" t="s">
        <v>67</v>
      </c>
      <c r="AC435" s="29"/>
      <c r="AD435" s="28">
        <v>0</v>
      </c>
      <c r="AE435" s="29"/>
      <c r="AF435" s="31"/>
      <c r="AG435" s="30" t="s">
        <v>1579</v>
      </c>
      <c r="AH435" s="28"/>
      <c r="AI435" s="28" t="s">
        <v>53</v>
      </c>
      <c r="AJ435" s="33">
        <v>37921</v>
      </c>
      <c r="AK435" s="28">
        <v>4</v>
      </c>
      <c r="AL435" s="28">
        <v>19</v>
      </c>
      <c r="AM435" s="21"/>
      <c r="AN435" s="27"/>
      <c r="AO435" s="27"/>
      <c r="AP435" s="27"/>
      <c r="AQ435" s="27"/>
    </row>
    <row r="436" spans="1:43" ht="15.75" customHeight="1">
      <c r="A436" s="28">
        <v>20</v>
      </c>
      <c r="B436" s="29" t="s">
        <v>3537</v>
      </c>
      <c r="C436" s="30"/>
      <c r="D436" s="31" t="s">
        <v>3538</v>
      </c>
      <c r="E436" s="30" t="s">
        <v>49</v>
      </c>
      <c r="F436" s="30" t="s">
        <v>50</v>
      </c>
      <c r="G436" s="30" t="s">
        <v>51</v>
      </c>
      <c r="H436" s="28" t="s">
        <v>85</v>
      </c>
      <c r="I436" s="30"/>
      <c r="J436" s="30" t="s">
        <v>53</v>
      </c>
      <c r="K436" s="30" t="s">
        <v>3539</v>
      </c>
      <c r="L436" s="30" t="s">
        <v>55</v>
      </c>
      <c r="M436" s="30" t="s">
        <v>1573</v>
      </c>
      <c r="N436" s="30" t="s">
        <v>3540</v>
      </c>
      <c r="O436" s="30" t="s">
        <v>3541</v>
      </c>
      <c r="P436" s="30" t="s">
        <v>3542</v>
      </c>
      <c r="Q436" s="28" t="s">
        <v>3543</v>
      </c>
      <c r="R436" s="30" t="s">
        <v>3544</v>
      </c>
      <c r="S436" s="30" t="s">
        <v>53</v>
      </c>
      <c r="T436" s="30"/>
      <c r="U436" s="28" t="s">
        <v>1732</v>
      </c>
      <c r="V436" s="30" t="s">
        <v>63</v>
      </c>
      <c r="W436" s="30" t="s">
        <v>3409</v>
      </c>
      <c r="X436" s="32">
        <v>42583</v>
      </c>
      <c r="Y436" s="32">
        <v>46966</v>
      </c>
      <c r="Z436" s="30" t="s">
        <v>65</v>
      </c>
      <c r="AA436" s="28" t="s">
        <v>134</v>
      </c>
      <c r="AB436" s="28" t="s">
        <v>67</v>
      </c>
      <c r="AC436" s="29"/>
      <c r="AD436" s="28">
        <v>0</v>
      </c>
      <c r="AE436" s="29"/>
      <c r="AF436" s="31"/>
      <c r="AG436" s="30" t="s">
        <v>1579</v>
      </c>
      <c r="AH436" s="28"/>
      <c r="AI436" s="28" t="s">
        <v>53</v>
      </c>
      <c r="AJ436" s="33">
        <v>35683</v>
      </c>
      <c r="AK436" s="28">
        <v>7</v>
      </c>
      <c r="AL436" s="28">
        <v>19</v>
      </c>
      <c r="AM436" s="21"/>
      <c r="AN436" s="27"/>
      <c r="AO436" s="27"/>
      <c r="AP436" s="27"/>
      <c r="AQ436" s="27"/>
    </row>
    <row r="437" spans="1:43" ht="15.75" customHeight="1">
      <c r="A437" s="28">
        <v>21</v>
      </c>
      <c r="B437" s="29" t="s">
        <v>3545</v>
      </c>
      <c r="C437" s="30" t="s">
        <v>3546</v>
      </c>
      <c r="D437" s="31" t="s">
        <v>3547</v>
      </c>
      <c r="E437" s="30" t="s">
        <v>49</v>
      </c>
      <c r="F437" s="30" t="s">
        <v>50</v>
      </c>
      <c r="G437" s="30" t="s">
        <v>51</v>
      </c>
      <c r="H437" s="28" t="s">
        <v>85</v>
      </c>
      <c r="I437" s="30"/>
      <c r="J437" s="30" t="s">
        <v>53</v>
      </c>
      <c r="K437" s="30" t="s">
        <v>3548</v>
      </c>
      <c r="L437" s="30" t="s">
        <v>55</v>
      </c>
      <c r="M437" s="30" t="s">
        <v>656</v>
      </c>
      <c r="N437" s="30" t="s">
        <v>3549</v>
      </c>
      <c r="O437" s="30" t="s">
        <v>2150</v>
      </c>
      <c r="P437" s="30" t="s">
        <v>3550</v>
      </c>
      <c r="Q437" s="28"/>
      <c r="R437" s="30" t="s">
        <v>3551</v>
      </c>
      <c r="S437" s="30" t="s">
        <v>53</v>
      </c>
      <c r="T437" s="30"/>
      <c r="U437" s="28" t="s">
        <v>3552</v>
      </c>
      <c r="V437" s="30" t="s">
        <v>63</v>
      </c>
      <c r="W437" s="30" t="s">
        <v>3409</v>
      </c>
      <c r="X437" s="32">
        <v>44958</v>
      </c>
      <c r="Y437" s="32">
        <v>46357</v>
      </c>
      <c r="Z437" s="30" t="s">
        <v>65</v>
      </c>
      <c r="AA437" s="28" t="s">
        <v>66</v>
      </c>
      <c r="AB437" s="28" t="s">
        <v>67</v>
      </c>
      <c r="AC437" s="29"/>
      <c r="AD437" s="28">
        <v>0</v>
      </c>
      <c r="AE437" s="29"/>
      <c r="AF437" s="31"/>
      <c r="AG437" s="30" t="s">
        <v>1579</v>
      </c>
      <c r="AH437" s="28"/>
      <c r="AI437" s="28" t="s">
        <v>53</v>
      </c>
      <c r="AJ437" s="33">
        <v>37693</v>
      </c>
      <c r="AK437" s="28">
        <v>8</v>
      </c>
      <c r="AL437" s="28">
        <v>18</v>
      </c>
      <c r="AM437" s="21"/>
      <c r="AN437" s="27"/>
      <c r="AO437" s="27"/>
      <c r="AP437" s="27"/>
      <c r="AQ437" s="27"/>
    </row>
    <row r="438" spans="1:43" ht="15.75" customHeight="1">
      <c r="A438" s="28">
        <v>22</v>
      </c>
      <c r="B438" s="29" t="s">
        <v>3553</v>
      </c>
      <c r="C438" s="30" t="s">
        <v>3554</v>
      </c>
      <c r="D438" s="31" t="s">
        <v>3555</v>
      </c>
      <c r="E438" s="30" t="s">
        <v>49</v>
      </c>
      <c r="F438" s="30" t="s">
        <v>50</v>
      </c>
      <c r="G438" s="30" t="s">
        <v>51</v>
      </c>
      <c r="H438" s="28" t="s">
        <v>52</v>
      </c>
      <c r="I438" s="30"/>
      <c r="J438" s="30" t="s">
        <v>53</v>
      </c>
      <c r="K438" s="30" t="s">
        <v>3556</v>
      </c>
      <c r="L438" s="30" t="s">
        <v>55</v>
      </c>
      <c r="M438" s="30" t="s">
        <v>656</v>
      </c>
      <c r="N438" s="30" t="s">
        <v>3557</v>
      </c>
      <c r="O438" s="30" t="s">
        <v>1662</v>
      </c>
      <c r="P438" s="30" t="s">
        <v>3558</v>
      </c>
      <c r="Q438" s="28" t="s">
        <v>3559</v>
      </c>
      <c r="R438" s="30" t="s">
        <v>3560</v>
      </c>
      <c r="S438" s="30" t="s">
        <v>53</v>
      </c>
      <c r="T438" s="30"/>
      <c r="U438" s="28" t="s">
        <v>3561</v>
      </c>
      <c r="V438" s="30" t="s">
        <v>63</v>
      </c>
      <c r="W438" s="30" t="s">
        <v>3409</v>
      </c>
      <c r="X438" s="32">
        <v>44621</v>
      </c>
      <c r="Y438" s="32">
        <v>45992</v>
      </c>
      <c r="Z438" s="30" t="s">
        <v>65</v>
      </c>
      <c r="AA438" s="28" t="s">
        <v>66</v>
      </c>
      <c r="AB438" s="28" t="s">
        <v>67</v>
      </c>
      <c r="AC438" s="29"/>
      <c r="AD438" s="28">
        <v>0</v>
      </c>
      <c r="AE438" s="29"/>
      <c r="AF438" s="31"/>
      <c r="AG438" s="30" t="s">
        <v>1579</v>
      </c>
      <c r="AH438" s="28"/>
      <c r="AI438" s="28" t="s">
        <v>53</v>
      </c>
      <c r="AJ438" s="33">
        <v>38093</v>
      </c>
      <c r="AK438" s="28">
        <v>4</v>
      </c>
      <c r="AL438" s="28">
        <v>18</v>
      </c>
      <c r="AM438" s="21"/>
      <c r="AN438" s="27"/>
      <c r="AO438" s="27"/>
      <c r="AP438" s="27"/>
      <c r="AQ438" s="27"/>
    </row>
    <row r="439" spans="1:43" ht="15.75" customHeight="1">
      <c r="A439" s="28">
        <v>23</v>
      </c>
      <c r="B439" s="29" t="s">
        <v>3562</v>
      </c>
      <c r="C439" s="30"/>
      <c r="D439" s="31" t="s">
        <v>3563</v>
      </c>
      <c r="E439" s="30" t="s">
        <v>49</v>
      </c>
      <c r="F439" s="30" t="s">
        <v>50</v>
      </c>
      <c r="G439" s="30" t="s">
        <v>51</v>
      </c>
      <c r="H439" s="28" t="s">
        <v>85</v>
      </c>
      <c r="I439" s="30"/>
      <c r="J439" s="30" t="s">
        <v>53</v>
      </c>
      <c r="K439" s="30" t="s">
        <v>3564</v>
      </c>
      <c r="L439" s="30" t="s">
        <v>55</v>
      </c>
      <c r="M439" s="30" t="s">
        <v>656</v>
      </c>
      <c r="N439" s="30" t="s">
        <v>3565</v>
      </c>
      <c r="O439" s="30" t="s">
        <v>3316</v>
      </c>
      <c r="P439" s="30" t="s">
        <v>3566</v>
      </c>
      <c r="Q439" s="28" t="s">
        <v>3567</v>
      </c>
      <c r="R439" s="30" t="s">
        <v>3568</v>
      </c>
      <c r="S439" s="30" t="s">
        <v>53</v>
      </c>
      <c r="T439" s="30"/>
      <c r="U439" s="28" t="s">
        <v>3569</v>
      </c>
      <c r="V439" s="30" t="s">
        <v>63</v>
      </c>
      <c r="W439" s="30" t="s">
        <v>3409</v>
      </c>
      <c r="X439" s="32">
        <v>44621</v>
      </c>
      <c r="Y439" s="32">
        <v>45992</v>
      </c>
      <c r="Z439" s="30" t="s">
        <v>65</v>
      </c>
      <c r="AA439" s="28" t="s">
        <v>66</v>
      </c>
      <c r="AB439" s="28" t="s">
        <v>67</v>
      </c>
      <c r="AC439" s="29"/>
      <c r="AD439" s="28">
        <v>0</v>
      </c>
      <c r="AE439" s="29"/>
      <c r="AF439" s="31"/>
      <c r="AG439" s="30" t="s">
        <v>1579</v>
      </c>
      <c r="AH439" s="28"/>
      <c r="AI439" s="28" t="s">
        <v>53</v>
      </c>
      <c r="AJ439" s="33">
        <v>37756</v>
      </c>
      <c r="AK439" s="28">
        <v>4</v>
      </c>
      <c r="AL439" s="28">
        <v>18</v>
      </c>
      <c r="AM439" s="21"/>
      <c r="AN439" s="27"/>
      <c r="AO439" s="27"/>
      <c r="AP439" s="27"/>
      <c r="AQ439" s="27"/>
    </row>
    <row r="440" spans="1:43" ht="15.75" customHeight="1">
      <c r="A440" s="28">
        <v>24</v>
      </c>
      <c r="B440" s="29" t="s">
        <v>3570</v>
      </c>
      <c r="C440" s="30"/>
      <c r="D440" s="31" t="s">
        <v>3571</v>
      </c>
      <c r="E440" s="30" t="s">
        <v>49</v>
      </c>
      <c r="F440" s="30" t="s">
        <v>50</v>
      </c>
      <c r="G440" s="30" t="s">
        <v>51</v>
      </c>
      <c r="H440" s="28" t="s">
        <v>85</v>
      </c>
      <c r="I440" s="30"/>
      <c r="J440" s="30" t="s">
        <v>53</v>
      </c>
      <c r="K440" s="30" t="s">
        <v>3572</v>
      </c>
      <c r="L440" s="30" t="s">
        <v>55</v>
      </c>
      <c r="M440" s="30" t="s">
        <v>250</v>
      </c>
      <c r="N440" s="30" t="s">
        <v>3573</v>
      </c>
      <c r="O440" s="30" t="s">
        <v>313</v>
      </c>
      <c r="P440" s="30" t="s">
        <v>3574</v>
      </c>
      <c r="Q440" s="28"/>
      <c r="R440" s="30" t="s">
        <v>3575</v>
      </c>
      <c r="S440" s="30" t="s">
        <v>53</v>
      </c>
      <c r="T440" s="30"/>
      <c r="U440" s="28" t="s">
        <v>62</v>
      </c>
      <c r="V440" s="30" t="s">
        <v>63</v>
      </c>
      <c r="W440" s="30" t="s">
        <v>3409</v>
      </c>
      <c r="X440" s="32">
        <v>44228</v>
      </c>
      <c r="Y440" s="32">
        <v>45992</v>
      </c>
      <c r="Z440" s="30" t="s">
        <v>65</v>
      </c>
      <c r="AA440" s="28" t="s">
        <v>66</v>
      </c>
      <c r="AB440" s="28" t="s">
        <v>67</v>
      </c>
      <c r="AC440" s="29"/>
      <c r="AD440" s="28">
        <v>0</v>
      </c>
      <c r="AE440" s="29"/>
      <c r="AF440" s="31"/>
      <c r="AG440" s="30" t="s">
        <v>1579</v>
      </c>
      <c r="AH440" s="28"/>
      <c r="AI440" s="28" t="s">
        <v>53</v>
      </c>
      <c r="AJ440" s="33">
        <v>37348</v>
      </c>
      <c r="AK440" s="28">
        <v>4</v>
      </c>
      <c r="AL440" s="28">
        <v>17</v>
      </c>
      <c r="AM440" s="21"/>
      <c r="AN440" s="27"/>
      <c r="AO440" s="27"/>
      <c r="AP440" s="27"/>
      <c r="AQ440" s="27"/>
    </row>
    <row r="441" spans="1:43" ht="15.75" customHeight="1">
      <c r="A441" s="28">
        <v>25</v>
      </c>
      <c r="B441" s="29" t="s">
        <v>3576</v>
      </c>
      <c r="C441" s="30"/>
      <c r="D441" s="31" t="s">
        <v>3577</v>
      </c>
      <c r="E441" s="30" t="s">
        <v>49</v>
      </c>
      <c r="F441" s="30" t="s">
        <v>50</v>
      </c>
      <c r="G441" s="30" t="s">
        <v>51</v>
      </c>
      <c r="H441" s="28" t="s">
        <v>85</v>
      </c>
      <c r="I441" s="30"/>
      <c r="J441" s="30" t="s">
        <v>53</v>
      </c>
      <c r="K441" s="30" t="s">
        <v>3578</v>
      </c>
      <c r="L441" s="30" t="s">
        <v>55</v>
      </c>
      <c r="M441" s="30" t="s">
        <v>1573</v>
      </c>
      <c r="N441" s="30" t="s">
        <v>3579</v>
      </c>
      <c r="O441" s="30" t="s">
        <v>2679</v>
      </c>
      <c r="P441" s="30" t="s">
        <v>3580</v>
      </c>
      <c r="Q441" s="28" t="s">
        <v>3581</v>
      </c>
      <c r="R441" s="30" t="s">
        <v>3582</v>
      </c>
      <c r="S441" s="30" t="s">
        <v>53</v>
      </c>
      <c r="T441" s="30"/>
      <c r="U441" s="28" t="s">
        <v>1898</v>
      </c>
      <c r="V441" s="30" t="s">
        <v>63</v>
      </c>
      <c r="W441" s="30" t="s">
        <v>3409</v>
      </c>
      <c r="X441" s="32">
        <v>44562</v>
      </c>
      <c r="Y441" s="32">
        <v>45992</v>
      </c>
      <c r="Z441" s="30" t="s">
        <v>65</v>
      </c>
      <c r="AA441" s="28" t="s">
        <v>134</v>
      </c>
      <c r="AB441" s="28" t="s">
        <v>67</v>
      </c>
      <c r="AC441" s="29"/>
      <c r="AD441" s="28">
        <v>0</v>
      </c>
      <c r="AE441" s="29"/>
      <c r="AF441" s="31"/>
      <c r="AG441" s="30" t="s">
        <v>1579</v>
      </c>
      <c r="AH441" s="28"/>
      <c r="AI441" s="28" t="s">
        <v>53</v>
      </c>
      <c r="AJ441" s="33">
        <v>38075</v>
      </c>
      <c r="AK441" s="28">
        <v>4</v>
      </c>
      <c r="AL441" s="28">
        <v>17</v>
      </c>
      <c r="AM441" s="21"/>
      <c r="AN441" s="27"/>
      <c r="AO441" s="27"/>
      <c r="AP441" s="27"/>
      <c r="AQ441" s="27"/>
    </row>
    <row r="442" spans="1:43" ht="15.75" customHeight="1">
      <c r="A442" s="28">
        <v>26</v>
      </c>
      <c r="B442" s="29" t="s">
        <v>3583</v>
      </c>
      <c r="C442" s="30"/>
      <c r="D442" s="31" t="s">
        <v>3584</v>
      </c>
      <c r="E442" s="30" t="s">
        <v>49</v>
      </c>
      <c r="F442" s="30" t="s">
        <v>50</v>
      </c>
      <c r="G442" s="30" t="s">
        <v>51</v>
      </c>
      <c r="H442" s="28" t="s">
        <v>85</v>
      </c>
      <c r="I442" s="30"/>
      <c r="J442" s="30" t="s">
        <v>53</v>
      </c>
      <c r="K442" s="30" t="s">
        <v>3585</v>
      </c>
      <c r="L442" s="30" t="s">
        <v>55</v>
      </c>
      <c r="M442" s="30" t="s">
        <v>1573</v>
      </c>
      <c r="N442" s="30" t="s">
        <v>3586</v>
      </c>
      <c r="O442" s="30" t="s">
        <v>1776</v>
      </c>
      <c r="P442" s="30" t="s">
        <v>3587</v>
      </c>
      <c r="Q442" s="28"/>
      <c r="R442" s="30" t="s">
        <v>3588</v>
      </c>
      <c r="S442" s="30" t="s">
        <v>53</v>
      </c>
      <c r="T442" s="30"/>
      <c r="U442" s="28" t="s">
        <v>1898</v>
      </c>
      <c r="V442" s="30" t="s">
        <v>63</v>
      </c>
      <c r="W442" s="30" t="s">
        <v>3409</v>
      </c>
      <c r="X442" s="32">
        <v>44562</v>
      </c>
      <c r="Y442" s="32">
        <v>46388</v>
      </c>
      <c r="Z442" s="30" t="s">
        <v>65</v>
      </c>
      <c r="AA442" s="28" t="s">
        <v>134</v>
      </c>
      <c r="AB442" s="28" t="s">
        <v>67</v>
      </c>
      <c r="AC442" s="29"/>
      <c r="AD442" s="28">
        <v>0</v>
      </c>
      <c r="AE442" s="29"/>
      <c r="AF442" s="31"/>
      <c r="AG442" s="30" t="s">
        <v>1579</v>
      </c>
      <c r="AH442" s="28"/>
      <c r="AI442" s="28" t="s">
        <v>53</v>
      </c>
      <c r="AJ442" s="33">
        <v>37664</v>
      </c>
      <c r="AK442" s="28">
        <v>4</v>
      </c>
      <c r="AL442" s="28">
        <v>17</v>
      </c>
      <c r="AM442" s="21"/>
      <c r="AN442" s="27"/>
      <c r="AO442" s="27"/>
      <c r="AP442" s="27"/>
      <c r="AQ442" s="27"/>
    </row>
    <row r="443" spans="1:43" ht="15.75" customHeight="1">
      <c r="A443" s="28">
        <v>27</v>
      </c>
      <c r="B443" s="29" t="s">
        <v>3589</v>
      </c>
      <c r="C443" s="30"/>
      <c r="D443" s="31" t="s">
        <v>3590</v>
      </c>
      <c r="E443" s="30" t="s">
        <v>49</v>
      </c>
      <c r="F443" s="30" t="s">
        <v>50</v>
      </c>
      <c r="G443" s="30" t="s">
        <v>51</v>
      </c>
      <c r="H443" s="28" t="s">
        <v>52</v>
      </c>
      <c r="I443" s="30"/>
      <c r="J443" s="30" t="s">
        <v>53</v>
      </c>
      <c r="K443" s="30" t="s">
        <v>3591</v>
      </c>
      <c r="L443" s="30" t="s">
        <v>55</v>
      </c>
      <c r="M443" s="30" t="s">
        <v>2449</v>
      </c>
      <c r="N443" s="30" t="s">
        <v>3592</v>
      </c>
      <c r="O443" s="30" t="s">
        <v>3593</v>
      </c>
      <c r="P443" s="30" t="s">
        <v>3594</v>
      </c>
      <c r="Q443" s="28"/>
      <c r="R443" s="30" t="s">
        <v>3595</v>
      </c>
      <c r="S443" s="30" t="s">
        <v>53</v>
      </c>
      <c r="T443" s="30"/>
      <c r="U443" s="28" t="s">
        <v>2523</v>
      </c>
      <c r="V443" s="30" t="s">
        <v>63</v>
      </c>
      <c r="W443" s="30" t="s">
        <v>3409</v>
      </c>
      <c r="X443" s="32">
        <v>44228</v>
      </c>
      <c r="Y443" s="32">
        <v>45261</v>
      </c>
      <c r="Z443" s="30" t="s">
        <v>65</v>
      </c>
      <c r="AA443" s="28" t="s">
        <v>134</v>
      </c>
      <c r="AB443" s="28" t="s">
        <v>67</v>
      </c>
      <c r="AC443" s="29"/>
      <c r="AD443" s="28">
        <v>0</v>
      </c>
      <c r="AE443" s="29"/>
      <c r="AF443" s="31"/>
      <c r="AG443" s="30" t="s">
        <v>1579</v>
      </c>
      <c r="AH443" s="28"/>
      <c r="AI443" s="28" t="s">
        <v>53</v>
      </c>
      <c r="AJ443" s="33">
        <v>36036</v>
      </c>
      <c r="AK443" s="28">
        <v>5</v>
      </c>
      <c r="AL443" s="28">
        <v>17</v>
      </c>
      <c r="AM443" s="21"/>
      <c r="AN443" s="27"/>
      <c r="AO443" s="27"/>
      <c r="AP443" s="27"/>
      <c r="AQ443" s="27"/>
    </row>
    <row r="444" spans="1:43" ht="15.75" customHeight="1">
      <c r="A444" s="28">
        <v>28</v>
      </c>
      <c r="B444" s="29" t="s">
        <v>3596</v>
      </c>
      <c r="C444" s="30"/>
      <c r="D444" s="31" t="s">
        <v>3597</v>
      </c>
      <c r="E444" s="30" t="s">
        <v>49</v>
      </c>
      <c r="F444" s="30" t="s">
        <v>50</v>
      </c>
      <c r="G444" s="30" t="s">
        <v>51</v>
      </c>
      <c r="H444" s="28" t="s">
        <v>85</v>
      </c>
      <c r="I444" s="30"/>
      <c r="J444" s="30" t="s">
        <v>53</v>
      </c>
      <c r="K444" s="30" t="s">
        <v>3598</v>
      </c>
      <c r="L444" s="30" t="s">
        <v>55</v>
      </c>
      <c r="M444" s="30" t="s">
        <v>1620</v>
      </c>
      <c r="N444" s="30" t="s">
        <v>3599</v>
      </c>
      <c r="O444" s="30" t="s">
        <v>3600</v>
      </c>
      <c r="P444" s="30" t="s">
        <v>3601</v>
      </c>
      <c r="Q444" s="28"/>
      <c r="R444" s="30" t="s">
        <v>3602</v>
      </c>
      <c r="S444" s="30" t="s">
        <v>53</v>
      </c>
      <c r="T444" s="30"/>
      <c r="U444" s="28" t="s">
        <v>1657</v>
      </c>
      <c r="V444" s="30" t="s">
        <v>63</v>
      </c>
      <c r="W444" s="30" t="s">
        <v>3409</v>
      </c>
      <c r="X444" s="32">
        <v>44713</v>
      </c>
      <c r="Y444" s="32">
        <v>46357</v>
      </c>
      <c r="Z444" s="30" t="s">
        <v>65</v>
      </c>
      <c r="AA444" s="28" t="s">
        <v>66</v>
      </c>
      <c r="AB444" s="28" t="s">
        <v>67</v>
      </c>
      <c r="AC444" s="29"/>
      <c r="AD444" s="28">
        <v>0</v>
      </c>
      <c r="AE444" s="29"/>
      <c r="AF444" s="31"/>
      <c r="AG444" s="30" t="s">
        <v>1579</v>
      </c>
      <c r="AH444" s="28"/>
      <c r="AI444" s="28" t="s">
        <v>53</v>
      </c>
      <c r="AJ444" s="33">
        <v>36640</v>
      </c>
      <c r="AK444" s="28">
        <v>3</v>
      </c>
      <c r="AL444" s="28">
        <v>16</v>
      </c>
      <c r="AM444" s="21"/>
      <c r="AN444" s="27"/>
      <c r="AO444" s="27"/>
      <c r="AP444" s="27"/>
      <c r="AQ444" s="27"/>
    </row>
    <row r="445" spans="1:43" ht="15.75" customHeight="1">
      <c r="A445" s="28">
        <v>29</v>
      </c>
      <c r="B445" s="29" t="s">
        <v>3603</v>
      </c>
      <c r="C445" s="30" t="s">
        <v>3604</v>
      </c>
      <c r="D445" s="31" t="s">
        <v>3605</v>
      </c>
      <c r="E445" s="30" t="s">
        <v>49</v>
      </c>
      <c r="F445" s="30" t="s">
        <v>50</v>
      </c>
      <c r="G445" s="30" t="s">
        <v>51</v>
      </c>
      <c r="H445" s="28" t="s">
        <v>52</v>
      </c>
      <c r="I445" s="30"/>
      <c r="J445" s="30" t="s">
        <v>53</v>
      </c>
      <c r="K445" s="30" t="s">
        <v>3606</v>
      </c>
      <c r="L445" s="30" t="s">
        <v>55</v>
      </c>
      <c r="M445" s="30" t="s">
        <v>3607</v>
      </c>
      <c r="N445" s="30" t="s">
        <v>3608</v>
      </c>
      <c r="O445" s="30" t="s">
        <v>1470</v>
      </c>
      <c r="P445" s="30" t="s">
        <v>3609</v>
      </c>
      <c r="Q445" s="28"/>
      <c r="R445" s="30" t="s">
        <v>3610</v>
      </c>
      <c r="S445" s="30" t="s">
        <v>53</v>
      </c>
      <c r="T445" s="30"/>
      <c r="U445" s="28" t="s">
        <v>732</v>
      </c>
      <c r="V445" s="30" t="s">
        <v>63</v>
      </c>
      <c r="W445" s="30" t="s">
        <v>3409</v>
      </c>
      <c r="X445" s="32">
        <v>43678</v>
      </c>
      <c r="Y445" s="32">
        <v>46357</v>
      </c>
      <c r="Z445" s="30" t="s">
        <v>65</v>
      </c>
      <c r="AA445" s="28" t="s">
        <v>134</v>
      </c>
      <c r="AB445" s="28" t="s">
        <v>67</v>
      </c>
      <c r="AC445" s="29"/>
      <c r="AD445" s="28">
        <v>0</v>
      </c>
      <c r="AE445" s="29"/>
      <c r="AF445" s="31"/>
      <c r="AG445" s="30" t="s">
        <v>1579</v>
      </c>
      <c r="AH445" s="28"/>
      <c r="AI445" s="28" t="s">
        <v>53</v>
      </c>
      <c r="AJ445" s="33">
        <v>35706</v>
      </c>
      <c r="AK445" s="28">
        <v>6</v>
      </c>
      <c r="AL445" s="28">
        <v>16</v>
      </c>
      <c r="AM445" s="21"/>
      <c r="AN445" s="27"/>
      <c r="AO445" s="27"/>
      <c r="AP445" s="27"/>
      <c r="AQ445" s="27"/>
    </row>
    <row r="446" spans="1:43" ht="15.75" customHeight="1">
      <c r="A446" s="28">
        <v>30</v>
      </c>
      <c r="B446" s="29" t="s">
        <v>3611</v>
      </c>
      <c r="C446" s="30"/>
      <c r="D446" s="31" t="s">
        <v>3612</v>
      </c>
      <c r="E446" s="30" t="s">
        <v>49</v>
      </c>
      <c r="F446" s="30" t="s">
        <v>50</v>
      </c>
      <c r="G446" s="30" t="s">
        <v>51</v>
      </c>
      <c r="H446" s="28" t="s">
        <v>85</v>
      </c>
      <c r="I446" s="30"/>
      <c r="J446" s="30" t="s">
        <v>53</v>
      </c>
      <c r="K446" s="30" t="s">
        <v>3613</v>
      </c>
      <c r="L446" s="30" t="s">
        <v>55</v>
      </c>
      <c r="M446" s="30" t="s">
        <v>656</v>
      </c>
      <c r="N446" s="30" t="s">
        <v>3614</v>
      </c>
      <c r="O446" s="30" t="s">
        <v>3615</v>
      </c>
      <c r="P446" s="30" t="s">
        <v>3616</v>
      </c>
      <c r="Q446" s="28"/>
      <c r="R446" s="30" t="s">
        <v>3617</v>
      </c>
      <c r="S446" s="30" t="s">
        <v>53</v>
      </c>
      <c r="T446" s="30"/>
      <c r="U446" s="28" t="s">
        <v>3618</v>
      </c>
      <c r="V446" s="30" t="s">
        <v>63</v>
      </c>
      <c r="W446" s="30" t="s">
        <v>3409</v>
      </c>
      <c r="X446" s="32">
        <v>44986</v>
      </c>
      <c r="Y446" s="32">
        <v>46692</v>
      </c>
      <c r="Z446" s="30" t="s">
        <v>65</v>
      </c>
      <c r="AA446" s="28" t="s">
        <v>134</v>
      </c>
      <c r="AB446" s="28" t="s">
        <v>67</v>
      </c>
      <c r="AC446" s="29"/>
      <c r="AD446" s="28">
        <v>0</v>
      </c>
      <c r="AE446" s="29"/>
      <c r="AF446" s="31"/>
      <c r="AG446" s="30" t="s">
        <v>1579</v>
      </c>
      <c r="AH446" s="28"/>
      <c r="AI446" s="28" t="s">
        <v>53</v>
      </c>
      <c r="AJ446" s="33">
        <v>38318</v>
      </c>
      <c r="AK446" s="28">
        <v>3</v>
      </c>
      <c r="AL446" s="28">
        <v>16</v>
      </c>
      <c r="AM446" s="21"/>
      <c r="AN446" s="27"/>
      <c r="AO446" s="27"/>
      <c r="AP446" s="27"/>
      <c r="AQ446" s="27"/>
    </row>
    <row r="447" spans="1:43" ht="15.75" customHeight="1">
      <c r="A447" s="28">
        <v>31</v>
      </c>
      <c r="B447" s="29" t="s">
        <v>3619</v>
      </c>
      <c r="C447" s="30"/>
      <c r="D447" s="31" t="s">
        <v>3620</v>
      </c>
      <c r="E447" s="30" t="s">
        <v>49</v>
      </c>
      <c r="F447" s="30" t="s">
        <v>50</v>
      </c>
      <c r="G447" s="30" t="s">
        <v>51</v>
      </c>
      <c r="H447" s="28" t="s">
        <v>52</v>
      </c>
      <c r="I447" s="30"/>
      <c r="J447" s="30" t="s">
        <v>53</v>
      </c>
      <c r="K447" s="30" t="s">
        <v>3621</v>
      </c>
      <c r="L447" s="30" t="s">
        <v>55</v>
      </c>
      <c r="M447" s="30" t="s">
        <v>1573</v>
      </c>
      <c r="N447" s="30" t="s">
        <v>3622</v>
      </c>
      <c r="O447" s="30" t="s">
        <v>1942</v>
      </c>
      <c r="P447" s="30" t="s">
        <v>3623</v>
      </c>
      <c r="Q447" s="28" t="s">
        <v>3624</v>
      </c>
      <c r="R447" s="30" t="s">
        <v>3625</v>
      </c>
      <c r="S447" s="30" t="s">
        <v>118</v>
      </c>
      <c r="T447" s="30" t="s">
        <v>3626</v>
      </c>
      <c r="U447" s="28" t="s">
        <v>3627</v>
      </c>
      <c r="V447" s="30" t="s">
        <v>63</v>
      </c>
      <c r="W447" s="30" t="s">
        <v>3409</v>
      </c>
      <c r="X447" s="32">
        <v>44774</v>
      </c>
      <c r="Y447" s="32">
        <v>45870</v>
      </c>
      <c r="Z447" s="30" t="s">
        <v>65</v>
      </c>
      <c r="AA447" s="28" t="s">
        <v>66</v>
      </c>
      <c r="AB447" s="28" t="s">
        <v>67</v>
      </c>
      <c r="AC447" s="29"/>
      <c r="AD447" s="28">
        <v>0</v>
      </c>
      <c r="AE447" s="29"/>
      <c r="AF447" s="31"/>
      <c r="AG447" s="30" t="s">
        <v>1579</v>
      </c>
      <c r="AH447" s="28" t="s">
        <v>122</v>
      </c>
      <c r="AI447" s="28" t="s">
        <v>118</v>
      </c>
      <c r="AJ447" s="33">
        <v>36241</v>
      </c>
      <c r="AK447" s="28">
        <v>3</v>
      </c>
      <c r="AL447" s="28">
        <v>15</v>
      </c>
      <c r="AM447" s="21"/>
      <c r="AN447" s="27"/>
      <c r="AO447" s="27"/>
      <c r="AP447" s="27"/>
      <c r="AQ447" s="27"/>
    </row>
    <row r="448" spans="1:43" ht="15.75" customHeight="1">
      <c r="A448" s="28">
        <v>32</v>
      </c>
      <c r="B448" s="29" t="s">
        <v>3628</v>
      </c>
      <c r="C448" s="30" t="s">
        <v>3629</v>
      </c>
      <c r="D448" s="31" t="s">
        <v>3630</v>
      </c>
      <c r="E448" s="30" t="s">
        <v>49</v>
      </c>
      <c r="F448" s="30" t="s">
        <v>50</v>
      </c>
      <c r="G448" s="30" t="s">
        <v>51</v>
      </c>
      <c r="H448" s="28" t="s">
        <v>52</v>
      </c>
      <c r="I448" s="30"/>
      <c r="J448" s="30" t="s">
        <v>53</v>
      </c>
      <c r="K448" s="30" t="s">
        <v>3631</v>
      </c>
      <c r="L448" s="30" t="s">
        <v>55</v>
      </c>
      <c r="M448" s="30" t="s">
        <v>3632</v>
      </c>
      <c r="N448" s="30" t="s">
        <v>3633</v>
      </c>
      <c r="O448" s="30" t="s">
        <v>3634</v>
      </c>
      <c r="P448" s="30" t="s">
        <v>3635</v>
      </c>
      <c r="Q448" s="28"/>
      <c r="R448" s="30" t="s">
        <v>3636</v>
      </c>
      <c r="S448" s="30" t="s">
        <v>53</v>
      </c>
      <c r="T448" s="30"/>
      <c r="U448" s="28" t="s">
        <v>1221</v>
      </c>
      <c r="V448" s="30" t="s">
        <v>63</v>
      </c>
      <c r="W448" s="30" t="s">
        <v>3409</v>
      </c>
      <c r="X448" s="32">
        <v>44348</v>
      </c>
      <c r="Y448" s="32">
        <v>45809</v>
      </c>
      <c r="Z448" s="30" t="s">
        <v>65</v>
      </c>
      <c r="AA448" s="28" t="s">
        <v>66</v>
      </c>
      <c r="AB448" s="28" t="s">
        <v>67</v>
      </c>
      <c r="AC448" s="29"/>
      <c r="AD448" s="28">
        <v>0</v>
      </c>
      <c r="AE448" s="29"/>
      <c r="AF448" s="31"/>
      <c r="AG448" s="30" t="s">
        <v>1579</v>
      </c>
      <c r="AH448" s="28"/>
      <c r="AI448" s="28" t="s">
        <v>53</v>
      </c>
      <c r="AJ448" s="33">
        <v>37172</v>
      </c>
      <c r="AK448" s="28">
        <v>5</v>
      </c>
      <c r="AL448" s="28">
        <v>15</v>
      </c>
      <c r="AM448" s="21"/>
      <c r="AN448" s="27"/>
      <c r="AO448" s="27"/>
      <c r="AP448" s="27"/>
      <c r="AQ448" s="27"/>
    </row>
    <row r="449" spans="1:43" ht="15.75" customHeight="1">
      <c r="A449" s="28">
        <v>33</v>
      </c>
      <c r="B449" s="29" t="s">
        <v>3637</v>
      </c>
      <c r="C449" s="30"/>
      <c r="D449" s="31" t="s">
        <v>3638</v>
      </c>
      <c r="E449" s="30" t="s">
        <v>72</v>
      </c>
      <c r="F449" s="30" t="s">
        <v>50</v>
      </c>
      <c r="G449" s="30" t="s">
        <v>51</v>
      </c>
      <c r="H449" s="28" t="s">
        <v>52</v>
      </c>
      <c r="I449" s="30"/>
      <c r="J449" s="30" t="s">
        <v>53</v>
      </c>
      <c r="K449" s="30" t="s">
        <v>3639</v>
      </c>
      <c r="L449" s="30" t="s">
        <v>55</v>
      </c>
      <c r="M449" s="30" t="s">
        <v>656</v>
      </c>
      <c r="N449" s="30" t="s">
        <v>3640</v>
      </c>
      <c r="O449" s="30" t="s">
        <v>1688</v>
      </c>
      <c r="P449" s="30" t="s">
        <v>3641</v>
      </c>
      <c r="Q449" s="28" t="s">
        <v>3642</v>
      </c>
      <c r="R449" s="30" t="s">
        <v>3643</v>
      </c>
      <c r="S449" s="30" t="s">
        <v>53</v>
      </c>
      <c r="T449" s="30"/>
      <c r="U449" s="28" t="s">
        <v>765</v>
      </c>
      <c r="V449" s="30" t="s">
        <v>63</v>
      </c>
      <c r="W449" s="30" t="s">
        <v>3409</v>
      </c>
      <c r="X449" s="32">
        <v>43891</v>
      </c>
      <c r="Y449" s="32">
        <v>45627</v>
      </c>
      <c r="Z449" s="30" t="s">
        <v>65</v>
      </c>
      <c r="AA449" s="28" t="s">
        <v>134</v>
      </c>
      <c r="AB449" s="28" t="s">
        <v>67</v>
      </c>
      <c r="AC449" s="29"/>
      <c r="AD449" s="28">
        <v>0</v>
      </c>
      <c r="AE449" s="29"/>
      <c r="AF449" s="31"/>
      <c r="AG449" s="30" t="s">
        <v>1579</v>
      </c>
      <c r="AH449" s="28"/>
      <c r="AI449" s="28" t="s">
        <v>53</v>
      </c>
      <c r="AJ449" s="33">
        <v>37156</v>
      </c>
      <c r="AK449" s="28">
        <v>8</v>
      </c>
      <c r="AL449" s="28">
        <v>15</v>
      </c>
      <c r="AM449" s="21"/>
      <c r="AN449" s="27"/>
      <c r="AO449" s="27"/>
      <c r="AP449" s="27"/>
      <c r="AQ449" s="27"/>
    </row>
    <row r="450" spans="1:43" ht="15.75" customHeight="1">
      <c r="A450" s="28">
        <v>34</v>
      </c>
      <c r="B450" s="29" t="s">
        <v>3644</v>
      </c>
      <c r="C450" s="30" t="s">
        <v>3645</v>
      </c>
      <c r="D450" s="31" t="s">
        <v>3646</v>
      </c>
      <c r="E450" s="30" t="s">
        <v>49</v>
      </c>
      <c r="F450" s="30" t="s">
        <v>50</v>
      </c>
      <c r="G450" s="30" t="s">
        <v>51</v>
      </c>
      <c r="H450" s="28" t="s">
        <v>85</v>
      </c>
      <c r="I450" s="30"/>
      <c r="J450" s="30" t="s">
        <v>53</v>
      </c>
      <c r="K450" s="30" t="s">
        <v>3564</v>
      </c>
      <c r="L450" s="30" t="s">
        <v>55</v>
      </c>
      <c r="M450" s="30" t="s">
        <v>1573</v>
      </c>
      <c r="N450" s="30" t="s">
        <v>3647</v>
      </c>
      <c r="O450" s="30" t="s">
        <v>3316</v>
      </c>
      <c r="P450" s="30" t="s">
        <v>3648</v>
      </c>
      <c r="Q450" s="28" t="s">
        <v>3567</v>
      </c>
      <c r="R450" s="30" t="s">
        <v>3649</v>
      </c>
      <c r="S450" s="30" t="s">
        <v>53</v>
      </c>
      <c r="T450" s="30"/>
      <c r="U450" s="28" t="s">
        <v>3569</v>
      </c>
      <c r="V450" s="30" t="s">
        <v>63</v>
      </c>
      <c r="W450" s="30" t="s">
        <v>3409</v>
      </c>
      <c r="X450" s="32">
        <v>43831</v>
      </c>
      <c r="Y450" s="32">
        <v>45627</v>
      </c>
      <c r="Z450" s="30" t="s">
        <v>65</v>
      </c>
      <c r="AA450" s="28" t="s">
        <v>66</v>
      </c>
      <c r="AB450" s="28" t="s">
        <v>67</v>
      </c>
      <c r="AC450" s="29"/>
      <c r="AD450" s="28">
        <v>0</v>
      </c>
      <c r="AE450" s="29"/>
      <c r="AF450" s="31"/>
      <c r="AG450" s="30" t="s">
        <v>1579</v>
      </c>
      <c r="AH450" s="28"/>
      <c r="AI450" s="28" t="s">
        <v>53</v>
      </c>
      <c r="AJ450" s="33">
        <v>35870</v>
      </c>
      <c r="AK450" s="28">
        <v>7</v>
      </c>
      <c r="AL450" s="28">
        <v>15</v>
      </c>
      <c r="AM450" s="21"/>
      <c r="AN450" s="27"/>
      <c r="AO450" s="27"/>
      <c r="AP450" s="27"/>
      <c r="AQ450" s="27"/>
    </row>
    <row r="451" spans="1:43" ht="15.75" customHeight="1">
      <c r="A451" s="28">
        <v>35</v>
      </c>
      <c r="B451" s="29" t="s">
        <v>3650</v>
      </c>
      <c r="C451" s="30" t="s">
        <v>3651</v>
      </c>
      <c r="D451" s="31" t="s">
        <v>3652</v>
      </c>
      <c r="E451" s="30" t="s">
        <v>49</v>
      </c>
      <c r="F451" s="30" t="s">
        <v>50</v>
      </c>
      <c r="G451" s="30" t="s">
        <v>51</v>
      </c>
      <c r="H451" s="28" t="s">
        <v>85</v>
      </c>
      <c r="I451" s="30"/>
      <c r="J451" s="30" t="s">
        <v>53</v>
      </c>
      <c r="K451" s="30" t="s">
        <v>3653</v>
      </c>
      <c r="L451" s="30" t="s">
        <v>55</v>
      </c>
      <c r="M451" s="30" t="s">
        <v>1573</v>
      </c>
      <c r="N451" s="30" t="s">
        <v>3654</v>
      </c>
      <c r="O451" s="30" t="s">
        <v>3655</v>
      </c>
      <c r="P451" s="30" t="s">
        <v>3656</v>
      </c>
      <c r="Q451" s="28"/>
      <c r="R451" s="30" t="s">
        <v>3657</v>
      </c>
      <c r="S451" s="30" t="s">
        <v>53</v>
      </c>
      <c r="T451" s="30"/>
      <c r="U451" s="28" t="s">
        <v>3658</v>
      </c>
      <c r="V451" s="30" t="s">
        <v>63</v>
      </c>
      <c r="W451" s="30" t="s">
        <v>3409</v>
      </c>
      <c r="X451" s="32">
        <v>44958</v>
      </c>
      <c r="Y451" s="32">
        <v>45627</v>
      </c>
      <c r="Z451" s="30" t="s">
        <v>65</v>
      </c>
      <c r="AA451" s="28" t="s">
        <v>66</v>
      </c>
      <c r="AB451" s="28" t="s">
        <v>67</v>
      </c>
      <c r="AC451" s="29"/>
      <c r="AD451" s="28">
        <v>0</v>
      </c>
      <c r="AE451" s="29"/>
      <c r="AF451" s="31"/>
      <c r="AG451" s="30" t="s">
        <v>1579</v>
      </c>
      <c r="AH451" s="28"/>
      <c r="AI451" s="28" t="s">
        <v>53</v>
      </c>
      <c r="AJ451" s="33">
        <v>35551</v>
      </c>
      <c r="AK451" s="28">
        <v>3</v>
      </c>
      <c r="AL451" s="28">
        <v>15</v>
      </c>
      <c r="AM451" s="21"/>
      <c r="AN451" s="27"/>
      <c r="AO451" s="27"/>
      <c r="AP451" s="27"/>
      <c r="AQ451" s="27"/>
    </row>
    <row r="452" spans="1:43" ht="15.75" customHeight="1">
      <c r="A452" s="28">
        <v>1</v>
      </c>
      <c r="B452" s="29" t="s">
        <v>3659</v>
      </c>
      <c r="C452" s="30"/>
      <c r="D452" s="31" t="s">
        <v>3660</v>
      </c>
      <c r="E452" s="30" t="s">
        <v>72</v>
      </c>
      <c r="F452" s="30" t="s">
        <v>50</v>
      </c>
      <c r="G452" s="30" t="s">
        <v>51</v>
      </c>
      <c r="H452" s="28" t="s">
        <v>85</v>
      </c>
      <c r="I452" s="30"/>
      <c r="J452" s="30" t="s">
        <v>53</v>
      </c>
      <c r="K452" s="30" t="s">
        <v>3661</v>
      </c>
      <c r="L452" s="30" t="s">
        <v>55</v>
      </c>
      <c r="M452" s="30" t="s">
        <v>1573</v>
      </c>
      <c r="N452" s="30" t="s">
        <v>3662</v>
      </c>
      <c r="O452" s="30" t="s">
        <v>2132</v>
      </c>
      <c r="P452" s="30" t="s">
        <v>3663</v>
      </c>
      <c r="Q452" s="28"/>
      <c r="R452" s="30" t="s">
        <v>3664</v>
      </c>
      <c r="S452" s="30" t="s">
        <v>53</v>
      </c>
      <c r="T452" s="30"/>
      <c r="U452" s="28" t="s">
        <v>1657</v>
      </c>
      <c r="V452" s="30" t="s">
        <v>63</v>
      </c>
      <c r="W452" s="30" t="s">
        <v>3665</v>
      </c>
      <c r="X452" s="32">
        <v>44197</v>
      </c>
      <c r="Y452" s="32">
        <v>45627</v>
      </c>
      <c r="Z452" s="30" t="s">
        <v>65</v>
      </c>
      <c r="AA452" s="28" t="s">
        <v>134</v>
      </c>
      <c r="AB452" s="28" t="s">
        <v>67</v>
      </c>
      <c r="AC452" s="29"/>
      <c r="AD452" s="28">
        <v>0</v>
      </c>
      <c r="AE452" s="29"/>
      <c r="AF452" s="31"/>
      <c r="AG452" s="30" t="s">
        <v>1579</v>
      </c>
      <c r="AH452" s="28"/>
      <c r="AI452" s="28" t="s">
        <v>53</v>
      </c>
      <c r="AJ452" s="33">
        <v>37751</v>
      </c>
      <c r="AK452" s="28">
        <v>5</v>
      </c>
      <c r="AL452" s="28">
        <v>23</v>
      </c>
      <c r="AM452" s="21"/>
      <c r="AN452" s="27"/>
      <c r="AO452" s="27"/>
      <c r="AP452" s="27"/>
      <c r="AQ452" s="27"/>
    </row>
    <row r="453" spans="1:43" ht="15.75" customHeight="1">
      <c r="A453" s="28">
        <v>2</v>
      </c>
      <c r="B453" s="29" t="s">
        <v>3666</v>
      </c>
      <c r="C453" s="30" t="s">
        <v>3667</v>
      </c>
      <c r="D453" s="31" t="s">
        <v>3668</v>
      </c>
      <c r="E453" s="30" t="s">
        <v>49</v>
      </c>
      <c r="F453" s="30" t="s">
        <v>50</v>
      </c>
      <c r="G453" s="30" t="s">
        <v>51</v>
      </c>
      <c r="H453" s="28" t="s">
        <v>85</v>
      </c>
      <c r="I453" s="30"/>
      <c r="J453" s="30" t="s">
        <v>53</v>
      </c>
      <c r="K453" s="30" t="s">
        <v>1977</v>
      </c>
      <c r="L453" s="30" t="s">
        <v>55</v>
      </c>
      <c r="M453" s="30" t="s">
        <v>1573</v>
      </c>
      <c r="N453" s="30" t="s">
        <v>3669</v>
      </c>
      <c r="O453" s="30" t="s">
        <v>1575</v>
      </c>
      <c r="P453" s="30" t="s">
        <v>3670</v>
      </c>
      <c r="Q453" s="28"/>
      <c r="R453" s="30" t="s">
        <v>3671</v>
      </c>
      <c r="S453" s="30" t="s">
        <v>53</v>
      </c>
      <c r="T453" s="30"/>
      <c r="U453" s="28" t="s">
        <v>3672</v>
      </c>
      <c r="V453" s="30" t="s">
        <v>63</v>
      </c>
      <c r="W453" s="30" t="s">
        <v>3665</v>
      </c>
      <c r="X453" s="32">
        <v>44197</v>
      </c>
      <c r="Y453" s="32">
        <v>45627</v>
      </c>
      <c r="Z453" s="30" t="s">
        <v>65</v>
      </c>
      <c r="AA453" s="28" t="s">
        <v>134</v>
      </c>
      <c r="AB453" s="28" t="s">
        <v>67</v>
      </c>
      <c r="AC453" s="29"/>
      <c r="AD453" s="28">
        <v>0</v>
      </c>
      <c r="AE453" s="29"/>
      <c r="AF453" s="31"/>
      <c r="AG453" s="30" t="s">
        <v>1579</v>
      </c>
      <c r="AH453" s="28"/>
      <c r="AI453" s="28" t="s">
        <v>53</v>
      </c>
      <c r="AJ453" s="33">
        <v>37232</v>
      </c>
      <c r="AK453" s="28">
        <v>6</v>
      </c>
      <c r="AL453" s="28">
        <v>22</v>
      </c>
      <c r="AM453" s="21"/>
      <c r="AN453" s="27"/>
      <c r="AO453" s="27"/>
      <c r="AP453" s="27"/>
      <c r="AQ453" s="27"/>
    </row>
    <row r="454" spans="1:43" ht="15.75" customHeight="1">
      <c r="A454" s="28">
        <v>3</v>
      </c>
      <c r="B454" s="29" t="s">
        <v>3673</v>
      </c>
      <c r="C454" s="30" t="s">
        <v>3674</v>
      </c>
      <c r="D454" s="31" t="s">
        <v>3675</v>
      </c>
      <c r="E454" s="30" t="s">
        <v>72</v>
      </c>
      <c r="F454" s="30" t="s">
        <v>50</v>
      </c>
      <c r="G454" s="30" t="s">
        <v>51</v>
      </c>
      <c r="H454" s="28" t="s">
        <v>85</v>
      </c>
      <c r="I454" s="30"/>
      <c r="J454" s="30" t="s">
        <v>53</v>
      </c>
      <c r="K454" s="30" t="s">
        <v>3676</v>
      </c>
      <c r="L454" s="30" t="s">
        <v>55</v>
      </c>
      <c r="M454" s="30" t="s">
        <v>656</v>
      </c>
      <c r="N454" s="30" t="s">
        <v>3677</v>
      </c>
      <c r="O454" s="30" t="s">
        <v>1575</v>
      </c>
      <c r="P454" s="30" t="s">
        <v>3678</v>
      </c>
      <c r="Q454" s="28" t="s">
        <v>3679</v>
      </c>
      <c r="R454" s="30" t="s">
        <v>3680</v>
      </c>
      <c r="S454" s="30" t="s">
        <v>53</v>
      </c>
      <c r="T454" s="30"/>
      <c r="U454" s="28" t="s">
        <v>3079</v>
      </c>
      <c r="V454" s="30" t="s">
        <v>63</v>
      </c>
      <c r="W454" s="30" t="s">
        <v>3665</v>
      </c>
      <c r="X454" s="32">
        <v>44197</v>
      </c>
      <c r="Y454" s="32">
        <v>45627</v>
      </c>
      <c r="Z454" s="30" t="s">
        <v>65</v>
      </c>
      <c r="AA454" s="28" t="s">
        <v>66</v>
      </c>
      <c r="AB454" s="28" t="s">
        <v>67</v>
      </c>
      <c r="AC454" s="29"/>
      <c r="AD454" s="28">
        <v>0</v>
      </c>
      <c r="AE454" s="29"/>
      <c r="AF454" s="31"/>
      <c r="AG454" s="30" t="s">
        <v>1579</v>
      </c>
      <c r="AH454" s="28"/>
      <c r="AI454" s="28" t="s">
        <v>118</v>
      </c>
      <c r="AJ454" s="33">
        <v>36963</v>
      </c>
      <c r="AK454" s="28">
        <v>6</v>
      </c>
      <c r="AL454" s="28">
        <v>19</v>
      </c>
      <c r="AM454" s="21"/>
      <c r="AN454" s="27"/>
      <c r="AO454" s="27"/>
      <c r="AP454" s="27"/>
      <c r="AQ454" s="27"/>
    </row>
    <row r="455" spans="1:43" ht="15.75" customHeight="1">
      <c r="A455" s="28">
        <v>4</v>
      </c>
      <c r="B455" s="29" t="s">
        <v>3681</v>
      </c>
      <c r="C455" s="30" t="s">
        <v>3682</v>
      </c>
      <c r="D455" s="31" t="s">
        <v>3683</v>
      </c>
      <c r="E455" s="30" t="s">
        <v>49</v>
      </c>
      <c r="F455" s="30" t="s">
        <v>50</v>
      </c>
      <c r="G455" s="30" t="s">
        <v>51</v>
      </c>
      <c r="H455" s="28" t="s">
        <v>85</v>
      </c>
      <c r="I455" s="30"/>
      <c r="J455" s="30" t="s">
        <v>53</v>
      </c>
      <c r="K455" s="30" t="s">
        <v>3684</v>
      </c>
      <c r="L455" s="30" t="s">
        <v>55</v>
      </c>
      <c r="M455" s="30" t="s">
        <v>1573</v>
      </c>
      <c r="N455" s="30" t="s">
        <v>3685</v>
      </c>
      <c r="O455" s="30" t="s">
        <v>1575</v>
      </c>
      <c r="P455" s="30" t="s">
        <v>3686</v>
      </c>
      <c r="Q455" s="28" t="s">
        <v>3687</v>
      </c>
      <c r="R455" s="30" t="s">
        <v>3688</v>
      </c>
      <c r="S455" s="30" t="s">
        <v>53</v>
      </c>
      <c r="T455" s="30"/>
      <c r="U455" s="28" t="s">
        <v>765</v>
      </c>
      <c r="V455" s="30" t="s">
        <v>63</v>
      </c>
      <c r="W455" s="30" t="s">
        <v>3665</v>
      </c>
      <c r="X455" s="32">
        <v>44713</v>
      </c>
      <c r="Y455" s="32">
        <v>46174</v>
      </c>
      <c r="Z455" s="30" t="s">
        <v>65</v>
      </c>
      <c r="AA455" s="28" t="s">
        <v>134</v>
      </c>
      <c r="AB455" s="28" t="s">
        <v>67</v>
      </c>
      <c r="AC455" s="29"/>
      <c r="AD455" s="28">
        <v>0</v>
      </c>
      <c r="AE455" s="29"/>
      <c r="AF455" s="31"/>
      <c r="AG455" s="30" t="s">
        <v>1579</v>
      </c>
      <c r="AH455" s="28"/>
      <c r="AI455" s="28" t="s">
        <v>53</v>
      </c>
      <c r="AJ455" s="33">
        <v>38111</v>
      </c>
      <c r="AK455" s="28">
        <v>3</v>
      </c>
      <c r="AL455" s="28">
        <v>18</v>
      </c>
      <c r="AM455" s="21"/>
      <c r="AN455" s="27"/>
      <c r="AO455" s="27"/>
      <c r="AP455" s="27"/>
      <c r="AQ455" s="27"/>
    </row>
    <row r="456" spans="1:43" ht="15.75" customHeight="1">
      <c r="A456" s="28">
        <v>5</v>
      </c>
      <c r="B456" s="29" t="s">
        <v>3689</v>
      </c>
      <c r="C456" s="30"/>
      <c r="D456" s="31" t="s">
        <v>3690</v>
      </c>
      <c r="E456" s="30" t="s">
        <v>72</v>
      </c>
      <c r="F456" s="30" t="s">
        <v>50</v>
      </c>
      <c r="G456" s="30" t="s">
        <v>51</v>
      </c>
      <c r="H456" s="28" t="s">
        <v>85</v>
      </c>
      <c r="I456" s="30"/>
      <c r="J456" s="30" t="s">
        <v>53</v>
      </c>
      <c r="K456" s="30" t="s">
        <v>3691</v>
      </c>
      <c r="L456" s="30" t="s">
        <v>55</v>
      </c>
      <c r="M456" s="30" t="s">
        <v>656</v>
      </c>
      <c r="N456" s="30" t="s">
        <v>3692</v>
      </c>
      <c r="O456" s="30" t="s">
        <v>2132</v>
      </c>
      <c r="P456" s="30" t="s">
        <v>3693</v>
      </c>
      <c r="Q456" s="28"/>
      <c r="R456" s="30" t="s">
        <v>3694</v>
      </c>
      <c r="S456" s="30" t="s">
        <v>53</v>
      </c>
      <c r="T456" s="30"/>
      <c r="U456" s="28" t="s">
        <v>1657</v>
      </c>
      <c r="V456" s="30" t="s">
        <v>63</v>
      </c>
      <c r="W456" s="30" t="s">
        <v>3665</v>
      </c>
      <c r="X456" s="32">
        <v>44713</v>
      </c>
      <c r="Y456" s="32">
        <v>45992</v>
      </c>
      <c r="Z456" s="30" t="s">
        <v>65</v>
      </c>
      <c r="AA456" s="28" t="s">
        <v>134</v>
      </c>
      <c r="AB456" s="28" t="s">
        <v>67</v>
      </c>
      <c r="AC456" s="29"/>
      <c r="AD456" s="28">
        <v>0</v>
      </c>
      <c r="AE456" s="29"/>
      <c r="AF456" s="31"/>
      <c r="AG456" s="30" t="s">
        <v>1579</v>
      </c>
      <c r="AH456" s="28"/>
      <c r="AI456" s="28" t="s">
        <v>53</v>
      </c>
      <c r="AJ456" s="33">
        <v>37121</v>
      </c>
      <c r="AK456" s="28">
        <v>4</v>
      </c>
      <c r="AL456" s="28">
        <v>18</v>
      </c>
      <c r="AM456" s="21"/>
      <c r="AN456" s="27"/>
      <c r="AO456" s="27"/>
      <c r="AP456" s="27"/>
      <c r="AQ456" s="27"/>
    </row>
    <row r="457" spans="1:43" ht="15.75" customHeight="1">
      <c r="A457" s="28">
        <v>6</v>
      </c>
      <c r="B457" s="29" t="s">
        <v>3695</v>
      </c>
      <c r="C457" s="30" t="s">
        <v>3696</v>
      </c>
      <c r="D457" s="31" t="s">
        <v>3697</v>
      </c>
      <c r="E457" s="30" t="s">
        <v>49</v>
      </c>
      <c r="F457" s="30" t="s">
        <v>50</v>
      </c>
      <c r="G457" s="30" t="s">
        <v>51</v>
      </c>
      <c r="H457" s="28" t="s">
        <v>85</v>
      </c>
      <c r="I457" s="30"/>
      <c r="J457" s="30" t="s">
        <v>53</v>
      </c>
      <c r="K457" s="30" t="s">
        <v>3698</v>
      </c>
      <c r="L457" s="30" t="s">
        <v>55</v>
      </c>
      <c r="M457" s="30" t="s">
        <v>656</v>
      </c>
      <c r="N457" s="30" t="s">
        <v>3699</v>
      </c>
      <c r="O457" s="30" t="s">
        <v>2679</v>
      </c>
      <c r="P457" s="30" t="s">
        <v>3700</v>
      </c>
      <c r="Q457" s="28" t="s">
        <v>3701</v>
      </c>
      <c r="R457" s="30" t="s">
        <v>3702</v>
      </c>
      <c r="S457" s="30" t="s">
        <v>53</v>
      </c>
      <c r="T457" s="30"/>
      <c r="U457" s="28" t="s">
        <v>1657</v>
      </c>
      <c r="V457" s="30" t="s">
        <v>63</v>
      </c>
      <c r="W457" s="30" t="s">
        <v>3665</v>
      </c>
      <c r="X457" s="32">
        <v>43466</v>
      </c>
      <c r="Y457" s="32">
        <v>45352</v>
      </c>
      <c r="Z457" s="30" t="s">
        <v>65</v>
      </c>
      <c r="AA457" s="28" t="s">
        <v>134</v>
      </c>
      <c r="AB457" s="28" t="s">
        <v>67</v>
      </c>
      <c r="AC457" s="29"/>
      <c r="AD457" s="28">
        <v>0</v>
      </c>
      <c r="AE457" s="29"/>
      <c r="AF457" s="31"/>
      <c r="AG457" s="30" t="s">
        <v>1579</v>
      </c>
      <c r="AH457" s="28"/>
      <c r="AI457" s="28" t="s">
        <v>53</v>
      </c>
      <c r="AJ457" s="33">
        <v>36522</v>
      </c>
      <c r="AK457" s="28">
        <v>8</v>
      </c>
      <c r="AL457" s="28">
        <v>17</v>
      </c>
      <c r="AM457" s="21"/>
      <c r="AN457" s="27"/>
      <c r="AO457" s="27"/>
      <c r="AP457" s="27"/>
      <c r="AQ457" s="27"/>
    </row>
    <row r="458" spans="1:43" ht="15.75" customHeight="1">
      <c r="A458" s="28">
        <v>7</v>
      </c>
      <c r="B458" s="29" t="s">
        <v>3703</v>
      </c>
      <c r="C458" s="30" t="s">
        <v>3704</v>
      </c>
      <c r="D458" s="31" t="s">
        <v>3705</v>
      </c>
      <c r="E458" s="30" t="s">
        <v>72</v>
      </c>
      <c r="F458" s="30" t="s">
        <v>50</v>
      </c>
      <c r="G458" s="30" t="s">
        <v>51</v>
      </c>
      <c r="H458" s="28" t="s">
        <v>85</v>
      </c>
      <c r="I458" s="30"/>
      <c r="J458" s="30" t="s">
        <v>53</v>
      </c>
      <c r="K458" s="30" t="s">
        <v>3706</v>
      </c>
      <c r="L458" s="30" t="s">
        <v>55</v>
      </c>
      <c r="M458" s="30" t="s">
        <v>3707</v>
      </c>
      <c r="N458" s="30" t="s">
        <v>3708</v>
      </c>
      <c r="O458" s="30" t="s">
        <v>58</v>
      </c>
      <c r="P458" s="30" t="s">
        <v>3709</v>
      </c>
      <c r="Q458" s="28" t="s">
        <v>3710</v>
      </c>
      <c r="R458" s="30" t="s">
        <v>3711</v>
      </c>
      <c r="S458" s="30" t="s">
        <v>53</v>
      </c>
      <c r="T458" s="30"/>
      <c r="U458" s="28" t="s">
        <v>3531</v>
      </c>
      <c r="V458" s="30" t="s">
        <v>63</v>
      </c>
      <c r="W458" s="30" t="s">
        <v>3665</v>
      </c>
      <c r="X458" s="32">
        <v>44713</v>
      </c>
      <c r="Y458" s="32">
        <v>46174</v>
      </c>
      <c r="Z458" s="30" t="s">
        <v>65</v>
      </c>
      <c r="AA458" s="28" t="s">
        <v>246</v>
      </c>
      <c r="AB458" s="28" t="s">
        <v>67</v>
      </c>
      <c r="AC458" s="29"/>
      <c r="AD458" s="28">
        <v>0</v>
      </c>
      <c r="AE458" s="29"/>
      <c r="AF458" s="31"/>
      <c r="AG458" s="30" t="s">
        <v>1579</v>
      </c>
      <c r="AH458" s="28"/>
      <c r="AI458" s="28" t="s">
        <v>53</v>
      </c>
      <c r="AJ458" s="33">
        <v>36506</v>
      </c>
      <c r="AK458" s="28">
        <v>3</v>
      </c>
      <c r="AL458" s="28">
        <v>17</v>
      </c>
      <c r="AM458" s="21"/>
      <c r="AN458" s="27"/>
      <c r="AO458" s="27"/>
      <c r="AP458" s="27"/>
      <c r="AQ458" s="27"/>
    </row>
    <row r="459" spans="1:43" ht="15.75" customHeight="1">
      <c r="A459" s="28">
        <v>8</v>
      </c>
      <c r="B459" s="29" t="s">
        <v>3712</v>
      </c>
      <c r="C459" s="30"/>
      <c r="D459" s="31" t="s">
        <v>3713</v>
      </c>
      <c r="E459" s="30" t="s">
        <v>72</v>
      </c>
      <c r="F459" s="30" t="s">
        <v>50</v>
      </c>
      <c r="G459" s="30" t="s">
        <v>51</v>
      </c>
      <c r="H459" s="28" t="s">
        <v>85</v>
      </c>
      <c r="I459" s="30"/>
      <c r="J459" s="30" t="s">
        <v>53</v>
      </c>
      <c r="K459" s="30" t="s">
        <v>3714</v>
      </c>
      <c r="L459" s="30" t="s">
        <v>55</v>
      </c>
      <c r="M459" s="30" t="s">
        <v>1573</v>
      </c>
      <c r="N459" s="30" t="s">
        <v>3715</v>
      </c>
      <c r="O459" s="30" t="s">
        <v>3414</v>
      </c>
      <c r="P459" s="30" t="s">
        <v>3716</v>
      </c>
      <c r="Q459" s="28"/>
      <c r="R459" s="30" t="s">
        <v>3717</v>
      </c>
      <c r="S459" s="30" t="s">
        <v>53</v>
      </c>
      <c r="T459" s="30"/>
      <c r="U459" s="28" t="s">
        <v>1657</v>
      </c>
      <c r="V459" s="30" t="s">
        <v>63</v>
      </c>
      <c r="W459" s="30" t="s">
        <v>3665</v>
      </c>
      <c r="X459" s="32">
        <v>44197</v>
      </c>
      <c r="Y459" s="32">
        <v>45627</v>
      </c>
      <c r="Z459" s="30" t="s">
        <v>65</v>
      </c>
      <c r="AA459" s="28" t="s">
        <v>134</v>
      </c>
      <c r="AB459" s="28" t="s">
        <v>67</v>
      </c>
      <c r="AC459" s="29"/>
      <c r="AD459" s="28">
        <v>0</v>
      </c>
      <c r="AE459" s="29"/>
      <c r="AF459" s="31"/>
      <c r="AG459" s="30" t="s">
        <v>1579</v>
      </c>
      <c r="AH459" s="28"/>
      <c r="AI459" s="28" t="s">
        <v>53</v>
      </c>
      <c r="AJ459" s="33">
        <v>35463</v>
      </c>
      <c r="AK459" s="28">
        <v>5</v>
      </c>
      <c r="AL459" s="28">
        <v>16</v>
      </c>
      <c r="AM459" s="21"/>
      <c r="AN459" s="27"/>
      <c r="AO459" s="27"/>
      <c r="AP459" s="27"/>
      <c r="AQ459" s="27"/>
    </row>
    <row r="460" spans="1:43" ht="15.75" customHeight="1">
      <c r="A460" s="28">
        <v>9</v>
      </c>
      <c r="B460" s="29" t="s">
        <v>3718</v>
      </c>
      <c r="C460" s="30"/>
      <c r="D460" s="31" t="s">
        <v>3719</v>
      </c>
      <c r="E460" s="30" t="s">
        <v>72</v>
      </c>
      <c r="F460" s="30" t="s">
        <v>50</v>
      </c>
      <c r="G460" s="30" t="s">
        <v>51</v>
      </c>
      <c r="H460" s="28" t="s">
        <v>191</v>
      </c>
      <c r="I460" s="30"/>
      <c r="J460" s="30" t="s">
        <v>53</v>
      </c>
      <c r="K460" s="30" t="s">
        <v>3720</v>
      </c>
      <c r="L460" s="30" t="s">
        <v>55</v>
      </c>
      <c r="M460" s="30" t="s">
        <v>656</v>
      </c>
      <c r="N460" s="30" t="s">
        <v>3721</v>
      </c>
      <c r="O460" s="30" t="s">
        <v>2123</v>
      </c>
      <c r="P460" s="30" t="s">
        <v>3722</v>
      </c>
      <c r="Q460" s="28" t="s">
        <v>3723</v>
      </c>
      <c r="R460" s="30" t="s">
        <v>3724</v>
      </c>
      <c r="S460" s="30" t="s">
        <v>53</v>
      </c>
      <c r="T460" s="30"/>
      <c r="U460" s="28" t="s">
        <v>2010</v>
      </c>
      <c r="V460" s="30" t="s">
        <v>63</v>
      </c>
      <c r="W460" s="30" t="s">
        <v>3665</v>
      </c>
      <c r="X460" s="32">
        <v>43891</v>
      </c>
      <c r="Y460" s="32">
        <v>45261</v>
      </c>
      <c r="Z460" s="30" t="s">
        <v>65</v>
      </c>
      <c r="AA460" s="28" t="s">
        <v>66</v>
      </c>
      <c r="AB460" s="28" t="s">
        <v>67</v>
      </c>
      <c r="AC460" s="29"/>
      <c r="AD460" s="28">
        <v>0</v>
      </c>
      <c r="AE460" s="29"/>
      <c r="AF460" s="31"/>
      <c r="AG460" s="30" t="s">
        <v>1579</v>
      </c>
      <c r="AH460" s="28"/>
      <c r="AI460" s="28" t="s">
        <v>53</v>
      </c>
      <c r="AJ460" s="33">
        <v>36327</v>
      </c>
      <c r="AK460" s="28">
        <v>7</v>
      </c>
      <c r="AL460" s="28">
        <v>16</v>
      </c>
      <c r="AM460" s="21"/>
      <c r="AN460" s="27"/>
      <c r="AO460" s="27"/>
      <c r="AP460" s="27"/>
      <c r="AQ460" s="27"/>
    </row>
    <row r="461" spans="1:43" ht="15.75" customHeight="1">
      <c r="A461" s="28">
        <v>1</v>
      </c>
      <c r="B461" s="29" t="s">
        <v>3725</v>
      </c>
      <c r="C461" s="30" t="s">
        <v>3726</v>
      </c>
      <c r="D461" s="31" t="s">
        <v>3727</v>
      </c>
      <c r="E461" s="30" t="s">
        <v>72</v>
      </c>
      <c r="F461" s="30" t="s">
        <v>50</v>
      </c>
      <c r="G461" s="30" t="s">
        <v>51</v>
      </c>
      <c r="H461" s="28" t="s">
        <v>52</v>
      </c>
      <c r="I461" s="30"/>
      <c r="J461" s="30" t="s">
        <v>53</v>
      </c>
      <c r="K461" s="30" t="s">
        <v>3728</v>
      </c>
      <c r="L461" s="30" t="s">
        <v>55</v>
      </c>
      <c r="M461" s="30" t="s">
        <v>1573</v>
      </c>
      <c r="N461" s="30" t="s">
        <v>3729</v>
      </c>
      <c r="O461" s="30" t="s">
        <v>1470</v>
      </c>
      <c r="P461" s="30" t="s">
        <v>3730</v>
      </c>
      <c r="Q461" s="28"/>
      <c r="R461" s="30" t="s">
        <v>3731</v>
      </c>
      <c r="S461" s="30" t="s">
        <v>53</v>
      </c>
      <c r="T461" s="30"/>
      <c r="U461" s="28" t="s">
        <v>1798</v>
      </c>
      <c r="V461" s="30" t="s">
        <v>63</v>
      </c>
      <c r="W461" s="30" t="s">
        <v>548</v>
      </c>
      <c r="X461" s="32">
        <v>44743</v>
      </c>
      <c r="Y461" s="32">
        <v>45261</v>
      </c>
      <c r="Z461" s="30" t="s">
        <v>65</v>
      </c>
      <c r="AA461" s="28" t="s">
        <v>246</v>
      </c>
      <c r="AB461" s="28" t="s">
        <v>67</v>
      </c>
      <c r="AC461" s="29"/>
      <c r="AD461" s="28">
        <v>0</v>
      </c>
      <c r="AE461" s="29"/>
      <c r="AF461" s="31"/>
      <c r="AG461" s="30" t="s">
        <v>1579</v>
      </c>
      <c r="AH461" s="28"/>
      <c r="AI461" s="28" t="s">
        <v>53</v>
      </c>
      <c r="AJ461" s="33">
        <v>34599</v>
      </c>
      <c r="AK461" s="28">
        <v>8</v>
      </c>
      <c r="AL461" s="28">
        <v>26</v>
      </c>
      <c r="AM461" s="21"/>
      <c r="AN461" s="27"/>
      <c r="AO461" s="27"/>
      <c r="AP461" s="27"/>
      <c r="AQ461" s="27"/>
    </row>
    <row r="462" spans="1:43" ht="15.75" customHeight="1">
      <c r="A462" s="28">
        <v>2</v>
      </c>
      <c r="B462" s="29" t="s">
        <v>3732</v>
      </c>
      <c r="C462" s="30" t="s">
        <v>3733</v>
      </c>
      <c r="D462" s="31" t="s">
        <v>3734</v>
      </c>
      <c r="E462" s="30" t="s">
        <v>72</v>
      </c>
      <c r="F462" s="30" t="s">
        <v>50</v>
      </c>
      <c r="G462" s="30" t="s">
        <v>51</v>
      </c>
      <c r="H462" s="28" t="s">
        <v>52</v>
      </c>
      <c r="I462" s="30"/>
      <c r="J462" s="30" t="s">
        <v>53</v>
      </c>
      <c r="K462" s="30" t="s">
        <v>3735</v>
      </c>
      <c r="L462" s="30" t="s">
        <v>55</v>
      </c>
      <c r="M462" s="30" t="s">
        <v>1573</v>
      </c>
      <c r="N462" s="30" t="s">
        <v>3736</v>
      </c>
      <c r="O462" s="30" t="s">
        <v>1688</v>
      </c>
      <c r="P462" s="30" t="s">
        <v>3737</v>
      </c>
      <c r="Q462" s="28"/>
      <c r="R462" s="30" t="s">
        <v>3738</v>
      </c>
      <c r="S462" s="30" t="s">
        <v>53</v>
      </c>
      <c r="T462" s="30"/>
      <c r="U462" s="28" t="s">
        <v>3739</v>
      </c>
      <c r="V462" s="30" t="s">
        <v>63</v>
      </c>
      <c r="W462" s="30" t="s">
        <v>548</v>
      </c>
      <c r="X462" s="32">
        <v>44682</v>
      </c>
      <c r="Y462" s="32">
        <v>45992</v>
      </c>
      <c r="Z462" s="30" t="s">
        <v>65</v>
      </c>
      <c r="AA462" s="28" t="s">
        <v>66</v>
      </c>
      <c r="AB462" s="28" t="s">
        <v>67</v>
      </c>
      <c r="AC462" s="29"/>
      <c r="AD462" s="28">
        <v>0</v>
      </c>
      <c r="AE462" s="29"/>
      <c r="AF462" s="31"/>
      <c r="AG462" s="30" t="s">
        <v>1579</v>
      </c>
      <c r="AH462" s="28" t="s">
        <v>431</v>
      </c>
      <c r="AI462" s="28" t="s">
        <v>53</v>
      </c>
      <c r="AJ462" s="33">
        <v>38121</v>
      </c>
      <c r="AK462" s="28">
        <v>3</v>
      </c>
      <c r="AL462" s="28">
        <v>22</v>
      </c>
      <c r="AM462" s="21"/>
      <c r="AN462" s="27"/>
      <c r="AO462" s="27"/>
      <c r="AP462" s="27"/>
      <c r="AQ462" s="27"/>
    </row>
    <row r="463" spans="1:43" ht="15.75" customHeight="1">
      <c r="A463" s="28">
        <v>3</v>
      </c>
      <c r="B463" s="29" t="s">
        <v>3740</v>
      </c>
      <c r="C463" s="30" t="s">
        <v>3741</v>
      </c>
      <c r="D463" s="31" t="s">
        <v>3742</v>
      </c>
      <c r="E463" s="30" t="s">
        <v>72</v>
      </c>
      <c r="F463" s="30" t="s">
        <v>84</v>
      </c>
      <c r="G463" s="30" t="s">
        <v>51</v>
      </c>
      <c r="H463" s="28" t="s">
        <v>85</v>
      </c>
      <c r="I463" s="30"/>
      <c r="J463" s="30" t="s">
        <v>53</v>
      </c>
      <c r="K463" s="30" t="s">
        <v>3743</v>
      </c>
      <c r="L463" s="30" t="s">
        <v>55</v>
      </c>
      <c r="M463" s="30" t="s">
        <v>1573</v>
      </c>
      <c r="N463" s="30" t="s">
        <v>3744</v>
      </c>
      <c r="O463" s="30" t="s">
        <v>3745</v>
      </c>
      <c r="P463" s="30" t="s">
        <v>3746</v>
      </c>
      <c r="Q463" s="28"/>
      <c r="R463" s="30" t="s">
        <v>3747</v>
      </c>
      <c r="S463" s="30" t="s">
        <v>53</v>
      </c>
      <c r="T463" s="30"/>
      <c r="U463" s="28" t="s">
        <v>2174</v>
      </c>
      <c r="V463" s="30" t="s">
        <v>63</v>
      </c>
      <c r="W463" s="30" t="s">
        <v>548</v>
      </c>
      <c r="X463" s="32">
        <v>44927</v>
      </c>
      <c r="Y463" s="32">
        <v>46204</v>
      </c>
      <c r="Z463" s="30" t="s">
        <v>65</v>
      </c>
      <c r="AA463" s="28" t="s">
        <v>66</v>
      </c>
      <c r="AB463" s="28" t="s">
        <v>67</v>
      </c>
      <c r="AC463" s="29"/>
      <c r="AD463" s="28">
        <v>0</v>
      </c>
      <c r="AE463" s="29"/>
      <c r="AF463" s="31"/>
      <c r="AG463" s="30" t="s">
        <v>1579</v>
      </c>
      <c r="AH463" s="28"/>
      <c r="AI463" s="28" t="s">
        <v>53</v>
      </c>
      <c r="AJ463" s="33">
        <v>33149</v>
      </c>
      <c r="AK463" s="28">
        <v>3</v>
      </c>
      <c r="AL463" s="28">
        <v>22</v>
      </c>
      <c r="AM463" s="21"/>
      <c r="AN463" s="27"/>
      <c r="AO463" s="27"/>
      <c r="AP463" s="27"/>
      <c r="AQ463" s="27"/>
    </row>
    <row r="464" spans="1:43" ht="15.75" customHeight="1">
      <c r="A464" s="28">
        <v>4</v>
      </c>
      <c r="B464" s="29" t="s">
        <v>3748</v>
      </c>
      <c r="C464" s="30" t="s">
        <v>3749</v>
      </c>
      <c r="D464" s="31" t="s">
        <v>3750</v>
      </c>
      <c r="E464" s="30" t="s">
        <v>72</v>
      </c>
      <c r="F464" s="30" t="s">
        <v>50</v>
      </c>
      <c r="G464" s="30" t="s">
        <v>51</v>
      </c>
      <c r="H464" s="28" t="s">
        <v>191</v>
      </c>
      <c r="I464" s="30"/>
      <c r="J464" s="30" t="s">
        <v>53</v>
      </c>
      <c r="K464" s="30" t="s">
        <v>3751</v>
      </c>
      <c r="L464" s="30" t="s">
        <v>55</v>
      </c>
      <c r="M464" s="30" t="s">
        <v>1573</v>
      </c>
      <c r="N464" s="30" t="s">
        <v>3752</v>
      </c>
      <c r="O464" s="30" t="s">
        <v>3753</v>
      </c>
      <c r="P464" s="30" t="s">
        <v>3754</v>
      </c>
      <c r="Q464" s="28" t="s">
        <v>3755</v>
      </c>
      <c r="R464" s="30" t="s">
        <v>3756</v>
      </c>
      <c r="S464" s="30" t="s">
        <v>53</v>
      </c>
      <c r="T464" s="30"/>
      <c r="U464" s="28" t="s">
        <v>1732</v>
      </c>
      <c r="V464" s="30" t="s">
        <v>63</v>
      </c>
      <c r="W464" s="30" t="s">
        <v>548</v>
      </c>
      <c r="X464" s="32">
        <v>43160</v>
      </c>
      <c r="Y464" s="32">
        <v>45992</v>
      </c>
      <c r="Z464" s="30" t="s">
        <v>65</v>
      </c>
      <c r="AA464" s="28" t="s">
        <v>66</v>
      </c>
      <c r="AB464" s="28" t="s">
        <v>67</v>
      </c>
      <c r="AC464" s="29"/>
      <c r="AD464" s="28">
        <v>0</v>
      </c>
      <c r="AE464" s="29"/>
      <c r="AF464" s="31"/>
      <c r="AG464" s="30" t="s">
        <v>1579</v>
      </c>
      <c r="AH464" s="28"/>
      <c r="AI464" s="28" t="s">
        <v>53</v>
      </c>
      <c r="AJ464" s="33">
        <v>35460</v>
      </c>
      <c r="AK464" s="28">
        <v>5</v>
      </c>
      <c r="AL464" s="28">
        <v>22</v>
      </c>
      <c r="AM464" s="21"/>
      <c r="AN464" s="27"/>
      <c r="AO464" s="27"/>
      <c r="AP464" s="27"/>
      <c r="AQ464" s="27"/>
    </row>
    <row r="465" spans="1:43" ht="15.75" customHeight="1">
      <c r="A465" s="28">
        <v>5</v>
      </c>
      <c r="B465" s="29" t="s">
        <v>3757</v>
      </c>
      <c r="C465" s="30" t="s">
        <v>3758</v>
      </c>
      <c r="D465" s="31" t="s">
        <v>3759</v>
      </c>
      <c r="E465" s="30" t="s">
        <v>72</v>
      </c>
      <c r="F465" s="30" t="s">
        <v>50</v>
      </c>
      <c r="G465" s="30" t="s">
        <v>51</v>
      </c>
      <c r="H465" s="28" t="s">
        <v>52</v>
      </c>
      <c r="I465" s="30"/>
      <c r="J465" s="30" t="s">
        <v>53</v>
      </c>
      <c r="K465" s="30" t="s">
        <v>3760</v>
      </c>
      <c r="L465" s="30" t="s">
        <v>55</v>
      </c>
      <c r="M465" s="30" t="s">
        <v>1573</v>
      </c>
      <c r="N465" s="30" t="s">
        <v>3761</v>
      </c>
      <c r="O465" s="30" t="s">
        <v>95</v>
      </c>
      <c r="P465" s="30" t="s">
        <v>3762</v>
      </c>
      <c r="Q465" s="28"/>
      <c r="R465" s="30" t="s">
        <v>3763</v>
      </c>
      <c r="S465" s="30" t="s">
        <v>53</v>
      </c>
      <c r="T465" s="30"/>
      <c r="U465" s="28" t="s">
        <v>3764</v>
      </c>
      <c r="V465" s="30" t="s">
        <v>63</v>
      </c>
      <c r="W465" s="30" t="s">
        <v>548</v>
      </c>
      <c r="X465" s="32">
        <v>44593</v>
      </c>
      <c r="Y465" s="32">
        <v>45992</v>
      </c>
      <c r="Z465" s="30" t="s">
        <v>65</v>
      </c>
      <c r="AA465" s="28" t="s">
        <v>246</v>
      </c>
      <c r="AB465" s="28" t="s">
        <v>67</v>
      </c>
      <c r="AC465" s="29"/>
      <c r="AD465" s="28">
        <v>0</v>
      </c>
      <c r="AE465" s="29"/>
      <c r="AF465" s="31"/>
      <c r="AG465" s="30" t="s">
        <v>1579</v>
      </c>
      <c r="AH465" s="28"/>
      <c r="AI465" s="28" t="s">
        <v>53</v>
      </c>
      <c r="AJ465" s="33">
        <v>34822</v>
      </c>
      <c r="AK465" s="28">
        <v>4</v>
      </c>
      <c r="AL465" s="28">
        <v>20</v>
      </c>
      <c r="AM465" s="21"/>
      <c r="AN465" s="27"/>
      <c r="AO465" s="27"/>
      <c r="AP465" s="27"/>
      <c r="AQ465" s="27"/>
    </row>
    <row r="466" spans="1:43" ht="15.75" customHeight="1">
      <c r="A466" s="28">
        <v>6</v>
      </c>
      <c r="B466" s="29" t="s">
        <v>3765</v>
      </c>
      <c r="C466" s="30" t="s">
        <v>3766</v>
      </c>
      <c r="D466" s="31" t="s">
        <v>3767</v>
      </c>
      <c r="E466" s="30" t="s">
        <v>72</v>
      </c>
      <c r="F466" s="30" t="s">
        <v>3768</v>
      </c>
      <c r="G466" s="30" t="s">
        <v>51</v>
      </c>
      <c r="H466" s="28" t="s">
        <v>52</v>
      </c>
      <c r="I466" s="30"/>
      <c r="J466" s="30" t="s">
        <v>53</v>
      </c>
      <c r="K466" s="30" t="s">
        <v>3769</v>
      </c>
      <c r="L466" s="30" t="s">
        <v>55</v>
      </c>
      <c r="M466" s="30" t="s">
        <v>656</v>
      </c>
      <c r="N466" s="30" t="s">
        <v>3770</v>
      </c>
      <c r="O466" s="30" t="s">
        <v>3771</v>
      </c>
      <c r="P466" s="30" t="s">
        <v>3772</v>
      </c>
      <c r="Q466" s="28"/>
      <c r="R466" s="30" t="s">
        <v>3773</v>
      </c>
      <c r="S466" s="30" t="s">
        <v>53</v>
      </c>
      <c r="T466" s="30"/>
      <c r="U466" s="28" t="s">
        <v>1598</v>
      </c>
      <c r="V466" s="30" t="s">
        <v>63</v>
      </c>
      <c r="W466" s="30" t="s">
        <v>548</v>
      </c>
      <c r="X466" s="32">
        <v>43891</v>
      </c>
      <c r="Y466" s="32">
        <v>45261</v>
      </c>
      <c r="Z466" s="30" t="s">
        <v>65</v>
      </c>
      <c r="AA466" s="28" t="s">
        <v>246</v>
      </c>
      <c r="AB466" s="28" t="s">
        <v>67</v>
      </c>
      <c r="AC466" s="29"/>
      <c r="AD466" s="28">
        <v>0</v>
      </c>
      <c r="AE466" s="29"/>
      <c r="AF466" s="31"/>
      <c r="AG466" s="30" t="s">
        <v>1579</v>
      </c>
      <c r="AH466" s="28"/>
      <c r="AI466" s="28" t="s">
        <v>53</v>
      </c>
      <c r="AJ466" s="33">
        <v>25982</v>
      </c>
      <c r="AK466" s="28">
        <v>7</v>
      </c>
      <c r="AL466" s="28">
        <v>16</v>
      </c>
      <c r="AM466" s="21"/>
      <c r="AN466" s="27"/>
      <c r="AO466" s="27"/>
      <c r="AP466" s="27"/>
      <c r="AQ466" s="27"/>
    </row>
    <row r="467" spans="1:43" ht="15.75" customHeight="1">
      <c r="A467" s="28">
        <v>7</v>
      </c>
      <c r="B467" s="29" t="s">
        <v>3774</v>
      </c>
      <c r="C467" s="30"/>
      <c r="D467" s="31" t="s">
        <v>3775</v>
      </c>
      <c r="E467" s="30" t="s">
        <v>72</v>
      </c>
      <c r="F467" s="30" t="s">
        <v>50</v>
      </c>
      <c r="G467" s="30" t="s">
        <v>51</v>
      </c>
      <c r="H467" s="28" t="s">
        <v>191</v>
      </c>
      <c r="I467" s="30"/>
      <c r="J467" s="30" t="s">
        <v>53</v>
      </c>
      <c r="K467" s="30" t="s">
        <v>3776</v>
      </c>
      <c r="L467" s="30" t="s">
        <v>55</v>
      </c>
      <c r="M467" s="30" t="s">
        <v>656</v>
      </c>
      <c r="N467" s="30" t="s">
        <v>3777</v>
      </c>
      <c r="O467" s="30" t="s">
        <v>3778</v>
      </c>
      <c r="P467" s="30" t="s">
        <v>3779</v>
      </c>
      <c r="Q467" s="28" t="s">
        <v>3780</v>
      </c>
      <c r="R467" s="30" t="s">
        <v>3781</v>
      </c>
      <c r="S467" s="30" t="s">
        <v>53</v>
      </c>
      <c r="T467" s="30"/>
      <c r="U467" s="28" t="s">
        <v>765</v>
      </c>
      <c r="V467" s="30" t="s">
        <v>63</v>
      </c>
      <c r="W467" s="30" t="s">
        <v>548</v>
      </c>
      <c r="X467" s="32">
        <v>44593</v>
      </c>
      <c r="Y467" s="32">
        <v>45992</v>
      </c>
      <c r="Z467" s="30" t="s">
        <v>65</v>
      </c>
      <c r="AA467" s="28" t="s">
        <v>134</v>
      </c>
      <c r="AB467" s="28" t="s">
        <v>67</v>
      </c>
      <c r="AC467" s="29"/>
      <c r="AD467" s="28">
        <v>0</v>
      </c>
      <c r="AE467" s="29"/>
      <c r="AF467" s="31"/>
      <c r="AG467" s="30" t="s">
        <v>1579</v>
      </c>
      <c r="AH467" s="28"/>
      <c r="AI467" s="28" t="s">
        <v>53</v>
      </c>
      <c r="AJ467" s="33">
        <v>38061</v>
      </c>
      <c r="AK467" s="28">
        <v>4</v>
      </c>
      <c r="AL467" s="28">
        <v>15</v>
      </c>
      <c r="AM467" s="21"/>
      <c r="AN467" s="27"/>
      <c r="AO467" s="27"/>
      <c r="AP467" s="27"/>
      <c r="AQ467" s="27"/>
    </row>
    <row r="468" spans="1:43" ht="15.75" customHeight="1">
      <c r="A468" s="28">
        <v>1</v>
      </c>
      <c r="B468" s="29" t="s">
        <v>3782</v>
      </c>
      <c r="C468" s="30"/>
      <c r="D468" s="31" t="s">
        <v>3783</v>
      </c>
      <c r="E468" s="30" t="s">
        <v>72</v>
      </c>
      <c r="F468" s="30" t="s">
        <v>50</v>
      </c>
      <c r="G468" s="30" t="s">
        <v>51</v>
      </c>
      <c r="H468" s="28" t="s">
        <v>52</v>
      </c>
      <c r="I468" s="30"/>
      <c r="J468" s="30" t="s">
        <v>53</v>
      </c>
      <c r="K468" s="30" t="s">
        <v>3784</v>
      </c>
      <c r="L468" s="30" t="s">
        <v>55</v>
      </c>
      <c r="M468" s="30" t="s">
        <v>1573</v>
      </c>
      <c r="N468" s="30" t="s">
        <v>3785</v>
      </c>
      <c r="O468" s="30" t="s">
        <v>1585</v>
      </c>
      <c r="P468" s="30" t="s">
        <v>3786</v>
      </c>
      <c r="Q468" s="28"/>
      <c r="R468" s="30" t="s">
        <v>3787</v>
      </c>
      <c r="S468" s="30" t="s">
        <v>53</v>
      </c>
      <c r="T468" s="30"/>
      <c r="U468" s="28" t="s">
        <v>765</v>
      </c>
      <c r="V468" s="30" t="s">
        <v>63</v>
      </c>
      <c r="W468" s="30" t="s">
        <v>204</v>
      </c>
      <c r="X468" s="32">
        <v>47484</v>
      </c>
      <c r="Y468" s="32">
        <v>45627</v>
      </c>
      <c r="Z468" s="30" t="s">
        <v>65</v>
      </c>
      <c r="AA468" s="28" t="s">
        <v>134</v>
      </c>
      <c r="AB468" s="28" t="s">
        <v>67</v>
      </c>
      <c r="AC468" s="29"/>
      <c r="AD468" s="28">
        <v>0</v>
      </c>
      <c r="AE468" s="29"/>
      <c r="AF468" s="31"/>
      <c r="AG468" s="30" t="s">
        <v>1579</v>
      </c>
      <c r="AH468" s="28"/>
      <c r="AI468" s="28" t="s">
        <v>53</v>
      </c>
      <c r="AJ468" s="33">
        <v>37424</v>
      </c>
      <c r="AK468" s="28">
        <v>8</v>
      </c>
      <c r="AL468" s="28">
        <v>27</v>
      </c>
      <c r="AM468" s="21"/>
      <c r="AN468" s="27"/>
      <c r="AO468" s="27"/>
      <c r="AP468" s="27"/>
      <c r="AQ468" s="27"/>
    </row>
    <row r="469" spans="1:43" ht="15.75" customHeight="1">
      <c r="A469" s="28">
        <v>2</v>
      </c>
      <c r="B469" s="29" t="s">
        <v>3788</v>
      </c>
      <c r="C469" s="30" t="s">
        <v>3789</v>
      </c>
      <c r="D469" s="31" t="s">
        <v>3790</v>
      </c>
      <c r="E469" s="30" t="s">
        <v>72</v>
      </c>
      <c r="F469" s="30" t="s">
        <v>50</v>
      </c>
      <c r="G469" s="30" t="s">
        <v>51</v>
      </c>
      <c r="H469" s="28" t="s">
        <v>191</v>
      </c>
      <c r="I469" s="30"/>
      <c r="J469" s="30" t="s">
        <v>53</v>
      </c>
      <c r="K469" s="30" t="s">
        <v>3791</v>
      </c>
      <c r="L469" s="30" t="s">
        <v>55</v>
      </c>
      <c r="M469" s="30" t="s">
        <v>1573</v>
      </c>
      <c r="N469" s="30" t="s">
        <v>3792</v>
      </c>
      <c r="O469" s="30" t="s">
        <v>1679</v>
      </c>
      <c r="P469" s="30" t="s">
        <v>3793</v>
      </c>
      <c r="Q469" s="28"/>
      <c r="R469" s="30" t="s">
        <v>3794</v>
      </c>
      <c r="S469" s="30" t="s">
        <v>53</v>
      </c>
      <c r="T469" s="30"/>
      <c r="U469" s="28" t="s">
        <v>1615</v>
      </c>
      <c r="V469" s="30" t="s">
        <v>63</v>
      </c>
      <c r="W469" s="30" t="s">
        <v>204</v>
      </c>
      <c r="X469" s="32">
        <v>43862</v>
      </c>
      <c r="Y469" s="32">
        <v>45627</v>
      </c>
      <c r="Z469" s="30" t="s">
        <v>65</v>
      </c>
      <c r="AA469" s="28" t="s">
        <v>66</v>
      </c>
      <c r="AB469" s="28" t="s">
        <v>67</v>
      </c>
      <c r="AC469" s="29"/>
      <c r="AD469" s="28">
        <v>0</v>
      </c>
      <c r="AE469" s="29"/>
      <c r="AF469" s="31"/>
      <c r="AG469" s="30" t="s">
        <v>1579</v>
      </c>
      <c r="AH469" s="28"/>
      <c r="AI469" s="28" t="s">
        <v>53</v>
      </c>
      <c r="AJ469" s="33">
        <v>36651</v>
      </c>
      <c r="AK469" s="28">
        <v>8</v>
      </c>
      <c r="AL469" s="28">
        <v>27</v>
      </c>
      <c r="AM469" s="21"/>
      <c r="AN469" s="27"/>
      <c r="AO469" s="27"/>
      <c r="AP469" s="27"/>
      <c r="AQ469" s="27"/>
    </row>
    <row r="470" spans="1:43" ht="15.75" customHeight="1">
      <c r="A470" s="28">
        <v>3</v>
      </c>
      <c r="B470" s="29" t="s">
        <v>3795</v>
      </c>
      <c r="C470" s="30" t="s">
        <v>3796</v>
      </c>
      <c r="D470" s="31" t="s">
        <v>3797</v>
      </c>
      <c r="E470" s="30" t="s">
        <v>72</v>
      </c>
      <c r="F470" s="30" t="s">
        <v>50</v>
      </c>
      <c r="G470" s="30" t="s">
        <v>51</v>
      </c>
      <c r="H470" s="28" t="s">
        <v>52</v>
      </c>
      <c r="I470" s="30"/>
      <c r="J470" s="30" t="s">
        <v>53</v>
      </c>
      <c r="K470" s="30" t="s">
        <v>3798</v>
      </c>
      <c r="L470" s="30" t="s">
        <v>55</v>
      </c>
      <c r="M470" s="30" t="s">
        <v>3799</v>
      </c>
      <c r="N470" s="30" t="s">
        <v>3800</v>
      </c>
      <c r="O470" s="30" t="s">
        <v>3801</v>
      </c>
      <c r="P470" s="30" t="s">
        <v>3802</v>
      </c>
      <c r="Q470" s="28" t="s">
        <v>3803</v>
      </c>
      <c r="R470" s="30" t="s">
        <v>3804</v>
      </c>
      <c r="S470" s="30" t="s">
        <v>53</v>
      </c>
      <c r="T470" s="30"/>
      <c r="U470" s="28" t="s">
        <v>2144</v>
      </c>
      <c r="V470" s="30" t="s">
        <v>63</v>
      </c>
      <c r="W470" s="30" t="s">
        <v>204</v>
      </c>
      <c r="X470" s="32">
        <v>44228</v>
      </c>
      <c r="Y470" s="32">
        <v>45992</v>
      </c>
      <c r="Z470" s="30" t="s">
        <v>65</v>
      </c>
      <c r="AA470" s="28" t="s">
        <v>66</v>
      </c>
      <c r="AB470" s="28" t="s">
        <v>67</v>
      </c>
      <c r="AC470" s="29"/>
      <c r="AD470" s="28">
        <v>0</v>
      </c>
      <c r="AE470" s="29"/>
      <c r="AF470" s="31"/>
      <c r="AG470" s="30" t="s">
        <v>1579</v>
      </c>
      <c r="AH470" s="28"/>
      <c r="AI470" s="28" t="s">
        <v>118</v>
      </c>
      <c r="AJ470" s="33">
        <v>37375</v>
      </c>
      <c r="AK470" s="28">
        <v>6</v>
      </c>
      <c r="AL470" s="28">
        <v>26</v>
      </c>
      <c r="AM470" s="21"/>
      <c r="AN470" s="27"/>
      <c r="AO470" s="27"/>
      <c r="AP470" s="27"/>
      <c r="AQ470" s="27"/>
    </row>
    <row r="471" spans="1:43" ht="15.75" customHeight="1">
      <c r="A471" s="28">
        <v>4</v>
      </c>
      <c r="B471" s="29" t="s">
        <v>3805</v>
      </c>
      <c r="C471" s="30"/>
      <c r="D471" s="31" t="s">
        <v>3806</v>
      </c>
      <c r="E471" s="30" t="s">
        <v>72</v>
      </c>
      <c r="F471" s="30" t="s">
        <v>50</v>
      </c>
      <c r="G471" s="30" t="s">
        <v>51</v>
      </c>
      <c r="H471" s="28" t="s">
        <v>85</v>
      </c>
      <c r="I471" s="30"/>
      <c r="J471" s="30" t="s">
        <v>53</v>
      </c>
      <c r="K471" s="30" t="s">
        <v>3807</v>
      </c>
      <c r="L471" s="30" t="s">
        <v>55</v>
      </c>
      <c r="M471" s="30" t="s">
        <v>656</v>
      </c>
      <c r="N471" s="30" t="s">
        <v>3808</v>
      </c>
      <c r="O471" s="30" t="s">
        <v>650</v>
      </c>
      <c r="P471" s="30" t="s">
        <v>3809</v>
      </c>
      <c r="Q471" s="28"/>
      <c r="R471" s="30" t="s">
        <v>3810</v>
      </c>
      <c r="S471" s="30" t="s">
        <v>53</v>
      </c>
      <c r="T471" s="30"/>
      <c r="U471" s="28" t="s">
        <v>765</v>
      </c>
      <c r="V471" s="30" t="s">
        <v>63</v>
      </c>
      <c r="W471" s="30" t="s">
        <v>204</v>
      </c>
      <c r="X471" s="32">
        <v>43862</v>
      </c>
      <c r="Y471" s="32">
        <v>45627</v>
      </c>
      <c r="Z471" s="30" t="s">
        <v>65</v>
      </c>
      <c r="AA471" s="28" t="s">
        <v>134</v>
      </c>
      <c r="AB471" s="28" t="s">
        <v>67</v>
      </c>
      <c r="AC471" s="29"/>
      <c r="AD471" s="28">
        <v>0</v>
      </c>
      <c r="AE471" s="29"/>
      <c r="AF471" s="31"/>
      <c r="AG471" s="30" t="s">
        <v>1579</v>
      </c>
      <c r="AH471" s="28"/>
      <c r="AI471" s="28" t="s">
        <v>53</v>
      </c>
      <c r="AJ471" s="33">
        <v>37409</v>
      </c>
      <c r="AK471" s="28">
        <v>8</v>
      </c>
      <c r="AL471" s="28">
        <v>26</v>
      </c>
      <c r="AM471" s="21"/>
      <c r="AN471" s="27"/>
      <c r="AO471" s="27"/>
      <c r="AP471" s="27"/>
      <c r="AQ471" s="27"/>
    </row>
    <row r="472" spans="1:43" ht="15.75" customHeight="1">
      <c r="A472" s="28">
        <v>5</v>
      </c>
      <c r="B472" s="29" t="s">
        <v>3811</v>
      </c>
      <c r="C472" s="30"/>
      <c r="D472" s="31" t="s">
        <v>3812</v>
      </c>
      <c r="E472" s="30" t="s">
        <v>49</v>
      </c>
      <c r="F472" s="30" t="s">
        <v>50</v>
      </c>
      <c r="G472" s="30" t="s">
        <v>51</v>
      </c>
      <c r="H472" s="28" t="s">
        <v>52</v>
      </c>
      <c r="I472" s="30"/>
      <c r="J472" s="30" t="s">
        <v>53</v>
      </c>
      <c r="K472" s="30" t="s">
        <v>3813</v>
      </c>
      <c r="L472" s="30" t="s">
        <v>55</v>
      </c>
      <c r="M472" s="30" t="s">
        <v>1573</v>
      </c>
      <c r="N472" s="30" t="s">
        <v>3814</v>
      </c>
      <c r="O472" s="30" t="s">
        <v>3815</v>
      </c>
      <c r="P472" s="30" t="s">
        <v>3816</v>
      </c>
      <c r="Q472" s="28"/>
      <c r="R472" s="30" t="s">
        <v>3817</v>
      </c>
      <c r="S472" s="30" t="s">
        <v>53</v>
      </c>
      <c r="T472" s="30"/>
      <c r="U472" s="28" t="s">
        <v>1756</v>
      </c>
      <c r="V472" s="30" t="s">
        <v>63</v>
      </c>
      <c r="W472" s="30" t="s">
        <v>204</v>
      </c>
      <c r="X472" s="32">
        <v>43862</v>
      </c>
      <c r="Y472" s="32">
        <v>45627</v>
      </c>
      <c r="Z472" s="30" t="s">
        <v>65</v>
      </c>
      <c r="AA472" s="28" t="s">
        <v>134</v>
      </c>
      <c r="AB472" s="28" t="s">
        <v>67</v>
      </c>
      <c r="AC472" s="29"/>
      <c r="AD472" s="28">
        <v>0</v>
      </c>
      <c r="AE472" s="29"/>
      <c r="AF472" s="31"/>
      <c r="AG472" s="30" t="s">
        <v>1579</v>
      </c>
      <c r="AH472" s="28"/>
      <c r="AI472" s="28" t="s">
        <v>53</v>
      </c>
      <c r="AJ472" s="33">
        <v>36682</v>
      </c>
      <c r="AK472" s="28">
        <v>8</v>
      </c>
      <c r="AL472" s="28">
        <v>26</v>
      </c>
      <c r="AM472" s="21"/>
      <c r="AN472" s="27"/>
      <c r="AO472" s="27"/>
      <c r="AP472" s="27"/>
      <c r="AQ472" s="27"/>
    </row>
    <row r="473" spans="1:43" ht="15.75" customHeight="1">
      <c r="A473" s="28">
        <v>6</v>
      </c>
      <c r="B473" s="29" t="s">
        <v>3818</v>
      </c>
      <c r="C473" s="30"/>
      <c r="D473" s="31" t="s">
        <v>3819</v>
      </c>
      <c r="E473" s="30" t="s">
        <v>72</v>
      </c>
      <c r="F473" s="30" t="s">
        <v>84</v>
      </c>
      <c r="G473" s="30" t="s">
        <v>51</v>
      </c>
      <c r="H473" s="28" t="s">
        <v>85</v>
      </c>
      <c r="I473" s="30"/>
      <c r="J473" s="30" t="s">
        <v>53</v>
      </c>
      <c r="K473" s="30" t="s">
        <v>3820</v>
      </c>
      <c r="L473" s="30" t="s">
        <v>55</v>
      </c>
      <c r="M473" s="30" t="s">
        <v>1573</v>
      </c>
      <c r="N473" s="30" t="s">
        <v>3821</v>
      </c>
      <c r="O473" s="30" t="s">
        <v>3405</v>
      </c>
      <c r="P473" s="30" t="s">
        <v>3822</v>
      </c>
      <c r="Q473" s="28"/>
      <c r="R473" s="30" t="s">
        <v>3823</v>
      </c>
      <c r="S473" s="30" t="s">
        <v>53</v>
      </c>
      <c r="T473" s="30"/>
      <c r="U473" s="28" t="s">
        <v>1756</v>
      </c>
      <c r="V473" s="30" t="s">
        <v>63</v>
      </c>
      <c r="W473" s="30" t="s">
        <v>204</v>
      </c>
      <c r="X473" s="32">
        <v>44409</v>
      </c>
      <c r="Y473" s="32">
        <v>45992</v>
      </c>
      <c r="Z473" s="30" t="s">
        <v>65</v>
      </c>
      <c r="AA473" s="28" t="s">
        <v>66</v>
      </c>
      <c r="AB473" s="28" t="s">
        <v>67</v>
      </c>
      <c r="AC473" s="29"/>
      <c r="AD473" s="28">
        <v>0</v>
      </c>
      <c r="AE473" s="29"/>
      <c r="AF473" s="31"/>
      <c r="AG473" s="30" t="s">
        <v>1579</v>
      </c>
      <c r="AH473" s="28"/>
      <c r="AI473" s="28" t="s">
        <v>53</v>
      </c>
      <c r="AJ473" s="33">
        <v>26509</v>
      </c>
      <c r="AK473" s="28">
        <v>6</v>
      </c>
      <c r="AL473" s="28">
        <v>24</v>
      </c>
      <c r="AM473" s="21"/>
      <c r="AN473" s="27"/>
      <c r="AO473" s="27"/>
      <c r="AP473" s="27"/>
      <c r="AQ473" s="27"/>
    </row>
    <row r="474" spans="1:43" ht="15.75" customHeight="1">
      <c r="A474" s="28">
        <v>7</v>
      </c>
      <c r="B474" s="29" t="s">
        <v>3824</v>
      </c>
      <c r="C474" s="30" t="s">
        <v>3825</v>
      </c>
      <c r="D474" s="31" t="s">
        <v>3826</v>
      </c>
      <c r="E474" s="30" t="s">
        <v>72</v>
      </c>
      <c r="F474" s="30" t="s">
        <v>50</v>
      </c>
      <c r="G474" s="30" t="s">
        <v>51</v>
      </c>
      <c r="H474" s="28" t="s">
        <v>191</v>
      </c>
      <c r="I474" s="30"/>
      <c r="J474" s="30" t="s">
        <v>53</v>
      </c>
      <c r="K474" s="30" t="s">
        <v>3827</v>
      </c>
      <c r="L474" s="30" t="s">
        <v>55</v>
      </c>
      <c r="M474" s="30" t="s">
        <v>1573</v>
      </c>
      <c r="N474" s="30" t="s">
        <v>3828</v>
      </c>
      <c r="O474" s="30" t="s">
        <v>3052</v>
      </c>
      <c r="P474" s="30" t="s">
        <v>3829</v>
      </c>
      <c r="Q474" s="28"/>
      <c r="R474" s="30" t="s">
        <v>3830</v>
      </c>
      <c r="S474" s="30" t="s">
        <v>53</v>
      </c>
      <c r="T474" s="30"/>
      <c r="U474" s="28" t="s">
        <v>2267</v>
      </c>
      <c r="V474" s="30" t="s">
        <v>63</v>
      </c>
      <c r="W474" s="30" t="s">
        <v>204</v>
      </c>
      <c r="X474" s="32">
        <v>44774</v>
      </c>
      <c r="Y474" s="32">
        <v>46600</v>
      </c>
      <c r="Z474" s="30" t="s">
        <v>65</v>
      </c>
      <c r="AA474" s="28" t="s">
        <v>134</v>
      </c>
      <c r="AB474" s="28" t="s">
        <v>67</v>
      </c>
      <c r="AC474" s="29"/>
      <c r="AD474" s="28">
        <v>0</v>
      </c>
      <c r="AE474" s="29"/>
      <c r="AF474" s="31"/>
      <c r="AG474" s="30" t="s">
        <v>1579</v>
      </c>
      <c r="AH474" s="28"/>
      <c r="AI474" s="28" t="s">
        <v>53</v>
      </c>
      <c r="AJ474" s="33">
        <v>36727</v>
      </c>
      <c r="AK474" s="28">
        <v>5</v>
      </c>
      <c r="AL474" s="28">
        <v>24</v>
      </c>
      <c r="AM474" s="21"/>
      <c r="AN474" s="27"/>
      <c r="AO474" s="27"/>
      <c r="AP474" s="27"/>
      <c r="AQ474" s="27"/>
    </row>
    <row r="475" spans="1:43" ht="15.75" customHeight="1">
      <c r="A475" s="28">
        <v>8</v>
      </c>
      <c r="B475" s="29" t="s">
        <v>3831</v>
      </c>
      <c r="C475" s="30"/>
      <c r="D475" s="31" t="s">
        <v>3832</v>
      </c>
      <c r="E475" s="30" t="s">
        <v>72</v>
      </c>
      <c r="F475" s="30" t="s">
        <v>50</v>
      </c>
      <c r="G475" s="30" t="s">
        <v>51</v>
      </c>
      <c r="H475" s="28" t="s">
        <v>52</v>
      </c>
      <c r="I475" s="30"/>
      <c r="J475" s="30" t="s">
        <v>53</v>
      </c>
      <c r="K475" s="30" t="s">
        <v>3833</v>
      </c>
      <c r="L475" s="30" t="s">
        <v>55</v>
      </c>
      <c r="M475" s="30" t="s">
        <v>656</v>
      </c>
      <c r="N475" s="30" t="s">
        <v>3834</v>
      </c>
      <c r="O475" s="30" t="s">
        <v>2753</v>
      </c>
      <c r="P475" s="30" t="s">
        <v>3835</v>
      </c>
      <c r="Q475" s="28"/>
      <c r="R475" s="30" t="s">
        <v>3836</v>
      </c>
      <c r="S475" s="30" t="s">
        <v>53</v>
      </c>
      <c r="T475" s="30"/>
      <c r="U475" s="28" t="s">
        <v>765</v>
      </c>
      <c r="V475" s="30" t="s">
        <v>63</v>
      </c>
      <c r="W475" s="30" t="s">
        <v>204</v>
      </c>
      <c r="X475" s="32">
        <v>44287</v>
      </c>
      <c r="Y475" s="32">
        <v>46174</v>
      </c>
      <c r="Z475" s="30" t="s">
        <v>65</v>
      </c>
      <c r="AA475" s="28" t="s">
        <v>134</v>
      </c>
      <c r="AB475" s="28" t="s">
        <v>67</v>
      </c>
      <c r="AC475" s="29"/>
      <c r="AD475" s="28">
        <v>0</v>
      </c>
      <c r="AE475" s="29"/>
      <c r="AF475" s="31"/>
      <c r="AG475" s="30" t="s">
        <v>1579</v>
      </c>
      <c r="AH475" s="28"/>
      <c r="AI475" s="28" t="s">
        <v>53</v>
      </c>
      <c r="AJ475" s="33">
        <v>37679</v>
      </c>
      <c r="AK475" s="28">
        <v>5</v>
      </c>
      <c r="AL475" s="28">
        <v>24</v>
      </c>
      <c r="AM475" s="21"/>
      <c r="AN475" s="27"/>
      <c r="AO475" s="27"/>
      <c r="AP475" s="27"/>
      <c r="AQ475" s="27"/>
    </row>
    <row r="476" spans="1:43" ht="15.75" customHeight="1">
      <c r="A476" s="28">
        <v>9</v>
      </c>
      <c r="B476" s="29" t="s">
        <v>3837</v>
      </c>
      <c r="C476" s="30"/>
      <c r="D476" s="31" t="s">
        <v>3838</v>
      </c>
      <c r="E476" s="30" t="s">
        <v>72</v>
      </c>
      <c r="F476" s="30" t="s">
        <v>50</v>
      </c>
      <c r="G476" s="30" t="s">
        <v>51</v>
      </c>
      <c r="H476" s="28" t="s">
        <v>601</v>
      </c>
      <c r="I476" s="30"/>
      <c r="J476" s="30" t="s">
        <v>53</v>
      </c>
      <c r="K476" s="30" t="s">
        <v>3839</v>
      </c>
      <c r="L476" s="30" t="s">
        <v>55</v>
      </c>
      <c r="M476" s="30" t="s">
        <v>1573</v>
      </c>
      <c r="N476" s="30" t="s">
        <v>3840</v>
      </c>
      <c r="O476" s="30" t="s">
        <v>3841</v>
      </c>
      <c r="P476" s="30" t="s">
        <v>3842</v>
      </c>
      <c r="Q476" s="28" t="s">
        <v>3843</v>
      </c>
      <c r="R476" s="30" t="s">
        <v>3844</v>
      </c>
      <c r="S476" s="30" t="s">
        <v>53</v>
      </c>
      <c r="T476" s="30"/>
      <c r="U476" s="28" t="s">
        <v>765</v>
      </c>
      <c r="V476" s="30" t="s">
        <v>63</v>
      </c>
      <c r="W476" s="30" t="s">
        <v>204</v>
      </c>
      <c r="X476" s="32">
        <v>44044</v>
      </c>
      <c r="Y476" s="32">
        <v>45658</v>
      </c>
      <c r="Z476" s="30" t="s">
        <v>65</v>
      </c>
      <c r="AA476" s="28" t="s">
        <v>134</v>
      </c>
      <c r="AB476" s="28" t="s">
        <v>67</v>
      </c>
      <c r="AC476" s="29"/>
      <c r="AD476" s="28">
        <v>0</v>
      </c>
      <c r="AE476" s="29"/>
      <c r="AF476" s="31"/>
      <c r="AG476" s="30" t="s">
        <v>1579</v>
      </c>
      <c r="AH476" s="28"/>
      <c r="AI476" s="28" t="s">
        <v>53</v>
      </c>
      <c r="AJ476" s="33">
        <v>36802</v>
      </c>
      <c r="AK476" s="28">
        <v>7</v>
      </c>
      <c r="AL476" s="28">
        <v>23</v>
      </c>
      <c r="AM476" s="21"/>
      <c r="AN476" s="27"/>
      <c r="AO476" s="27"/>
      <c r="AP476" s="27"/>
      <c r="AQ476" s="27"/>
    </row>
    <row r="477" spans="1:43" ht="15.75" customHeight="1">
      <c r="A477" s="28">
        <v>10</v>
      </c>
      <c r="B477" s="29" t="s">
        <v>3845</v>
      </c>
      <c r="C477" s="30" t="s">
        <v>3846</v>
      </c>
      <c r="D477" s="31" t="s">
        <v>3847</v>
      </c>
      <c r="E477" s="30" t="s">
        <v>72</v>
      </c>
      <c r="F477" s="30" t="s">
        <v>50</v>
      </c>
      <c r="G477" s="30" t="s">
        <v>51</v>
      </c>
      <c r="H477" s="28" t="s">
        <v>85</v>
      </c>
      <c r="I477" s="30"/>
      <c r="J477" s="30" t="s">
        <v>53</v>
      </c>
      <c r="K477" s="30" t="s">
        <v>3848</v>
      </c>
      <c r="L477" s="30" t="s">
        <v>55</v>
      </c>
      <c r="M477" s="30" t="s">
        <v>1573</v>
      </c>
      <c r="N477" s="30" t="s">
        <v>3849</v>
      </c>
      <c r="O477" s="30" t="s">
        <v>3850</v>
      </c>
      <c r="P477" s="30" t="s">
        <v>3851</v>
      </c>
      <c r="Q477" s="28" t="s">
        <v>3852</v>
      </c>
      <c r="R477" s="30" t="s">
        <v>3853</v>
      </c>
      <c r="S477" s="30" t="s">
        <v>53</v>
      </c>
      <c r="T477" s="30"/>
      <c r="U477" s="28" t="s">
        <v>1615</v>
      </c>
      <c r="V477" s="30" t="s">
        <v>63</v>
      </c>
      <c r="W477" s="30" t="s">
        <v>204</v>
      </c>
      <c r="X477" s="32">
        <v>43831</v>
      </c>
      <c r="Y477" s="32">
        <v>45627</v>
      </c>
      <c r="Z477" s="30" t="s">
        <v>65</v>
      </c>
      <c r="AA477" s="28" t="s">
        <v>66</v>
      </c>
      <c r="AB477" s="28" t="s">
        <v>67</v>
      </c>
      <c r="AC477" s="29"/>
      <c r="AD477" s="28">
        <v>0</v>
      </c>
      <c r="AE477" s="29"/>
      <c r="AF477" s="31"/>
      <c r="AG477" s="30" t="s">
        <v>1579</v>
      </c>
      <c r="AH477" s="28"/>
      <c r="AI477" s="28" t="s">
        <v>53</v>
      </c>
      <c r="AJ477" s="33">
        <v>37126</v>
      </c>
      <c r="AK477" s="28">
        <v>8</v>
      </c>
      <c r="AL477" s="28">
        <v>23</v>
      </c>
      <c r="AM477" s="21"/>
      <c r="AN477" s="27"/>
      <c r="AO477" s="27"/>
      <c r="AP477" s="27"/>
      <c r="AQ477" s="27"/>
    </row>
    <row r="478" spans="1:43" ht="15.75" customHeight="1">
      <c r="A478" s="28">
        <v>11</v>
      </c>
      <c r="B478" s="29" t="s">
        <v>3854</v>
      </c>
      <c r="C478" s="30" t="s">
        <v>3855</v>
      </c>
      <c r="D478" s="31" t="s">
        <v>3856</v>
      </c>
      <c r="E478" s="30" t="s">
        <v>72</v>
      </c>
      <c r="F478" s="30" t="s">
        <v>50</v>
      </c>
      <c r="G478" s="30" t="s">
        <v>51</v>
      </c>
      <c r="H478" s="28" t="s">
        <v>52</v>
      </c>
      <c r="I478" s="30"/>
      <c r="J478" s="30" t="s">
        <v>53</v>
      </c>
      <c r="K478" s="30" t="s">
        <v>3857</v>
      </c>
      <c r="L478" s="30" t="s">
        <v>55</v>
      </c>
      <c r="M478" s="30" t="s">
        <v>656</v>
      </c>
      <c r="N478" s="30" t="s">
        <v>3858</v>
      </c>
      <c r="O478" s="30" t="s">
        <v>3859</v>
      </c>
      <c r="P478" s="30" t="s">
        <v>3860</v>
      </c>
      <c r="Q478" s="28" t="s">
        <v>3861</v>
      </c>
      <c r="R478" s="30" t="s">
        <v>3862</v>
      </c>
      <c r="S478" s="30" t="s">
        <v>53</v>
      </c>
      <c r="T478" s="30"/>
      <c r="U478" s="28" t="s">
        <v>1598</v>
      </c>
      <c r="V478" s="30" t="s">
        <v>63</v>
      </c>
      <c r="W478" s="30" t="s">
        <v>204</v>
      </c>
      <c r="X478" s="32">
        <v>43862</v>
      </c>
      <c r="Y478" s="32">
        <v>45627</v>
      </c>
      <c r="Z478" s="30" t="s">
        <v>65</v>
      </c>
      <c r="AA478" s="28" t="s">
        <v>134</v>
      </c>
      <c r="AB478" s="28" t="s">
        <v>67</v>
      </c>
      <c r="AC478" s="29"/>
      <c r="AD478" s="28">
        <v>0</v>
      </c>
      <c r="AE478" s="29"/>
      <c r="AF478" s="31"/>
      <c r="AG478" s="30" t="s">
        <v>1579</v>
      </c>
      <c r="AH478" s="28"/>
      <c r="AI478" s="28" t="s">
        <v>53</v>
      </c>
      <c r="AJ478" s="33">
        <v>37112</v>
      </c>
      <c r="AK478" s="28">
        <v>8</v>
      </c>
      <c r="AL478" s="28">
        <v>22</v>
      </c>
      <c r="AM478" s="21"/>
      <c r="AN478" s="27"/>
      <c r="AO478" s="27"/>
      <c r="AP478" s="27"/>
      <c r="AQ478" s="27"/>
    </row>
    <row r="479" spans="1:43" ht="15.75" customHeight="1">
      <c r="A479" s="28">
        <v>12</v>
      </c>
      <c r="B479" s="29" t="s">
        <v>3863</v>
      </c>
      <c r="C479" s="30"/>
      <c r="D479" s="31" t="s">
        <v>3864</v>
      </c>
      <c r="E479" s="30" t="s">
        <v>72</v>
      </c>
      <c r="F479" s="30" t="s">
        <v>50</v>
      </c>
      <c r="G479" s="30" t="s">
        <v>51</v>
      </c>
      <c r="H479" s="28" t="s">
        <v>85</v>
      </c>
      <c r="I479" s="30"/>
      <c r="J479" s="30" t="s">
        <v>53</v>
      </c>
      <c r="K479" s="30" t="s">
        <v>3865</v>
      </c>
      <c r="L479" s="30" t="s">
        <v>55</v>
      </c>
      <c r="M479" s="30" t="s">
        <v>1573</v>
      </c>
      <c r="N479" s="30" t="s">
        <v>3866</v>
      </c>
      <c r="O479" s="30" t="s">
        <v>3867</v>
      </c>
      <c r="P479" s="30" t="s">
        <v>3868</v>
      </c>
      <c r="Q479" s="28" t="s">
        <v>3869</v>
      </c>
      <c r="R479" s="30" t="s">
        <v>3870</v>
      </c>
      <c r="S479" s="30" t="s">
        <v>53</v>
      </c>
      <c r="T479" s="30"/>
      <c r="U479" s="28" t="s">
        <v>245</v>
      </c>
      <c r="V479" s="30" t="s">
        <v>63</v>
      </c>
      <c r="W479" s="30" t="s">
        <v>204</v>
      </c>
      <c r="X479" s="32">
        <v>44409</v>
      </c>
      <c r="Y479" s="32">
        <v>46235</v>
      </c>
      <c r="Z479" s="30" t="s">
        <v>65</v>
      </c>
      <c r="AA479" s="28" t="s">
        <v>66</v>
      </c>
      <c r="AB479" s="28" t="s">
        <v>67</v>
      </c>
      <c r="AC479" s="29"/>
      <c r="AD479" s="28">
        <v>0</v>
      </c>
      <c r="AE479" s="29"/>
      <c r="AF479" s="31"/>
      <c r="AG479" s="30" t="s">
        <v>1579</v>
      </c>
      <c r="AH479" s="28"/>
      <c r="AI479" s="28" t="s">
        <v>53</v>
      </c>
      <c r="AJ479" s="33">
        <v>38097</v>
      </c>
      <c r="AK479" s="28">
        <v>6</v>
      </c>
      <c r="AL479" s="28">
        <v>22</v>
      </c>
      <c r="AM479" s="21"/>
      <c r="AN479" s="27"/>
      <c r="AO479" s="27"/>
      <c r="AP479" s="27"/>
      <c r="AQ479" s="27"/>
    </row>
    <row r="480" spans="1:43" ht="15.75" customHeight="1">
      <c r="A480" s="28">
        <v>13</v>
      </c>
      <c r="B480" s="29" t="s">
        <v>3871</v>
      </c>
      <c r="C480" s="30"/>
      <c r="D480" s="31" t="s">
        <v>3872</v>
      </c>
      <c r="E480" s="30" t="s">
        <v>72</v>
      </c>
      <c r="F480" s="30" t="s">
        <v>50</v>
      </c>
      <c r="G480" s="30" t="s">
        <v>51</v>
      </c>
      <c r="H480" s="28" t="s">
        <v>85</v>
      </c>
      <c r="I480" s="30"/>
      <c r="J480" s="30" t="s">
        <v>53</v>
      </c>
      <c r="K480" s="30" t="s">
        <v>3873</v>
      </c>
      <c r="L480" s="30" t="s">
        <v>55</v>
      </c>
      <c r="M480" s="30" t="s">
        <v>1573</v>
      </c>
      <c r="N480" s="30" t="s">
        <v>3874</v>
      </c>
      <c r="O480" s="30" t="s">
        <v>2770</v>
      </c>
      <c r="P480" s="30" t="s">
        <v>3875</v>
      </c>
      <c r="Q480" s="28" t="s">
        <v>3876</v>
      </c>
      <c r="R480" s="30" t="s">
        <v>3877</v>
      </c>
      <c r="S480" s="30" t="s">
        <v>53</v>
      </c>
      <c r="T480" s="30"/>
      <c r="U480" s="28" t="s">
        <v>2840</v>
      </c>
      <c r="V480" s="30" t="s">
        <v>63</v>
      </c>
      <c r="W480" s="30" t="s">
        <v>204</v>
      </c>
      <c r="X480" s="32">
        <v>45139</v>
      </c>
      <c r="Y480" s="32">
        <v>46174</v>
      </c>
      <c r="Z480" s="30" t="s">
        <v>65</v>
      </c>
      <c r="AA480" s="28" t="s">
        <v>134</v>
      </c>
      <c r="AB480" s="28" t="s">
        <v>67</v>
      </c>
      <c r="AC480" s="29"/>
      <c r="AD480" s="28">
        <v>0</v>
      </c>
      <c r="AE480" s="29"/>
      <c r="AF480" s="31"/>
      <c r="AG480" s="30" t="s">
        <v>1579</v>
      </c>
      <c r="AH480" s="28"/>
      <c r="AI480" s="28" t="s">
        <v>53</v>
      </c>
      <c r="AJ480" s="33">
        <v>37502</v>
      </c>
      <c r="AK480" s="28">
        <v>5</v>
      </c>
      <c r="AL480" s="28">
        <v>22</v>
      </c>
      <c r="AM480" s="21"/>
      <c r="AN480" s="27"/>
      <c r="AO480" s="27"/>
      <c r="AP480" s="27"/>
      <c r="AQ480" s="27"/>
    </row>
    <row r="481" spans="1:43" ht="15.75" customHeight="1">
      <c r="A481" s="28">
        <v>14</v>
      </c>
      <c r="B481" s="29" t="s">
        <v>3878</v>
      </c>
      <c r="C481" s="30"/>
      <c r="D481" s="31" t="s">
        <v>3879</v>
      </c>
      <c r="E481" s="30" t="s">
        <v>72</v>
      </c>
      <c r="F481" s="30" t="s">
        <v>50</v>
      </c>
      <c r="G481" s="30" t="s">
        <v>51</v>
      </c>
      <c r="H481" s="28" t="s">
        <v>85</v>
      </c>
      <c r="I481" s="30"/>
      <c r="J481" s="30" t="s">
        <v>53</v>
      </c>
      <c r="K481" s="30" t="s">
        <v>3880</v>
      </c>
      <c r="L481" s="30" t="s">
        <v>55</v>
      </c>
      <c r="M481" s="30" t="s">
        <v>656</v>
      </c>
      <c r="N481" s="30" t="s">
        <v>3881</v>
      </c>
      <c r="O481" s="30" t="s">
        <v>2770</v>
      </c>
      <c r="P481" s="30" t="s">
        <v>3882</v>
      </c>
      <c r="Q481" s="28"/>
      <c r="R481" s="30" t="s">
        <v>3883</v>
      </c>
      <c r="S481" s="30" t="s">
        <v>53</v>
      </c>
      <c r="T481" s="30"/>
      <c r="U481" s="28" t="s">
        <v>3884</v>
      </c>
      <c r="V481" s="30" t="s">
        <v>63</v>
      </c>
      <c r="W481" s="30" t="s">
        <v>204</v>
      </c>
      <c r="X481" s="32">
        <v>44409</v>
      </c>
      <c r="Y481" s="32">
        <v>46235</v>
      </c>
      <c r="Z481" s="30" t="s">
        <v>65</v>
      </c>
      <c r="AA481" s="28" t="s">
        <v>66</v>
      </c>
      <c r="AB481" s="28" t="s">
        <v>67</v>
      </c>
      <c r="AC481" s="29"/>
      <c r="AD481" s="28">
        <v>0</v>
      </c>
      <c r="AE481" s="29"/>
      <c r="AF481" s="31"/>
      <c r="AG481" s="30" t="s">
        <v>1579</v>
      </c>
      <c r="AH481" s="28"/>
      <c r="AI481" s="28" t="s">
        <v>53</v>
      </c>
      <c r="AJ481" s="33">
        <v>37499</v>
      </c>
      <c r="AK481" s="28">
        <v>5</v>
      </c>
      <c r="AL481" s="28">
        <v>22</v>
      </c>
      <c r="AM481" s="21"/>
      <c r="AN481" s="27"/>
      <c r="AO481" s="27"/>
      <c r="AP481" s="27"/>
      <c r="AQ481" s="27"/>
    </row>
    <row r="482" spans="1:43" ht="15.75" customHeight="1">
      <c r="A482" s="28">
        <v>15</v>
      </c>
      <c r="B482" s="29" t="s">
        <v>3885</v>
      </c>
      <c r="C482" s="30" t="s">
        <v>3886</v>
      </c>
      <c r="D482" s="31" t="s">
        <v>3887</v>
      </c>
      <c r="E482" s="30" t="s">
        <v>72</v>
      </c>
      <c r="F482" s="30" t="s">
        <v>84</v>
      </c>
      <c r="G482" s="30" t="s">
        <v>51</v>
      </c>
      <c r="H482" s="28" t="s">
        <v>85</v>
      </c>
      <c r="I482" s="30"/>
      <c r="J482" s="30" t="s">
        <v>53</v>
      </c>
      <c r="K482" s="30" t="s">
        <v>3888</v>
      </c>
      <c r="L482" s="30" t="s">
        <v>55</v>
      </c>
      <c r="M482" s="30" t="s">
        <v>1573</v>
      </c>
      <c r="N482" s="30" t="s">
        <v>3889</v>
      </c>
      <c r="O482" s="30" t="s">
        <v>1679</v>
      </c>
      <c r="P482" s="30" t="s">
        <v>3890</v>
      </c>
      <c r="Q482" s="28" t="s">
        <v>3891</v>
      </c>
      <c r="R482" s="30" t="s">
        <v>3892</v>
      </c>
      <c r="S482" s="30" t="s">
        <v>53</v>
      </c>
      <c r="T482" s="30"/>
      <c r="U482" s="28" t="s">
        <v>1756</v>
      </c>
      <c r="V482" s="30" t="s">
        <v>63</v>
      </c>
      <c r="W482" s="30" t="s">
        <v>204</v>
      </c>
      <c r="X482" s="32">
        <v>42583</v>
      </c>
      <c r="Y482" s="32">
        <v>45261</v>
      </c>
      <c r="Z482" s="30" t="s">
        <v>65</v>
      </c>
      <c r="AA482" s="28" t="s">
        <v>66</v>
      </c>
      <c r="AB482" s="28" t="s">
        <v>67</v>
      </c>
      <c r="AC482" s="29"/>
      <c r="AD482" s="28">
        <v>0</v>
      </c>
      <c r="AE482" s="29"/>
      <c r="AF482" s="31"/>
      <c r="AG482" s="30" t="s">
        <v>1579</v>
      </c>
      <c r="AH482" s="28"/>
      <c r="AI482" s="28" t="s">
        <v>118</v>
      </c>
      <c r="AJ482" s="33">
        <v>30714</v>
      </c>
      <c r="AK482" s="28">
        <v>9</v>
      </c>
      <c r="AL482" s="28">
        <v>22</v>
      </c>
      <c r="AM482" s="21"/>
      <c r="AN482" s="27"/>
      <c r="AO482" s="27"/>
      <c r="AP482" s="27"/>
      <c r="AQ482" s="27"/>
    </row>
    <row r="483" spans="1:43" ht="15.75" customHeight="1">
      <c r="A483" s="28">
        <v>16</v>
      </c>
      <c r="B483" s="29" t="s">
        <v>3893</v>
      </c>
      <c r="C483" s="30" t="s">
        <v>3894</v>
      </c>
      <c r="D483" s="31" t="s">
        <v>3895</v>
      </c>
      <c r="E483" s="30" t="s">
        <v>72</v>
      </c>
      <c r="F483" s="30" t="s">
        <v>50</v>
      </c>
      <c r="G483" s="30" t="s">
        <v>51</v>
      </c>
      <c r="H483" s="28" t="s">
        <v>52</v>
      </c>
      <c r="I483" s="30"/>
      <c r="J483" s="30" t="s">
        <v>53</v>
      </c>
      <c r="K483" s="30" t="s">
        <v>3896</v>
      </c>
      <c r="L483" s="30" t="s">
        <v>55</v>
      </c>
      <c r="M483" s="30" t="s">
        <v>1573</v>
      </c>
      <c r="N483" s="30" t="s">
        <v>3897</v>
      </c>
      <c r="O483" s="30" t="s">
        <v>2087</v>
      </c>
      <c r="P483" s="30" t="s">
        <v>3898</v>
      </c>
      <c r="Q483" s="28"/>
      <c r="R483" s="30" t="s">
        <v>3899</v>
      </c>
      <c r="S483" s="30" t="s">
        <v>53</v>
      </c>
      <c r="T483" s="30"/>
      <c r="U483" s="28" t="s">
        <v>1625</v>
      </c>
      <c r="V483" s="30" t="s">
        <v>63</v>
      </c>
      <c r="W483" s="30" t="s">
        <v>204</v>
      </c>
      <c r="X483" s="32">
        <v>44256</v>
      </c>
      <c r="Y483" s="32">
        <v>45839</v>
      </c>
      <c r="Z483" s="30" t="s">
        <v>65</v>
      </c>
      <c r="AA483" s="28" t="s">
        <v>134</v>
      </c>
      <c r="AB483" s="28" t="s">
        <v>67</v>
      </c>
      <c r="AC483" s="29"/>
      <c r="AD483" s="28">
        <v>0</v>
      </c>
      <c r="AE483" s="29"/>
      <c r="AF483" s="31"/>
      <c r="AG483" s="30" t="s">
        <v>1579</v>
      </c>
      <c r="AH483" s="28"/>
      <c r="AI483" s="28" t="s">
        <v>53</v>
      </c>
      <c r="AJ483" s="33">
        <v>37523</v>
      </c>
      <c r="AK483" s="28">
        <v>6</v>
      </c>
      <c r="AL483" s="28">
        <v>22</v>
      </c>
      <c r="AM483" s="21"/>
      <c r="AN483" s="27"/>
      <c r="AO483" s="27"/>
      <c r="AP483" s="27"/>
      <c r="AQ483" s="27"/>
    </row>
    <row r="484" spans="1:43" ht="15.75" customHeight="1">
      <c r="A484" s="28">
        <v>17</v>
      </c>
      <c r="B484" s="29" t="s">
        <v>3900</v>
      </c>
      <c r="C484" s="30"/>
      <c r="D484" s="31" t="s">
        <v>3901</v>
      </c>
      <c r="E484" s="30" t="s">
        <v>49</v>
      </c>
      <c r="F484" s="30" t="s">
        <v>50</v>
      </c>
      <c r="G484" s="30" t="s">
        <v>51</v>
      </c>
      <c r="H484" s="28" t="s">
        <v>85</v>
      </c>
      <c r="I484" s="30"/>
      <c r="J484" s="30" t="s">
        <v>53</v>
      </c>
      <c r="K484" s="30" t="s">
        <v>3902</v>
      </c>
      <c r="L484" s="30" t="s">
        <v>55</v>
      </c>
      <c r="M484" s="30" t="s">
        <v>1573</v>
      </c>
      <c r="N484" s="30" t="s">
        <v>3903</v>
      </c>
      <c r="O484" s="30" t="s">
        <v>3136</v>
      </c>
      <c r="P484" s="30" t="s">
        <v>3904</v>
      </c>
      <c r="Q484" s="28"/>
      <c r="R484" s="30" t="s">
        <v>3905</v>
      </c>
      <c r="S484" s="30" t="s">
        <v>53</v>
      </c>
      <c r="T484" s="30"/>
      <c r="U484" s="28" t="s">
        <v>765</v>
      </c>
      <c r="V484" s="30" t="s">
        <v>63</v>
      </c>
      <c r="W484" s="30" t="s">
        <v>204</v>
      </c>
      <c r="X484" s="32">
        <v>44287</v>
      </c>
      <c r="Y484" s="32">
        <v>45992</v>
      </c>
      <c r="Z484" s="30" t="s">
        <v>65</v>
      </c>
      <c r="AA484" s="28" t="s">
        <v>66</v>
      </c>
      <c r="AB484" s="28" t="s">
        <v>67</v>
      </c>
      <c r="AC484" s="29"/>
      <c r="AD484" s="28">
        <v>0</v>
      </c>
      <c r="AE484" s="29"/>
      <c r="AF484" s="31"/>
      <c r="AG484" s="30" t="s">
        <v>1579</v>
      </c>
      <c r="AH484" s="28"/>
      <c r="AI484" s="28" t="s">
        <v>118</v>
      </c>
      <c r="AJ484" s="33">
        <v>37843</v>
      </c>
      <c r="AK484" s="28">
        <v>5</v>
      </c>
      <c r="AL484" s="28">
        <v>21</v>
      </c>
      <c r="AM484" s="21"/>
      <c r="AN484" s="27"/>
      <c r="AO484" s="27"/>
      <c r="AP484" s="27"/>
      <c r="AQ484" s="27"/>
    </row>
    <row r="485" spans="1:43" ht="15.75" customHeight="1">
      <c r="A485" s="28">
        <v>18</v>
      </c>
      <c r="B485" s="29" t="s">
        <v>3906</v>
      </c>
      <c r="C485" s="30" t="s">
        <v>3907</v>
      </c>
      <c r="D485" s="31" t="s">
        <v>3908</v>
      </c>
      <c r="E485" s="30" t="s">
        <v>72</v>
      </c>
      <c r="F485" s="30" t="s">
        <v>50</v>
      </c>
      <c r="G485" s="30" t="s">
        <v>51</v>
      </c>
      <c r="H485" s="28" t="s">
        <v>85</v>
      </c>
      <c r="I485" s="30"/>
      <c r="J485" s="30" t="s">
        <v>53</v>
      </c>
      <c r="K485" s="30" t="s">
        <v>3909</v>
      </c>
      <c r="L485" s="30" t="s">
        <v>55</v>
      </c>
      <c r="M485" s="30" t="s">
        <v>1573</v>
      </c>
      <c r="N485" s="30" t="s">
        <v>3910</v>
      </c>
      <c r="O485" s="30" t="s">
        <v>3911</v>
      </c>
      <c r="P485" s="30" t="s">
        <v>3912</v>
      </c>
      <c r="Q485" s="28"/>
      <c r="R485" s="30" t="s">
        <v>3913</v>
      </c>
      <c r="S485" s="30" t="s">
        <v>53</v>
      </c>
      <c r="T485" s="30"/>
      <c r="U485" s="28" t="s">
        <v>3914</v>
      </c>
      <c r="V485" s="30" t="s">
        <v>63</v>
      </c>
      <c r="W485" s="30" t="s">
        <v>204</v>
      </c>
      <c r="X485" s="32">
        <v>44593</v>
      </c>
      <c r="Y485" s="32">
        <v>46357</v>
      </c>
      <c r="Z485" s="30" t="s">
        <v>65</v>
      </c>
      <c r="AA485" s="28" t="s">
        <v>66</v>
      </c>
      <c r="AB485" s="28" t="s">
        <v>67</v>
      </c>
      <c r="AC485" s="29"/>
      <c r="AD485" s="28">
        <v>0</v>
      </c>
      <c r="AE485" s="29"/>
      <c r="AF485" s="31"/>
      <c r="AG485" s="30" t="s">
        <v>1579</v>
      </c>
      <c r="AH485" s="28"/>
      <c r="AI485" s="28" t="s">
        <v>53</v>
      </c>
      <c r="AJ485" s="33">
        <v>37598</v>
      </c>
      <c r="AK485" s="28">
        <v>5</v>
      </c>
      <c r="AL485" s="28">
        <v>21</v>
      </c>
      <c r="AM485" s="21"/>
      <c r="AN485" s="27"/>
      <c r="AO485" s="27"/>
      <c r="AP485" s="27"/>
      <c r="AQ485" s="27"/>
    </row>
    <row r="486" spans="1:43" ht="15.75" customHeight="1">
      <c r="A486" s="28">
        <v>19</v>
      </c>
      <c r="B486" s="29" t="s">
        <v>3915</v>
      </c>
      <c r="C486" s="30"/>
      <c r="D486" s="31" t="s">
        <v>3916</v>
      </c>
      <c r="E486" s="30" t="s">
        <v>72</v>
      </c>
      <c r="F486" s="30" t="s">
        <v>50</v>
      </c>
      <c r="G486" s="30" t="s">
        <v>51</v>
      </c>
      <c r="H486" s="28" t="s">
        <v>52</v>
      </c>
      <c r="I486" s="30"/>
      <c r="J486" s="30" t="s">
        <v>53</v>
      </c>
      <c r="K486" s="30" t="s">
        <v>1743</v>
      </c>
      <c r="L486" s="30" t="s">
        <v>55</v>
      </c>
      <c r="M486" s="30" t="s">
        <v>1573</v>
      </c>
      <c r="N486" s="30" t="s">
        <v>3917</v>
      </c>
      <c r="O486" s="30" t="s">
        <v>95</v>
      </c>
      <c r="P486" s="30" t="s">
        <v>3918</v>
      </c>
      <c r="Q486" s="28" t="s">
        <v>3919</v>
      </c>
      <c r="R486" s="30" t="s">
        <v>3920</v>
      </c>
      <c r="S486" s="30" t="s">
        <v>53</v>
      </c>
      <c r="T486" s="30"/>
      <c r="U486" s="28" t="s">
        <v>3211</v>
      </c>
      <c r="V486" s="30" t="s">
        <v>63</v>
      </c>
      <c r="W486" s="30" t="s">
        <v>204</v>
      </c>
      <c r="X486" s="32">
        <v>42522</v>
      </c>
      <c r="Y486" s="32">
        <v>45474</v>
      </c>
      <c r="Z486" s="30" t="s">
        <v>65</v>
      </c>
      <c r="AA486" s="28" t="s">
        <v>134</v>
      </c>
      <c r="AB486" s="28" t="s">
        <v>67</v>
      </c>
      <c r="AC486" s="29"/>
      <c r="AD486" s="28">
        <v>0</v>
      </c>
      <c r="AE486" s="29"/>
      <c r="AF486" s="31"/>
      <c r="AG486" s="30" t="s">
        <v>1579</v>
      </c>
      <c r="AH486" s="28"/>
      <c r="AI486" s="28" t="s">
        <v>53</v>
      </c>
      <c r="AJ486" s="33">
        <v>35609</v>
      </c>
      <c r="AK486" s="28">
        <v>9</v>
      </c>
      <c r="AL486" s="28">
        <v>21</v>
      </c>
      <c r="AM486" s="21"/>
      <c r="AN486" s="27"/>
      <c r="AO486" s="27"/>
      <c r="AP486" s="27"/>
      <c r="AQ486" s="27"/>
    </row>
    <row r="487" spans="1:43" ht="15.75" customHeight="1">
      <c r="A487" s="28">
        <v>20</v>
      </c>
      <c r="B487" s="29" t="s">
        <v>3921</v>
      </c>
      <c r="C487" s="30" t="s">
        <v>3922</v>
      </c>
      <c r="D487" s="31" t="s">
        <v>3923</v>
      </c>
      <c r="E487" s="30" t="s">
        <v>72</v>
      </c>
      <c r="F487" s="30" t="s">
        <v>50</v>
      </c>
      <c r="G487" s="30" t="s">
        <v>51</v>
      </c>
      <c r="H487" s="28" t="s">
        <v>191</v>
      </c>
      <c r="I487" s="30"/>
      <c r="J487" s="30" t="s">
        <v>53</v>
      </c>
      <c r="K487" s="30" t="s">
        <v>3924</v>
      </c>
      <c r="L487" s="30" t="s">
        <v>55</v>
      </c>
      <c r="M487" s="30" t="s">
        <v>656</v>
      </c>
      <c r="N487" s="30" t="s">
        <v>3925</v>
      </c>
      <c r="O487" s="30" t="s">
        <v>3926</v>
      </c>
      <c r="P487" s="30" t="s">
        <v>3927</v>
      </c>
      <c r="Q487" s="28" t="s">
        <v>3928</v>
      </c>
      <c r="R487" s="30" t="s">
        <v>3929</v>
      </c>
      <c r="S487" s="30" t="s">
        <v>53</v>
      </c>
      <c r="T487" s="30"/>
      <c r="U487" s="28" t="s">
        <v>2144</v>
      </c>
      <c r="V487" s="30" t="s">
        <v>63</v>
      </c>
      <c r="W487" s="30" t="s">
        <v>204</v>
      </c>
      <c r="X487" s="32">
        <v>43862</v>
      </c>
      <c r="Y487" s="32">
        <v>45627</v>
      </c>
      <c r="Z487" s="30" t="s">
        <v>65</v>
      </c>
      <c r="AA487" s="28" t="s">
        <v>134</v>
      </c>
      <c r="AB487" s="28" t="s">
        <v>67</v>
      </c>
      <c r="AC487" s="29"/>
      <c r="AD487" s="28">
        <v>0</v>
      </c>
      <c r="AE487" s="29"/>
      <c r="AF487" s="31"/>
      <c r="AG487" s="30" t="s">
        <v>1579</v>
      </c>
      <c r="AH487" s="28"/>
      <c r="AI487" s="28" t="s">
        <v>53</v>
      </c>
      <c r="AJ487" s="33">
        <v>36574</v>
      </c>
      <c r="AK487" s="28">
        <v>8</v>
      </c>
      <c r="AL487" s="28">
        <v>21</v>
      </c>
      <c r="AM487" s="21"/>
      <c r="AN487" s="27"/>
      <c r="AO487" s="27"/>
      <c r="AP487" s="27"/>
      <c r="AQ487" s="27"/>
    </row>
    <row r="488" spans="1:43" ht="15.75" customHeight="1">
      <c r="A488" s="28">
        <v>21</v>
      </c>
      <c r="B488" s="29" t="s">
        <v>3930</v>
      </c>
      <c r="C488" s="30" t="s">
        <v>3931</v>
      </c>
      <c r="D488" s="31" t="s">
        <v>3932</v>
      </c>
      <c r="E488" s="30" t="s">
        <v>72</v>
      </c>
      <c r="F488" s="30" t="s">
        <v>50</v>
      </c>
      <c r="G488" s="30" t="s">
        <v>51</v>
      </c>
      <c r="H488" s="28" t="s">
        <v>85</v>
      </c>
      <c r="I488" s="30"/>
      <c r="J488" s="30" t="s">
        <v>53</v>
      </c>
      <c r="K488" s="30" t="s">
        <v>3933</v>
      </c>
      <c r="L488" s="30" t="s">
        <v>55</v>
      </c>
      <c r="M488" s="30" t="s">
        <v>656</v>
      </c>
      <c r="N488" s="30" t="s">
        <v>3934</v>
      </c>
      <c r="O488" s="30" t="s">
        <v>747</v>
      </c>
      <c r="P488" s="30" t="s">
        <v>3935</v>
      </c>
      <c r="Q488" s="28" t="s">
        <v>3936</v>
      </c>
      <c r="R488" s="30" t="s">
        <v>3937</v>
      </c>
      <c r="S488" s="30" t="s">
        <v>53</v>
      </c>
      <c r="T488" s="30"/>
      <c r="U488" s="28" t="s">
        <v>3938</v>
      </c>
      <c r="V488" s="30" t="s">
        <v>63</v>
      </c>
      <c r="W488" s="30" t="s">
        <v>204</v>
      </c>
      <c r="X488" s="32">
        <v>44044</v>
      </c>
      <c r="Y488" s="32">
        <v>45627</v>
      </c>
      <c r="Z488" s="30" t="s">
        <v>65</v>
      </c>
      <c r="AA488" s="28" t="s">
        <v>246</v>
      </c>
      <c r="AB488" s="28" t="s">
        <v>67</v>
      </c>
      <c r="AC488" s="29"/>
      <c r="AD488" s="28">
        <v>0</v>
      </c>
      <c r="AE488" s="29"/>
      <c r="AF488" s="31"/>
      <c r="AG488" s="30" t="s">
        <v>1579</v>
      </c>
      <c r="AH488" s="28"/>
      <c r="AI488" s="28" t="s">
        <v>118</v>
      </c>
      <c r="AJ488" s="33">
        <v>33640</v>
      </c>
      <c r="AK488" s="28">
        <v>8</v>
      </c>
      <c r="AL488" s="28">
        <v>20</v>
      </c>
      <c r="AM488" s="21"/>
      <c r="AN488" s="27"/>
      <c r="AO488" s="27"/>
      <c r="AP488" s="27"/>
      <c r="AQ488" s="27"/>
    </row>
    <row r="489" spans="1:43" ht="15.75" customHeight="1">
      <c r="A489" s="28">
        <v>22</v>
      </c>
      <c r="B489" s="29" t="s">
        <v>3939</v>
      </c>
      <c r="C489" s="30" t="s">
        <v>3940</v>
      </c>
      <c r="D489" s="31" t="s">
        <v>3941</v>
      </c>
      <c r="E489" s="30" t="s">
        <v>72</v>
      </c>
      <c r="F489" s="30" t="s">
        <v>50</v>
      </c>
      <c r="G489" s="30" t="s">
        <v>51</v>
      </c>
      <c r="H489" s="28" t="s">
        <v>85</v>
      </c>
      <c r="I489" s="30"/>
      <c r="J489" s="30" t="s">
        <v>53</v>
      </c>
      <c r="K489" s="30" t="s">
        <v>2691</v>
      </c>
      <c r="L489" s="30" t="s">
        <v>55</v>
      </c>
      <c r="M489" s="30" t="s">
        <v>656</v>
      </c>
      <c r="N489" s="30" t="s">
        <v>3942</v>
      </c>
      <c r="O489" s="30" t="s">
        <v>1842</v>
      </c>
      <c r="P489" s="30" t="s">
        <v>3943</v>
      </c>
      <c r="Q489" s="28"/>
      <c r="R489" s="30" t="s">
        <v>3944</v>
      </c>
      <c r="S489" s="30" t="s">
        <v>53</v>
      </c>
      <c r="T489" s="30"/>
      <c r="U489" s="28" t="s">
        <v>1615</v>
      </c>
      <c r="V489" s="30" t="s">
        <v>63</v>
      </c>
      <c r="W489" s="30" t="s">
        <v>204</v>
      </c>
      <c r="X489" s="32">
        <v>44562</v>
      </c>
      <c r="Y489" s="32">
        <v>46357</v>
      </c>
      <c r="Z489" s="30" t="s">
        <v>65</v>
      </c>
      <c r="AA489" s="28" t="s">
        <v>134</v>
      </c>
      <c r="AB489" s="28" t="s">
        <v>67</v>
      </c>
      <c r="AC489" s="29"/>
      <c r="AD489" s="28">
        <v>0</v>
      </c>
      <c r="AE489" s="29"/>
      <c r="AF489" s="31"/>
      <c r="AG489" s="30" t="s">
        <v>1579</v>
      </c>
      <c r="AH489" s="28"/>
      <c r="AI489" s="28" t="s">
        <v>53</v>
      </c>
      <c r="AJ489" s="33">
        <v>37877</v>
      </c>
      <c r="AK489" s="28">
        <v>5</v>
      </c>
      <c r="AL489" s="28">
        <v>20</v>
      </c>
      <c r="AM489" s="21"/>
      <c r="AN489" s="27"/>
      <c r="AO489" s="27"/>
      <c r="AP489" s="27"/>
      <c r="AQ489" s="27"/>
    </row>
    <row r="490" spans="1:43" ht="15.75" customHeight="1">
      <c r="A490" s="28">
        <v>23</v>
      </c>
      <c r="B490" s="29" t="s">
        <v>3945</v>
      </c>
      <c r="C490" s="30"/>
      <c r="D490" s="31" t="s">
        <v>3946</v>
      </c>
      <c r="E490" s="30" t="s">
        <v>72</v>
      </c>
      <c r="F490" s="30" t="s">
        <v>50</v>
      </c>
      <c r="G490" s="30" t="s">
        <v>51</v>
      </c>
      <c r="H490" s="28" t="s">
        <v>52</v>
      </c>
      <c r="I490" s="30"/>
      <c r="J490" s="30" t="s">
        <v>53</v>
      </c>
      <c r="K490" s="30" t="s">
        <v>3947</v>
      </c>
      <c r="L490" s="30" t="s">
        <v>55</v>
      </c>
      <c r="M490" s="30" t="s">
        <v>1573</v>
      </c>
      <c r="N490" s="30" t="s">
        <v>3948</v>
      </c>
      <c r="O490" s="30" t="s">
        <v>281</v>
      </c>
      <c r="P490" s="30" t="s">
        <v>3949</v>
      </c>
      <c r="Q490" s="28" t="s">
        <v>3950</v>
      </c>
      <c r="R490" s="30" t="s">
        <v>3951</v>
      </c>
      <c r="S490" s="30" t="s">
        <v>53</v>
      </c>
      <c r="T490" s="30"/>
      <c r="U490" s="28" t="s">
        <v>3952</v>
      </c>
      <c r="V490" s="30" t="s">
        <v>63</v>
      </c>
      <c r="W490" s="30" t="s">
        <v>204</v>
      </c>
      <c r="X490" s="32">
        <v>43862</v>
      </c>
      <c r="Y490" s="32">
        <v>45627</v>
      </c>
      <c r="Z490" s="30" t="s">
        <v>65</v>
      </c>
      <c r="AA490" s="28" t="s">
        <v>66</v>
      </c>
      <c r="AB490" s="28" t="s">
        <v>67</v>
      </c>
      <c r="AC490" s="29"/>
      <c r="AD490" s="28">
        <v>0</v>
      </c>
      <c r="AE490" s="29"/>
      <c r="AF490" s="31"/>
      <c r="AG490" s="30" t="s">
        <v>1579</v>
      </c>
      <c r="AH490" s="28"/>
      <c r="AI490" s="28" t="s">
        <v>53</v>
      </c>
      <c r="AJ490" s="33">
        <v>36074</v>
      </c>
      <c r="AK490" s="28">
        <v>8</v>
      </c>
      <c r="AL490" s="28">
        <v>20</v>
      </c>
      <c r="AM490" s="21"/>
      <c r="AN490" s="27"/>
      <c r="AO490" s="27"/>
      <c r="AP490" s="27"/>
      <c r="AQ490" s="27"/>
    </row>
    <row r="491" spans="1:43" ht="15.75" customHeight="1">
      <c r="A491" s="28">
        <v>24</v>
      </c>
      <c r="B491" s="29" t="s">
        <v>3953</v>
      </c>
      <c r="C491" s="30" t="s">
        <v>3954</v>
      </c>
      <c r="D491" s="31" t="s">
        <v>3955</v>
      </c>
      <c r="E491" s="30" t="s">
        <v>72</v>
      </c>
      <c r="F491" s="30" t="s">
        <v>50</v>
      </c>
      <c r="G491" s="30" t="s">
        <v>51</v>
      </c>
      <c r="H491" s="28" t="s">
        <v>85</v>
      </c>
      <c r="I491" s="30"/>
      <c r="J491" s="30" t="s">
        <v>53</v>
      </c>
      <c r="K491" s="30" t="s">
        <v>3956</v>
      </c>
      <c r="L491" s="30" t="s">
        <v>55</v>
      </c>
      <c r="M491" s="30" t="s">
        <v>1573</v>
      </c>
      <c r="N491" s="30" t="s">
        <v>3957</v>
      </c>
      <c r="O491" s="30" t="s">
        <v>1585</v>
      </c>
      <c r="P491" s="30" t="s">
        <v>3958</v>
      </c>
      <c r="Q491" s="28" t="s">
        <v>3959</v>
      </c>
      <c r="R491" s="30" t="s">
        <v>3960</v>
      </c>
      <c r="S491" s="30" t="s">
        <v>53</v>
      </c>
      <c r="T491" s="30"/>
      <c r="U491" s="28" t="s">
        <v>732</v>
      </c>
      <c r="V491" s="30" t="s">
        <v>63</v>
      </c>
      <c r="W491" s="30" t="s">
        <v>204</v>
      </c>
      <c r="X491" s="32">
        <v>43678</v>
      </c>
      <c r="Y491" s="32">
        <v>45444</v>
      </c>
      <c r="Z491" s="30" t="s">
        <v>65</v>
      </c>
      <c r="AA491" s="28" t="s">
        <v>246</v>
      </c>
      <c r="AB491" s="28" t="s">
        <v>67</v>
      </c>
      <c r="AC491" s="29"/>
      <c r="AD491" s="28">
        <v>0</v>
      </c>
      <c r="AE491" s="29"/>
      <c r="AF491" s="31"/>
      <c r="AG491" s="30" t="s">
        <v>1579</v>
      </c>
      <c r="AH491" s="28"/>
      <c r="AI491" s="28" t="s">
        <v>53</v>
      </c>
      <c r="AJ491" s="33">
        <v>36772</v>
      </c>
      <c r="AK491" s="28">
        <v>9</v>
      </c>
      <c r="AL491" s="28">
        <v>20</v>
      </c>
      <c r="AM491" s="21"/>
      <c r="AN491" s="27"/>
      <c r="AO491" s="27"/>
      <c r="AP491" s="27"/>
      <c r="AQ491" s="27"/>
    </row>
    <row r="492" spans="1:43" ht="15.75" customHeight="1">
      <c r="A492" s="28">
        <v>25</v>
      </c>
      <c r="B492" s="29" t="s">
        <v>3961</v>
      </c>
      <c r="C492" s="30"/>
      <c r="D492" s="31" t="s">
        <v>3962</v>
      </c>
      <c r="E492" s="30" t="s">
        <v>72</v>
      </c>
      <c r="F492" s="30" t="s">
        <v>50</v>
      </c>
      <c r="G492" s="30" t="s">
        <v>51</v>
      </c>
      <c r="H492" s="28" t="s">
        <v>85</v>
      </c>
      <c r="I492" s="30"/>
      <c r="J492" s="30" t="s">
        <v>53</v>
      </c>
      <c r="K492" s="30" t="s">
        <v>3963</v>
      </c>
      <c r="L492" s="30" t="s">
        <v>55</v>
      </c>
      <c r="M492" s="30" t="s">
        <v>656</v>
      </c>
      <c r="N492" s="30" t="s">
        <v>3964</v>
      </c>
      <c r="O492" s="30" t="s">
        <v>3965</v>
      </c>
      <c r="P492" s="30" t="s">
        <v>3966</v>
      </c>
      <c r="Q492" s="28"/>
      <c r="R492" s="30" t="s">
        <v>3967</v>
      </c>
      <c r="S492" s="30" t="s">
        <v>53</v>
      </c>
      <c r="T492" s="30"/>
      <c r="U492" s="28" t="s">
        <v>1756</v>
      </c>
      <c r="V492" s="30" t="s">
        <v>63</v>
      </c>
      <c r="W492" s="30" t="s">
        <v>204</v>
      </c>
      <c r="X492" s="32">
        <v>44228</v>
      </c>
      <c r="Y492" s="32">
        <v>45992</v>
      </c>
      <c r="Z492" s="30" t="s">
        <v>65</v>
      </c>
      <c r="AA492" s="28" t="s">
        <v>134</v>
      </c>
      <c r="AB492" s="28" t="s">
        <v>67</v>
      </c>
      <c r="AC492" s="29"/>
      <c r="AD492" s="28">
        <v>0</v>
      </c>
      <c r="AE492" s="29"/>
      <c r="AF492" s="31"/>
      <c r="AG492" s="30" t="s">
        <v>1579</v>
      </c>
      <c r="AH492" s="28"/>
      <c r="AI492" s="28" t="s">
        <v>53</v>
      </c>
      <c r="AJ492" s="33">
        <v>37195</v>
      </c>
      <c r="AK492" s="28">
        <v>6</v>
      </c>
      <c r="AL492" s="28">
        <v>20</v>
      </c>
      <c r="AM492" s="21"/>
      <c r="AN492" s="27"/>
      <c r="AO492" s="27"/>
      <c r="AP492" s="27"/>
      <c r="AQ492" s="27"/>
    </row>
    <row r="493" spans="1:43" ht="15.75" customHeight="1">
      <c r="A493" s="28">
        <v>26</v>
      </c>
      <c r="B493" s="29" t="s">
        <v>3968</v>
      </c>
      <c r="C493" s="30"/>
      <c r="D493" s="31" t="s">
        <v>3969</v>
      </c>
      <c r="E493" s="30" t="s">
        <v>72</v>
      </c>
      <c r="F493" s="30" t="s">
        <v>50</v>
      </c>
      <c r="G493" s="30" t="s">
        <v>51</v>
      </c>
      <c r="H493" s="28" t="s">
        <v>85</v>
      </c>
      <c r="I493" s="30"/>
      <c r="J493" s="30" t="s">
        <v>53</v>
      </c>
      <c r="K493" s="30" t="s">
        <v>3970</v>
      </c>
      <c r="L493" s="30" t="s">
        <v>55</v>
      </c>
      <c r="M493" s="30" t="s">
        <v>656</v>
      </c>
      <c r="N493" s="30" t="s">
        <v>3971</v>
      </c>
      <c r="O493" s="30" t="s">
        <v>2199</v>
      </c>
      <c r="P493" s="30" t="s">
        <v>3972</v>
      </c>
      <c r="Q493" s="28" t="s">
        <v>3973</v>
      </c>
      <c r="R493" s="30" t="s">
        <v>3974</v>
      </c>
      <c r="S493" s="30" t="s">
        <v>53</v>
      </c>
      <c r="T493" s="30"/>
      <c r="U493" s="28" t="s">
        <v>3975</v>
      </c>
      <c r="V493" s="30" t="s">
        <v>63</v>
      </c>
      <c r="W493" s="30" t="s">
        <v>204</v>
      </c>
      <c r="X493" s="32">
        <v>44228</v>
      </c>
      <c r="Y493" s="32">
        <v>45992</v>
      </c>
      <c r="Z493" s="30" t="s">
        <v>65</v>
      </c>
      <c r="AA493" s="28" t="s">
        <v>134</v>
      </c>
      <c r="AB493" s="28" t="s">
        <v>67</v>
      </c>
      <c r="AC493" s="29"/>
      <c r="AD493" s="28">
        <v>0</v>
      </c>
      <c r="AE493" s="29"/>
      <c r="AF493" s="31"/>
      <c r="AG493" s="30" t="s">
        <v>1579</v>
      </c>
      <c r="AH493" s="28"/>
      <c r="AI493" s="28" t="s">
        <v>53</v>
      </c>
      <c r="AJ493" s="33">
        <v>37798</v>
      </c>
      <c r="AK493" s="28">
        <v>6</v>
      </c>
      <c r="AL493" s="28">
        <v>20</v>
      </c>
      <c r="AM493" s="21"/>
      <c r="AN493" s="27"/>
      <c r="AO493" s="27"/>
      <c r="AP493" s="27"/>
      <c r="AQ493" s="27"/>
    </row>
    <row r="494" spans="1:43" ht="15.75" customHeight="1">
      <c r="A494" s="28">
        <v>27</v>
      </c>
      <c r="B494" s="29" t="s">
        <v>3976</v>
      </c>
      <c r="C494" s="30" t="s">
        <v>3977</v>
      </c>
      <c r="D494" s="31" t="s">
        <v>3978</v>
      </c>
      <c r="E494" s="30" t="s">
        <v>72</v>
      </c>
      <c r="F494" s="30" t="s">
        <v>50</v>
      </c>
      <c r="G494" s="30" t="s">
        <v>51</v>
      </c>
      <c r="H494" s="28" t="s">
        <v>52</v>
      </c>
      <c r="I494" s="30"/>
      <c r="J494" s="30" t="s">
        <v>53</v>
      </c>
      <c r="K494" s="30" t="s">
        <v>3979</v>
      </c>
      <c r="L494" s="30" t="s">
        <v>55</v>
      </c>
      <c r="M494" s="30" t="s">
        <v>656</v>
      </c>
      <c r="N494" s="30" t="s">
        <v>3980</v>
      </c>
      <c r="O494" s="30" t="s">
        <v>3981</v>
      </c>
      <c r="P494" s="30" t="s">
        <v>3982</v>
      </c>
      <c r="Q494" s="28"/>
      <c r="R494" s="30" t="s">
        <v>3983</v>
      </c>
      <c r="S494" s="30" t="s">
        <v>53</v>
      </c>
      <c r="T494" s="30"/>
      <c r="U494" s="28" t="s">
        <v>1598</v>
      </c>
      <c r="V494" s="30" t="s">
        <v>63</v>
      </c>
      <c r="W494" s="30" t="s">
        <v>204</v>
      </c>
      <c r="X494" s="32">
        <v>44228</v>
      </c>
      <c r="Y494" s="32">
        <v>46327</v>
      </c>
      <c r="Z494" s="30" t="s">
        <v>65</v>
      </c>
      <c r="AA494" s="28" t="s">
        <v>66</v>
      </c>
      <c r="AB494" s="28" t="s">
        <v>67</v>
      </c>
      <c r="AC494" s="29"/>
      <c r="AD494" s="28">
        <v>0</v>
      </c>
      <c r="AE494" s="29"/>
      <c r="AF494" s="31"/>
      <c r="AG494" s="30" t="s">
        <v>1579</v>
      </c>
      <c r="AH494" s="28"/>
      <c r="AI494" s="28" t="s">
        <v>53</v>
      </c>
      <c r="AJ494" s="33">
        <v>37466</v>
      </c>
      <c r="AK494" s="28">
        <v>5</v>
      </c>
      <c r="AL494" s="28">
        <v>20</v>
      </c>
      <c r="AM494" s="21"/>
      <c r="AN494" s="27"/>
      <c r="AO494" s="27"/>
      <c r="AP494" s="27"/>
      <c r="AQ494" s="27"/>
    </row>
    <row r="495" spans="1:43" ht="15.75" customHeight="1">
      <c r="A495" s="28">
        <v>28</v>
      </c>
      <c r="B495" s="29" t="s">
        <v>3984</v>
      </c>
      <c r="C495" s="30" t="s">
        <v>3985</v>
      </c>
      <c r="D495" s="31" t="s">
        <v>3986</v>
      </c>
      <c r="E495" s="30" t="s">
        <v>72</v>
      </c>
      <c r="F495" s="30" t="s">
        <v>50</v>
      </c>
      <c r="G495" s="30" t="s">
        <v>51</v>
      </c>
      <c r="H495" s="28" t="s">
        <v>85</v>
      </c>
      <c r="I495" s="30"/>
      <c r="J495" s="30" t="s">
        <v>53</v>
      </c>
      <c r="K495" s="30" t="s">
        <v>2859</v>
      </c>
      <c r="L495" s="30" t="s">
        <v>55</v>
      </c>
      <c r="M495" s="30" t="s">
        <v>1573</v>
      </c>
      <c r="N495" s="30" t="s">
        <v>3987</v>
      </c>
      <c r="O495" s="30" t="s">
        <v>1688</v>
      </c>
      <c r="P495" s="30" t="s">
        <v>3988</v>
      </c>
      <c r="Q495" s="28"/>
      <c r="R495" s="30" t="s">
        <v>3989</v>
      </c>
      <c r="S495" s="30" t="s">
        <v>53</v>
      </c>
      <c r="T495" s="30"/>
      <c r="U495" s="28" t="s">
        <v>3990</v>
      </c>
      <c r="V495" s="30" t="s">
        <v>63</v>
      </c>
      <c r="W495" s="30" t="s">
        <v>204</v>
      </c>
      <c r="X495" s="32">
        <v>42948</v>
      </c>
      <c r="Y495" s="32">
        <v>45627</v>
      </c>
      <c r="Z495" s="30" t="s">
        <v>65</v>
      </c>
      <c r="AA495" s="28" t="s">
        <v>134</v>
      </c>
      <c r="AB495" s="28" t="s">
        <v>67</v>
      </c>
      <c r="AC495" s="29"/>
      <c r="AD495" s="28">
        <v>0</v>
      </c>
      <c r="AE495" s="29"/>
      <c r="AF495" s="31"/>
      <c r="AG495" s="30" t="s">
        <v>1579</v>
      </c>
      <c r="AH495" s="28"/>
      <c r="AI495" s="28" t="s">
        <v>53</v>
      </c>
      <c r="AJ495" s="33">
        <v>36371</v>
      </c>
      <c r="AK495" s="28">
        <v>6</v>
      </c>
      <c r="AL495" s="28">
        <v>19</v>
      </c>
      <c r="AM495" s="21"/>
      <c r="AN495" s="27"/>
      <c r="AO495" s="27"/>
      <c r="AP495" s="27"/>
      <c r="AQ495" s="27"/>
    </row>
    <row r="496" spans="1:43" ht="15.75" customHeight="1">
      <c r="A496" s="28">
        <v>29</v>
      </c>
      <c r="B496" s="29" t="s">
        <v>3991</v>
      </c>
      <c r="C496" s="30"/>
      <c r="D496" s="31" t="s">
        <v>3992</v>
      </c>
      <c r="E496" s="30" t="s">
        <v>72</v>
      </c>
      <c r="F496" s="30" t="s">
        <v>50</v>
      </c>
      <c r="G496" s="30" t="s">
        <v>51</v>
      </c>
      <c r="H496" s="28" t="s">
        <v>85</v>
      </c>
      <c r="I496" s="30"/>
      <c r="J496" s="30" t="s">
        <v>53</v>
      </c>
      <c r="K496" s="30" t="s">
        <v>3993</v>
      </c>
      <c r="L496" s="30" t="s">
        <v>55</v>
      </c>
      <c r="M496" s="30" t="s">
        <v>656</v>
      </c>
      <c r="N496" s="30" t="s">
        <v>3994</v>
      </c>
      <c r="O496" s="30" t="s">
        <v>1712</v>
      </c>
      <c r="P496" s="30" t="s">
        <v>3995</v>
      </c>
      <c r="Q496" s="28" t="s">
        <v>3996</v>
      </c>
      <c r="R496" s="30" t="s">
        <v>3997</v>
      </c>
      <c r="S496" s="30" t="s">
        <v>53</v>
      </c>
      <c r="T496" s="30"/>
      <c r="U496" s="28" t="s">
        <v>1625</v>
      </c>
      <c r="V496" s="30" t="s">
        <v>63</v>
      </c>
      <c r="W496" s="30" t="s">
        <v>204</v>
      </c>
      <c r="X496" s="32">
        <v>43678</v>
      </c>
      <c r="Y496" s="32">
        <v>45627</v>
      </c>
      <c r="Z496" s="30" t="s">
        <v>65</v>
      </c>
      <c r="AA496" s="28" t="s">
        <v>66</v>
      </c>
      <c r="AB496" s="28" t="s">
        <v>67</v>
      </c>
      <c r="AC496" s="29"/>
      <c r="AD496" s="28">
        <v>0</v>
      </c>
      <c r="AE496" s="29"/>
      <c r="AF496" s="31"/>
      <c r="AG496" s="30" t="s">
        <v>1579</v>
      </c>
      <c r="AH496" s="28"/>
      <c r="AI496" s="28" t="s">
        <v>53</v>
      </c>
      <c r="AJ496" s="33">
        <v>32557</v>
      </c>
      <c r="AK496" s="28">
        <v>8</v>
      </c>
      <c r="AL496" s="28">
        <v>19</v>
      </c>
      <c r="AM496" s="21"/>
      <c r="AN496" s="27"/>
      <c r="AO496" s="27"/>
      <c r="AP496" s="27"/>
      <c r="AQ496" s="27"/>
    </row>
    <row r="497" spans="1:43" ht="15.75" customHeight="1">
      <c r="A497" s="28">
        <v>30</v>
      </c>
      <c r="B497" s="29" t="s">
        <v>3998</v>
      </c>
      <c r="C497" s="30"/>
      <c r="D497" s="31" t="s">
        <v>3999</v>
      </c>
      <c r="E497" s="30" t="s">
        <v>72</v>
      </c>
      <c r="F497" s="30" t="s">
        <v>50</v>
      </c>
      <c r="G497" s="30" t="s">
        <v>51</v>
      </c>
      <c r="H497" s="28" t="s">
        <v>52</v>
      </c>
      <c r="I497" s="30"/>
      <c r="J497" s="30" t="s">
        <v>53</v>
      </c>
      <c r="K497" s="30" t="s">
        <v>4000</v>
      </c>
      <c r="L497" s="30" t="s">
        <v>55</v>
      </c>
      <c r="M497" s="30" t="s">
        <v>656</v>
      </c>
      <c r="N497" s="30" t="s">
        <v>4001</v>
      </c>
      <c r="O497" s="30" t="s">
        <v>4002</v>
      </c>
      <c r="P497" s="30" t="s">
        <v>4003</v>
      </c>
      <c r="Q497" s="28"/>
      <c r="R497" s="30" t="s">
        <v>4004</v>
      </c>
      <c r="S497" s="30" t="s">
        <v>53</v>
      </c>
      <c r="T497" s="30"/>
      <c r="U497" s="28" t="s">
        <v>4005</v>
      </c>
      <c r="V497" s="30" t="s">
        <v>63</v>
      </c>
      <c r="W497" s="30" t="s">
        <v>204</v>
      </c>
      <c r="X497" s="32">
        <v>43831</v>
      </c>
      <c r="Y497" s="32">
        <v>45627</v>
      </c>
      <c r="Z497" s="30" t="s">
        <v>65</v>
      </c>
      <c r="AA497" s="28" t="s">
        <v>66</v>
      </c>
      <c r="AB497" s="28" t="s">
        <v>67</v>
      </c>
      <c r="AC497" s="29"/>
      <c r="AD497" s="28">
        <v>0</v>
      </c>
      <c r="AE497" s="29"/>
      <c r="AF497" s="31"/>
      <c r="AG497" s="30" t="s">
        <v>1579</v>
      </c>
      <c r="AH497" s="28"/>
      <c r="AI497" s="28" t="s">
        <v>53</v>
      </c>
      <c r="AJ497" s="33">
        <v>37288</v>
      </c>
      <c r="AK497" s="28">
        <v>8</v>
      </c>
      <c r="AL497" s="28">
        <v>19</v>
      </c>
      <c r="AM497" s="21"/>
      <c r="AN497" s="27"/>
      <c r="AO497" s="27"/>
      <c r="AP497" s="27"/>
      <c r="AQ497" s="27"/>
    </row>
    <row r="498" spans="1:43" ht="15.75" customHeight="1">
      <c r="A498" s="28">
        <v>31</v>
      </c>
      <c r="B498" s="29" t="s">
        <v>4006</v>
      </c>
      <c r="C498" s="30" t="s">
        <v>4007</v>
      </c>
      <c r="D498" s="31" t="s">
        <v>4008</v>
      </c>
      <c r="E498" s="30" t="s">
        <v>72</v>
      </c>
      <c r="F498" s="30" t="s">
        <v>50</v>
      </c>
      <c r="G498" s="30" t="s">
        <v>51</v>
      </c>
      <c r="H498" s="28" t="s">
        <v>52</v>
      </c>
      <c r="I498" s="30"/>
      <c r="J498" s="30" t="s">
        <v>53</v>
      </c>
      <c r="K498" s="30" t="s">
        <v>4009</v>
      </c>
      <c r="L498" s="30" t="s">
        <v>55</v>
      </c>
      <c r="M498" s="30" t="s">
        <v>656</v>
      </c>
      <c r="N498" s="30" t="s">
        <v>4010</v>
      </c>
      <c r="O498" s="30" t="s">
        <v>3316</v>
      </c>
      <c r="P498" s="30" t="s">
        <v>4011</v>
      </c>
      <c r="Q498" s="28" t="s">
        <v>4012</v>
      </c>
      <c r="R498" s="30" t="s">
        <v>4013</v>
      </c>
      <c r="S498" s="30" t="s">
        <v>53</v>
      </c>
      <c r="T498" s="30"/>
      <c r="U498" s="28" t="s">
        <v>4014</v>
      </c>
      <c r="V498" s="30" t="s">
        <v>63</v>
      </c>
      <c r="W498" s="30" t="s">
        <v>204</v>
      </c>
      <c r="X498" s="32">
        <v>44774</v>
      </c>
      <c r="Y498" s="32">
        <v>46600</v>
      </c>
      <c r="Z498" s="30" t="s">
        <v>65</v>
      </c>
      <c r="AA498" s="28" t="s">
        <v>66</v>
      </c>
      <c r="AB498" s="28" t="s">
        <v>67</v>
      </c>
      <c r="AC498" s="29"/>
      <c r="AD498" s="28">
        <v>0</v>
      </c>
      <c r="AE498" s="29"/>
      <c r="AF498" s="31"/>
      <c r="AG498" s="30" t="s">
        <v>1579</v>
      </c>
      <c r="AH498" s="28"/>
      <c r="AI498" s="28" t="s">
        <v>53</v>
      </c>
      <c r="AJ498" s="33">
        <v>37573</v>
      </c>
      <c r="AK498" s="28">
        <v>5</v>
      </c>
      <c r="AL498" s="28">
        <v>19</v>
      </c>
      <c r="AM498" s="21"/>
      <c r="AN498" s="27"/>
      <c r="AO498" s="27"/>
      <c r="AP498" s="27"/>
      <c r="AQ498" s="27"/>
    </row>
    <row r="499" spans="1:43" ht="15.75" customHeight="1">
      <c r="A499" s="28">
        <v>32</v>
      </c>
      <c r="B499" s="29" t="s">
        <v>4015</v>
      </c>
      <c r="C499" s="30" t="s">
        <v>4016</v>
      </c>
      <c r="D499" s="31" t="s">
        <v>4017</v>
      </c>
      <c r="E499" s="30" t="s">
        <v>72</v>
      </c>
      <c r="F499" s="30" t="s">
        <v>50</v>
      </c>
      <c r="G499" s="30" t="s">
        <v>51</v>
      </c>
      <c r="H499" s="28" t="s">
        <v>52</v>
      </c>
      <c r="I499" s="30"/>
      <c r="J499" s="30" t="s">
        <v>53</v>
      </c>
      <c r="K499" s="30" t="s">
        <v>4018</v>
      </c>
      <c r="L499" s="30" t="s">
        <v>55</v>
      </c>
      <c r="M499" s="30" t="s">
        <v>656</v>
      </c>
      <c r="N499" s="30" t="s">
        <v>4019</v>
      </c>
      <c r="O499" s="30" t="s">
        <v>3223</v>
      </c>
      <c r="P499" s="30" t="s">
        <v>4020</v>
      </c>
      <c r="Q499" s="28"/>
      <c r="R499" s="30" t="s">
        <v>4021</v>
      </c>
      <c r="S499" s="30" t="s">
        <v>53</v>
      </c>
      <c r="T499" s="30"/>
      <c r="U499" s="28" t="s">
        <v>1625</v>
      </c>
      <c r="V499" s="30" t="s">
        <v>63</v>
      </c>
      <c r="W499" s="30" t="s">
        <v>204</v>
      </c>
      <c r="X499" s="32">
        <v>44197</v>
      </c>
      <c r="Y499" s="32">
        <v>45992</v>
      </c>
      <c r="Z499" s="30" t="s">
        <v>65</v>
      </c>
      <c r="AA499" s="28" t="s">
        <v>66</v>
      </c>
      <c r="AB499" s="28" t="s">
        <v>67</v>
      </c>
      <c r="AC499" s="29"/>
      <c r="AD499" s="28">
        <v>0</v>
      </c>
      <c r="AE499" s="29"/>
      <c r="AF499" s="31"/>
      <c r="AG499" s="30" t="s">
        <v>1579</v>
      </c>
      <c r="AH499" s="28"/>
      <c r="AI499" s="28" t="s">
        <v>53</v>
      </c>
      <c r="AJ499" s="33">
        <v>37526</v>
      </c>
      <c r="AK499" s="28">
        <v>6</v>
      </c>
      <c r="AL499" s="28">
        <v>19</v>
      </c>
      <c r="AM499" s="21"/>
      <c r="AN499" s="27"/>
      <c r="AO499" s="27"/>
      <c r="AP499" s="27"/>
      <c r="AQ499" s="27"/>
    </row>
    <row r="500" spans="1:43" ht="15.75" customHeight="1">
      <c r="A500" s="28">
        <v>33</v>
      </c>
      <c r="B500" s="29" t="s">
        <v>4022</v>
      </c>
      <c r="C500" s="30" t="s">
        <v>4023</v>
      </c>
      <c r="D500" s="31" t="s">
        <v>4024</v>
      </c>
      <c r="E500" s="30" t="s">
        <v>49</v>
      </c>
      <c r="F500" s="30" t="s">
        <v>50</v>
      </c>
      <c r="G500" s="30" t="s">
        <v>51</v>
      </c>
      <c r="H500" s="28" t="s">
        <v>52</v>
      </c>
      <c r="I500" s="30"/>
      <c r="J500" s="30" t="s">
        <v>53</v>
      </c>
      <c r="K500" s="30" t="s">
        <v>4025</v>
      </c>
      <c r="L500" s="30" t="s">
        <v>55</v>
      </c>
      <c r="M500" s="30" t="s">
        <v>1573</v>
      </c>
      <c r="N500" s="30" t="s">
        <v>4026</v>
      </c>
      <c r="O500" s="30" t="s">
        <v>437</v>
      </c>
      <c r="P500" s="30" t="s">
        <v>4027</v>
      </c>
      <c r="Q500" s="28" t="s">
        <v>4028</v>
      </c>
      <c r="R500" s="30" t="s">
        <v>4029</v>
      </c>
      <c r="S500" s="30" t="s">
        <v>53</v>
      </c>
      <c r="T500" s="30"/>
      <c r="U500" s="28" t="s">
        <v>1625</v>
      </c>
      <c r="V500" s="30" t="s">
        <v>63</v>
      </c>
      <c r="W500" s="30" t="s">
        <v>204</v>
      </c>
      <c r="X500" s="32">
        <v>43831</v>
      </c>
      <c r="Y500" s="32">
        <v>45658</v>
      </c>
      <c r="Z500" s="30" t="s">
        <v>65</v>
      </c>
      <c r="AA500" s="28" t="s">
        <v>66</v>
      </c>
      <c r="AB500" s="28" t="s">
        <v>67</v>
      </c>
      <c r="AC500" s="29"/>
      <c r="AD500" s="28">
        <v>0</v>
      </c>
      <c r="AE500" s="29"/>
      <c r="AF500" s="31"/>
      <c r="AG500" s="30" t="s">
        <v>1579</v>
      </c>
      <c r="AH500" s="28"/>
      <c r="AI500" s="28" t="s">
        <v>53</v>
      </c>
      <c r="AJ500" s="33">
        <v>37323</v>
      </c>
      <c r="AK500" s="28">
        <v>8</v>
      </c>
      <c r="AL500" s="28">
        <v>19</v>
      </c>
      <c r="AM500" s="21"/>
      <c r="AN500" s="27"/>
      <c r="AO500" s="27"/>
      <c r="AP500" s="27"/>
      <c r="AQ500" s="27"/>
    </row>
    <row r="501" spans="1:43" ht="15.75" customHeight="1">
      <c r="A501" s="28">
        <v>34</v>
      </c>
      <c r="B501" s="29" t="s">
        <v>4030</v>
      </c>
      <c r="C501" s="30"/>
      <c r="D501" s="31" t="s">
        <v>4031</v>
      </c>
      <c r="E501" s="30" t="s">
        <v>72</v>
      </c>
      <c r="F501" s="30" t="s">
        <v>50</v>
      </c>
      <c r="G501" s="30" t="s">
        <v>51</v>
      </c>
      <c r="H501" s="28" t="s">
        <v>85</v>
      </c>
      <c r="I501" s="30"/>
      <c r="J501" s="30" t="s">
        <v>53</v>
      </c>
      <c r="K501" s="30" t="s">
        <v>4032</v>
      </c>
      <c r="L501" s="30" t="s">
        <v>55</v>
      </c>
      <c r="M501" s="30" t="s">
        <v>1573</v>
      </c>
      <c r="N501" s="30" t="s">
        <v>4033</v>
      </c>
      <c r="O501" s="30" t="s">
        <v>4034</v>
      </c>
      <c r="P501" s="30" t="s">
        <v>4035</v>
      </c>
      <c r="Q501" s="28"/>
      <c r="R501" s="30" t="s">
        <v>4036</v>
      </c>
      <c r="S501" s="30" t="s">
        <v>53</v>
      </c>
      <c r="T501" s="30"/>
      <c r="U501" s="28" t="s">
        <v>1625</v>
      </c>
      <c r="V501" s="30" t="s">
        <v>63</v>
      </c>
      <c r="W501" s="30" t="s">
        <v>204</v>
      </c>
      <c r="X501" s="32">
        <v>44228</v>
      </c>
      <c r="Y501" s="32">
        <v>45992</v>
      </c>
      <c r="Z501" s="30" t="s">
        <v>65</v>
      </c>
      <c r="AA501" s="28" t="s">
        <v>134</v>
      </c>
      <c r="AB501" s="28" t="s">
        <v>67</v>
      </c>
      <c r="AC501" s="29"/>
      <c r="AD501" s="28">
        <v>0</v>
      </c>
      <c r="AE501" s="29"/>
      <c r="AF501" s="31"/>
      <c r="AG501" s="30" t="s">
        <v>1579</v>
      </c>
      <c r="AH501" s="28"/>
      <c r="AI501" s="28" t="s">
        <v>118</v>
      </c>
      <c r="AJ501" s="33">
        <v>37730</v>
      </c>
      <c r="AK501" s="28">
        <v>6</v>
      </c>
      <c r="AL501" s="28">
        <v>18</v>
      </c>
      <c r="AM501" s="21"/>
      <c r="AN501" s="27"/>
      <c r="AO501" s="27"/>
      <c r="AP501" s="27"/>
      <c r="AQ501" s="27"/>
    </row>
    <row r="502" spans="1:43" ht="15.75" customHeight="1">
      <c r="A502" s="28">
        <v>35</v>
      </c>
      <c r="B502" s="29" t="s">
        <v>4037</v>
      </c>
      <c r="C502" s="30" t="s">
        <v>4038</v>
      </c>
      <c r="D502" s="31" t="s">
        <v>4039</v>
      </c>
      <c r="E502" s="30" t="s">
        <v>72</v>
      </c>
      <c r="F502" s="30" t="s">
        <v>50</v>
      </c>
      <c r="G502" s="30" t="s">
        <v>51</v>
      </c>
      <c r="H502" s="28" t="s">
        <v>52</v>
      </c>
      <c r="I502" s="30"/>
      <c r="J502" s="30" t="s">
        <v>53</v>
      </c>
      <c r="K502" s="30" t="s">
        <v>4040</v>
      </c>
      <c r="L502" s="30" t="s">
        <v>55</v>
      </c>
      <c r="M502" s="30" t="s">
        <v>1573</v>
      </c>
      <c r="N502" s="30" t="s">
        <v>4041</v>
      </c>
      <c r="O502" s="30" t="s">
        <v>1768</v>
      </c>
      <c r="P502" s="30" t="s">
        <v>4042</v>
      </c>
      <c r="Q502" s="28" t="s">
        <v>4043</v>
      </c>
      <c r="R502" s="30" t="s">
        <v>4044</v>
      </c>
      <c r="S502" s="30" t="s">
        <v>53</v>
      </c>
      <c r="T502" s="30"/>
      <c r="U502" s="28" t="s">
        <v>2097</v>
      </c>
      <c r="V502" s="30" t="s">
        <v>63</v>
      </c>
      <c r="W502" s="30" t="s">
        <v>204</v>
      </c>
      <c r="X502" s="32">
        <v>44197</v>
      </c>
      <c r="Y502" s="32">
        <v>45992</v>
      </c>
      <c r="Z502" s="30" t="s">
        <v>65</v>
      </c>
      <c r="AA502" s="28" t="s">
        <v>66</v>
      </c>
      <c r="AB502" s="28" t="s">
        <v>67</v>
      </c>
      <c r="AC502" s="29"/>
      <c r="AD502" s="28">
        <v>0</v>
      </c>
      <c r="AE502" s="29"/>
      <c r="AF502" s="31"/>
      <c r="AG502" s="30" t="s">
        <v>1579</v>
      </c>
      <c r="AH502" s="28"/>
      <c r="AI502" s="28" t="s">
        <v>118</v>
      </c>
      <c r="AJ502" s="33">
        <v>37535</v>
      </c>
      <c r="AK502" s="28">
        <v>6</v>
      </c>
      <c r="AL502" s="28">
        <v>18</v>
      </c>
      <c r="AM502" s="21"/>
      <c r="AN502" s="27"/>
      <c r="AO502" s="27"/>
      <c r="AP502" s="27"/>
      <c r="AQ502" s="27"/>
    </row>
    <row r="503" spans="1:43" ht="15.75" customHeight="1">
      <c r="A503" s="28">
        <v>36</v>
      </c>
      <c r="B503" s="29" t="s">
        <v>4045</v>
      </c>
      <c r="C503" s="30"/>
      <c r="D503" s="31" t="s">
        <v>4046</v>
      </c>
      <c r="E503" s="30" t="s">
        <v>49</v>
      </c>
      <c r="F503" s="30" t="s">
        <v>50</v>
      </c>
      <c r="G503" s="30" t="s">
        <v>51</v>
      </c>
      <c r="H503" s="28" t="s">
        <v>85</v>
      </c>
      <c r="I503" s="30"/>
      <c r="J503" s="30" t="s">
        <v>53</v>
      </c>
      <c r="K503" s="30" t="s">
        <v>4047</v>
      </c>
      <c r="L503" s="30" t="s">
        <v>55</v>
      </c>
      <c r="M503" s="30" t="s">
        <v>1573</v>
      </c>
      <c r="N503" s="30" t="s">
        <v>4048</v>
      </c>
      <c r="O503" s="30" t="s">
        <v>2997</v>
      </c>
      <c r="P503" s="30" t="s">
        <v>4049</v>
      </c>
      <c r="Q503" s="28"/>
      <c r="R503" s="30" t="s">
        <v>4050</v>
      </c>
      <c r="S503" s="30" t="s">
        <v>53</v>
      </c>
      <c r="T503" s="30"/>
      <c r="U503" s="28" t="s">
        <v>1615</v>
      </c>
      <c r="V503" s="30" t="s">
        <v>63</v>
      </c>
      <c r="W503" s="30" t="s">
        <v>204</v>
      </c>
      <c r="X503" s="32">
        <v>44409</v>
      </c>
      <c r="Y503" s="32">
        <v>46082</v>
      </c>
      <c r="Z503" s="30" t="s">
        <v>65</v>
      </c>
      <c r="AA503" s="28" t="s">
        <v>134</v>
      </c>
      <c r="AB503" s="28" t="s">
        <v>67</v>
      </c>
      <c r="AC503" s="29"/>
      <c r="AD503" s="28">
        <v>0</v>
      </c>
      <c r="AE503" s="29"/>
      <c r="AF503" s="31"/>
      <c r="AG503" s="30" t="s">
        <v>1579</v>
      </c>
      <c r="AH503" s="28"/>
      <c r="AI503" s="28" t="s">
        <v>53</v>
      </c>
      <c r="AJ503" s="33">
        <v>37853</v>
      </c>
      <c r="AK503" s="28">
        <v>5</v>
      </c>
      <c r="AL503" s="28">
        <v>18</v>
      </c>
      <c r="AM503" s="21"/>
      <c r="AN503" s="27"/>
      <c r="AO503" s="27"/>
      <c r="AP503" s="27"/>
      <c r="AQ503" s="27"/>
    </row>
    <row r="504" spans="1:43" ht="15.75" customHeight="1">
      <c r="A504" s="28">
        <v>37</v>
      </c>
      <c r="B504" s="29" t="s">
        <v>4051</v>
      </c>
      <c r="C504" s="30"/>
      <c r="D504" s="31" t="s">
        <v>4052</v>
      </c>
      <c r="E504" s="30" t="s">
        <v>49</v>
      </c>
      <c r="F504" s="30" t="s">
        <v>50</v>
      </c>
      <c r="G504" s="30" t="s">
        <v>51</v>
      </c>
      <c r="H504" s="28" t="s">
        <v>85</v>
      </c>
      <c r="I504" s="30"/>
      <c r="J504" s="30" t="s">
        <v>53</v>
      </c>
      <c r="K504" s="30" t="s">
        <v>4053</v>
      </c>
      <c r="L504" s="30" t="s">
        <v>55</v>
      </c>
      <c r="M504" s="30" t="s">
        <v>1573</v>
      </c>
      <c r="N504" s="30" t="s">
        <v>4054</v>
      </c>
      <c r="O504" s="30" t="s">
        <v>4055</v>
      </c>
      <c r="P504" s="30" t="s">
        <v>4056</v>
      </c>
      <c r="Q504" s="28"/>
      <c r="R504" s="30" t="s">
        <v>4057</v>
      </c>
      <c r="S504" s="30" t="s">
        <v>53</v>
      </c>
      <c r="T504" s="30"/>
      <c r="U504" s="28" t="s">
        <v>2470</v>
      </c>
      <c r="V504" s="30" t="s">
        <v>63</v>
      </c>
      <c r="W504" s="30" t="s">
        <v>204</v>
      </c>
      <c r="X504" s="32">
        <v>43831</v>
      </c>
      <c r="Y504" s="32">
        <v>45809</v>
      </c>
      <c r="Z504" s="30" t="s">
        <v>65</v>
      </c>
      <c r="AA504" s="28" t="s">
        <v>66</v>
      </c>
      <c r="AB504" s="28" t="s">
        <v>67</v>
      </c>
      <c r="AC504" s="29"/>
      <c r="AD504" s="28">
        <v>0</v>
      </c>
      <c r="AE504" s="29"/>
      <c r="AF504" s="31"/>
      <c r="AG504" s="30" t="s">
        <v>1579</v>
      </c>
      <c r="AH504" s="28"/>
      <c r="AI504" s="28" t="s">
        <v>118</v>
      </c>
      <c r="AJ504" s="33">
        <v>36336</v>
      </c>
      <c r="AK504" s="28">
        <v>8</v>
      </c>
      <c r="AL504" s="28">
        <v>18</v>
      </c>
      <c r="AM504" s="21"/>
      <c r="AN504" s="27"/>
      <c r="AO504" s="27"/>
      <c r="AP504" s="27"/>
      <c r="AQ504" s="27"/>
    </row>
    <row r="505" spans="1:43" ht="15.75" customHeight="1">
      <c r="A505" s="28">
        <v>38</v>
      </c>
      <c r="B505" s="29" t="s">
        <v>4058</v>
      </c>
      <c r="C505" s="30"/>
      <c r="D505" s="31" t="s">
        <v>4059</v>
      </c>
      <c r="E505" s="30" t="s">
        <v>72</v>
      </c>
      <c r="F505" s="30" t="s">
        <v>84</v>
      </c>
      <c r="G505" s="30" t="s">
        <v>51</v>
      </c>
      <c r="H505" s="28" t="s">
        <v>85</v>
      </c>
      <c r="I505" s="30"/>
      <c r="J505" s="30" t="s">
        <v>53</v>
      </c>
      <c r="K505" s="30" t="s">
        <v>4060</v>
      </c>
      <c r="L505" s="30" t="s">
        <v>55</v>
      </c>
      <c r="M505" s="30" t="s">
        <v>1573</v>
      </c>
      <c r="N505" s="30" t="s">
        <v>4061</v>
      </c>
      <c r="O505" s="30" t="s">
        <v>4062</v>
      </c>
      <c r="P505" s="30" t="s">
        <v>4063</v>
      </c>
      <c r="Q505" s="28" t="s">
        <v>4064</v>
      </c>
      <c r="R505" s="30" t="s">
        <v>4065</v>
      </c>
      <c r="S505" s="30" t="s">
        <v>53</v>
      </c>
      <c r="T505" s="30"/>
      <c r="U505" s="28" t="s">
        <v>4066</v>
      </c>
      <c r="V505" s="30" t="s">
        <v>63</v>
      </c>
      <c r="W505" s="30" t="s">
        <v>204</v>
      </c>
      <c r="X505" s="32">
        <v>43831</v>
      </c>
      <c r="Y505" s="32">
        <v>45992</v>
      </c>
      <c r="Z505" s="30" t="s">
        <v>65</v>
      </c>
      <c r="AA505" s="28" t="s">
        <v>66</v>
      </c>
      <c r="AB505" s="28" t="s">
        <v>67</v>
      </c>
      <c r="AC505" s="29"/>
      <c r="AD505" s="28">
        <v>0</v>
      </c>
      <c r="AE505" s="29"/>
      <c r="AF505" s="31"/>
      <c r="AG505" s="30" t="s">
        <v>1579</v>
      </c>
      <c r="AH505" s="28"/>
      <c r="AI505" s="28" t="s">
        <v>53</v>
      </c>
      <c r="AJ505" s="33">
        <v>37171</v>
      </c>
      <c r="AK505" s="28">
        <v>6</v>
      </c>
      <c r="AL505" s="28">
        <v>17</v>
      </c>
      <c r="AM505" s="21"/>
      <c r="AN505" s="27"/>
      <c r="AO505" s="27"/>
      <c r="AP505" s="27"/>
      <c r="AQ505" s="27"/>
    </row>
    <row r="506" spans="1:43" ht="15.75" customHeight="1">
      <c r="A506" s="28">
        <v>39</v>
      </c>
      <c r="B506" s="29" t="s">
        <v>4067</v>
      </c>
      <c r="C506" s="30"/>
      <c r="D506" s="31" t="s">
        <v>4068</v>
      </c>
      <c r="E506" s="30" t="s">
        <v>72</v>
      </c>
      <c r="F506" s="30" t="s">
        <v>50</v>
      </c>
      <c r="G506" s="30" t="s">
        <v>51</v>
      </c>
      <c r="H506" s="28" t="s">
        <v>52</v>
      </c>
      <c r="I506" s="30"/>
      <c r="J506" s="30" t="s">
        <v>53</v>
      </c>
      <c r="K506" s="30" t="s">
        <v>4069</v>
      </c>
      <c r="L506" s="30" t="s">
        <v>55</v>
      </c>
      <c r="M506" s="30" t="s">
        <v>1573</v>
      </c>
      <c r="N506" s="30" t="s">
        <v>4070</v>
      </c>
      <c r="O506" s="30" t="s">
        <v>2263</v>
      </c>
      <c r="P506" s="30" t="s">
        <v>4071</v>
      </c>
      <c r="Q506" s="28" t="s">
        <v>4072</v>
      </c>
      <c r="R506" s="30" t="s">
        <v>4073</v>
      </c>
      <c r="S506" s="30" t="s">
        <v>53</v>
      </c>
      <c r="T506" s="30"/>
      <c r="U506" s="28" t="s">
        <v>1615</v>
      </c>
      <c r="V506" s="30" t="s">
        <v>63</v>
      </c>
      <c r="W506" s="30" t="s">
        <v>204</v>
      </c>
      <c r="X506" s="32">
        <v>44228</v>
      </c>
      <c r="Y506" s="32">
        <v>45689</v>
      </c>
      <c r="Z506" s="30" t="s">
        <v>65</v>
      </c>
      <c r="AA506" s="28" t="s">
        <v>66</v>
      </c>
      <c r="AB506" s="28" t="s">
        <v>67</v>
      </c>
      <c r="AC506" s="29"/>
      <c r="AD506" s="28">
        <v>0</v>
      </c>
      <c r="AE506" s="29"/>
      <c r="AF506" s="31"/>
      <c r="AG506" s="30" t="s">
        <v>1579</v>
      </c>
      <c r="AH506" s="28"/>
      <c r="AI506" s="28" t="s">
        <v>53</v>
      </c>
      <c r="AJ506" s="33">
        <v>37323</v>
      </c>
      <c r="AK506" s="28">
        <v>6</v>
      </c>
      <c r="AL506" s="28">
        <v>17</v>
      </c>
      <c r="AM506" s="21"/>
      <c r="AN506" s="27"/>
      <c r="AO506" s="27"/>
      <c r="AP506" s="27"/>
      <c r="AQ506" s="27"/>
    </row>
    <row r="507" spans="1:43" ht="15.75" customHeight="1">
      <c r="A507" s="28">
        <v>40</v>
      </c>
      <c r="B507" s="29" t="s">
        <v>4074</v>
      </c>
      <c r="C507" s="30"/>
      <c r="D507" s="31" t="s">
        <v>4075</v>
      </c>
      <c r="E507" s="30" t="s">
        <v>49</v>
      </c>
      <c r="F507" s="30" t="s">
        <v>50</v>
      </c>
      <c r="G507" s="30" t="s">
        <v>51</v>
      </c>
      <c r="H507" s="28" t="s">
        <v>85</v>
      </c>
      <c r="I507" s="30"/>
      <c r="J507" s="30" t="s">
        <v>53</v>
      </c>
      <c r="K507" s="30" t="s">
        <v>1991</v>
      </c>
      <c r="L507" s="30" t="s">
        <v>55</v>
      </c>
      <c r="M507" s="30" t="s">
        <v>1573</v>
      </c>
      <c r="N507" s="30" t="s">
        <v>4076</v>
      </c>
      <c r="O507" s="30" t="s">
        <v>1585</v>
      </c>
      <c r="P507" s="30" t="s">
        <v>4077</v>
      </c>
      <c r="Q507" s="28"/>
      <c r="R507" s="30" t="s">
        <v>4078</v>
      </c>
      <c r="S507" s="30" t="s">
        <v>53</v>
      </c>
      <c r="T507" s="30"/>
      <c r="U507" s="28" t="s">
        <v>1692</v>
      </c>
      <c r="V507" s="30" t="s">
        <v>63</v>
      </c>
      <c r="W507" s="30" t="s">
        <v>204</v>
      </c>
      <c r="X507" s="32">
        <v>44348</v>
      </c>
      <c r="Y507" s="32">
        <v>46357</v>
      </c>
      <c r="Z507" s="30" t="s">
        <v>65</v>
      </c>
      <c r="AA507" s="28" t="s">
        <v>134</v>
      </c>
      <c r="AB507" s="28" t="s">
        <v>67</v>
      </c>
      <c r="AC507" s="29"/>
      <c r="AD507" s="28">
        <v>0</v>
      </c>
      <c r="AE507" s="29"/>
      <c r="AF507" s="31"/>
      <c r="AG507" s="30" t="s">
        <v>1579</v>
      </c>
      <c r="AH507" s="28"/>
      <c r="AI507" s="28" t="s">
        <v>118</v>
      </c>
      <c r="AJ507" s="33">
        <v>36773</v>
      </c>
      <c r="AK507" s="28">
        <v>5</v>
      </c>
      <c r="AL507" s="28">
        <v>17</v>
      </c>
      <c r="AM507" s="21"/>
      <c r="AN507" s="27"/>
      <c r="AO507" s="27"/>
      <c r="AP507" s="27"/>
      <c r="AQ507" s="27"/>
    </row>
    <row r="508" spans="1:43" ht="15.75" customHeight="1">
      <c r="A508" s="28">
        <v>41</v>
      </c>
      <c r="B508" s="29" t="s">
        <v>4079</v>
      </c>
      <c r="C508" s="30" t="s">
        <v>4080</v>
      </c>
      <c r="D508" s="31" t="s">
        <v>4081</v>
      </c>
      <c r="E508" s="30" t="s">
        <v>72</v>
      </c>
      <c r="F508" s="30" t="s">
        <v>50</v>
      </c>
      <c r="G508" s="30" t="s">
        <v>51</v>
      </c>
      <c r="H508" s="28" t="s">
        <v>52</v>
      </c>
      <c r="I508" s="30"/>
      <c r="J508" s="30" t="s">
        <v>53</v>
      </c>
      <c r="K508" s="30" t="s">
        <v>4082</v>
      </c>
      <c r="L508" s="30" t="s">
        <v>55</v>
      </c>
      <c r="M508" s="30" t="s">
        <v>1573</v>
      </c>
      <c r="N508" s="30" t="s">
        <v>4083</v>
      </c>
      <c r="O508" s="30" t="s">
        <v>3527</v>
      </c>
      <c r="P508" s="30" t="s">
        <v>4084</v>
      </c>
      <c r="Q508" s="28" t="s">
        <v>4085</v>
      </c>
      <c r="R508" s="30" t="s">
        <v>4086</v>
      </c>
      <c r="S508" s="30" t="s">
        <v>53</v>
      </c>
      <c r="T508" s="30"/>
      <c r="U508" s="28" t="s">
        <v>1625</v>
      </c>
      <c r="V508" s="30" t="s">
        <v>63</v>
      </c>
      <c r="W508" s="30" t="s">
        <v>204</v>
      </c>
      <c r="X508" s="32">
        <v>43678</v>
      </c>
      <c r="Y508" s="32">
        <v>45839</v>
      </c>
      <c r="Z508" s="30" t="s">
        <v>65</v>
      </c>
      <c r="AA508" s="28" t="s">
        <v>66</v>
      </c>
      <c r="AB508" s="28" t="s">
        <v>67</v>
      </c>
      <c r="AC508" s="29"/>
      <c r="AD508" s="28">
        <v>0</v>
      </c>
      <c r="AE508" s="29"/>
      <c r="AF508" s="31"/>
      <c r="AG508" s="30" t="s">
        <v>1579</v>
      </c>
      <c r="AH508" s="28"/>
      <c r="AI508" s="28" t="s">
        <v>118</v>
      </c>
      <c r="AJ508" s="33">
        <v>36466</v>
      </c>
      <c r="AK508" s="28">
        <v>7</v>
      </c>
      <c r="AL508" s="28">
        <v>17</v>
      </c>
      <c r="AM508" s="21"/>
      <c r="AN508" s="27"/>
      <c r="AO508" s="27"/>
      <c r="AP508" s="27"/>
      <c r="AQ508" s="27"/>
    </row>
    <row r="509" spans="1:43" ht="15.75" customHeight="1">
      <c r="A509" s="28">
        <v>42</v>
      </c>
      <c r="B509" s="29" t="s">
        <v>4087</v>
      </c>
      <c r="C509" s="30"/>
      <c r="D509" s="31" t="s">
        <v>4088</v>
      </c>
      <c r="E509" s="30" t="s">
        <v>72</v>
      </c>
      <c r="F509" s="30" t="s">
        <v>50</v>
      </c>
      <c r="G509" s="30" t="s">
        <v>51</v>
      </c>
      <c r="H509" s="28" t="s">
        <v>52</v>
      </c>
      <c r="I509" s="30"/>
      <c r="J509" s="30" t="s">
        <v>53</v>
      </c>
      <c r="K509" s="30" t="s">
        <v>4089</v>
      </c>
      <c r="L509" s="30" t="s">
        <v>55</v>
      </c>
      <c r="M509" s="30" t="s">
        <v>656</v>
      </c>
      <c r="N509" s="30" t="s">
        <v>4090</v>
      </c>
      <c r="O509" s="30" t="s">
        <v>1585</v>
      </c>
      <c r="P509" s="30" t="s">
        <v>4091</v>
      </c>
      <c r="Q509" s="28"/>
      <c r="R509" s="30" t="s">
        <v>4092</v>
      </c>
      <c r="S509" s="30" t="s">
        <v>53</v>
      </c>
      <c r="T509" s="30"/>
      <c r="U509" s="28" t="s">
        <v>1657</v>
      </c>
      <c r="V509" s="30" t="s">
        <v>63</v>
      </c>
      <c r="W509" s="30" t="s">
        <v>204</v>
      </c>
      <c r="X509" s="32">
        <v>44317</v>
      </c>
      <c r="Y509" s="32">
        <v>45992</v>
      </c>
      <c r="Z509" s="30" t="s">
        <v>65</v>
      </c>
      <c r="AA509" s="28" t="s">
        <v>67</v>
      </c>
      <c r="AB509" s="28" t="s">
        <v>67</v>
      </c>
      <c r="AC509" s="29"/>
      <c r="AD509" s="28">
        <v>0</v>
      </c>
      <c r="AE509" s="29"/>
      <c r="AF509" s="31"/>
      <c r="AG509" s="30" t="s">
        <v>1579</v>
      </c>
      <c r="AH509" s="28"/>
      <c r="AI509" s="28" t="s">
        <v>53</v>
      </c>
      <c r="AJ509" s="33">
        <v>37011</v>
      </c>
      <c r="AK509" s="28">
        <v>6</v>
      </c>
      <c r="AL509" s="28">
        <v>17</v>
      </c>
      <c r="AM509" s="21"/>
      <c r="AN509" s="27"/>
      <c r="AO509" s="27"/>
      <c r="AP509" s="27"/>
      <c r="AQ509" s="27"/>
    </row>
    <row r="510" spans="1:43" ht="15.75" customHeight="1">
      <c r="A510" s="28">
        <v>43</v>
      </c>
      <c r="B510" s="29" t="s">
        <v>4093</v>
      </c>
      <c r="C510" s="30" t="s">
        <v>4094</v>
      </c>
      <c r="D510" s="31" t="s">
        <v>4095</v>
      </c>
      <c r="E510" s="30" t="s">
        <v>72</v>
      </c>
      <c r="F510" s="30" t="s">
        <v>50</v>
      </c>
      <c r="G510" s="30" t="s">
        <v>51</v>
      </c>
      <c r="H510" s="28" t="s">
        <v>52</v>
      </c>
      <c r="I510" s="30"/>
      <c r="J510" s="30" t="s">
        <v>53</v>
      </c>
      <c r="K510" s="30" t="s">
        <v>4096</v>
      </c>
      <c r="L510" s="30" t="s">
        <v>55</v>
      </c>
      <c r="M510" s="30" t="s">
        <v>1573</v>
      </c>
      <c r="N510" s="30" t="s">
        <v>4097</v>
      </c>
      <c r="O510" s="30" t="s">
        <v>4098</v>
      </c>
      <c r="P510" s="30" t="s">
        <v>4099</v>
      </c>
      <c r="Q510" s="28"/>
      <c r="R510" s="30" t="s">
        <v>4100</v>
      </c>
      <c r="S510" s="30" t="s">
        <v>53</v>
      </c>
      <c r="T510" s="30"/>
      <c r="U510" s="28" t="s">
        <v>1625</v>
      </c>
      <c r="V510" s="30" t="s">
        <v>63</v>
      </c>
      <c r="W510" s="30" t="s">
        <v>204</v>
      </c>
      <c r="X510" s="32">
        <v>43678</v>
      </c>
      <c r="Y510" s="32">
        <v>45108</v>
      </c>
      <c r="Z510" s="30" t="s">
        <v>65</v>
      </c>
      <c r="AA510" s="28" t="s">
        <v>66</v>
      </c>
      <c r="AB510" s="28" t="s">
        <v>67</v>
      </c>
      <c r="AC510" s="29"/>
      <c r="AD510" s="28">
        <v>0</v>
      </c>
      <c r="AE510" s="29"/>
      <c r="AF510" s="31"/>
      <c r="AG510" s="30" t="s">
        <v>1579</v>
      </c>
      <c r="AH510" s="28"/>
      <c r="AI510" s="28" t="s">
        <v>53</v>
      </c>
      <c r="AJ510" s="33">
        <v>34142</v>
      </c>
      <c r="AK510" s="28">
        <v>9</v>
      </c>
      <c r="AL510" s="28">
        <v>17</v>
      </c>
      <c r="AM510" s="21"/>
      <c r="AN510" s="27"/>
      <c r="AO510" s="27"/>
      <c r="AP510" s="27"/>
      <c r="AQ510" s="27"/>
    </row>
    <row r="511" spans="1:43" ht="15.75" customHeight="1">
      <c r="A511" s="28">
        <v>44</v>
      </c>
      <c r="B511" s="29" t="s">
        <v>4101</v>
      </c>
      <c r="C511" s="30"/>
      <c r="D511" s="31" t="s">
        <v>4102</v>
      </c>
      <c r="E511" s="30" t="s">
        <v>49</v>
      </c>
      <c r="F511" s="30" t="s">
        <v>50</v>
      </c>
      <c r="G511" s="30" t="s">
        <v>51</v>
      </c>
      <c r="H511" s="28" t="s">
        <v>52</v>
      </c>
      <c r="I511" s="30"/>
      <c r="J511" s="30" t="s">
        <v>53</v>
      </c>
      <c r="K511" s="30" t="s">
        <v>1977</v>
      </c>
      <c r="L511" s="30" t="s">
        <v>55</v>
      </c>
      <c r="M511" s="30" t="s">
        <v>1573</v>
      </c>
      <c r="N511" s="30" t="s">
        <v>4103</v>
      </c>
      <c r="O511" s="30" t="s">
        <v>1575</v>
      </c>
      <c r="P511" s="30" t="s">
        <v>4104</v>
      </c>
      <c r="Q511" s="28"/>
      <c r="R511" s="30" t="s">
        <v>4105</v>
      </c>
      <c r="S511" s="30" t="s">
        <v>53</v>
      </c>
      <c r="T511" s="30"/>
      <c r="U511" s="28" t="s">
        <v>765</v>
      </c>
      <c r="V511" s="30" t="s">
        <v>63</v>
      </c>
      <c r="W511" s="30" t="s">
        <v>204</v>
      </c>
      <c r="X511" s="32">
        <v>44044</v>
      </c>
      <c r="Y511" s="32">
        <v>45809</v>
      </c>
      <c r="Z511" s="30" t="s">
        <v>65</v>
      </c>
      <c r="AA511" s="28" t="s">
        <v>134</v>
      </c>
      <c r="AB511" s="28" t="s">
        <v>67</v>
      </c>
      <c r="AC511" s="29"/>
      <c r="AD511" s="28">
        <v>0</v>
      </c>
      <c r="AE511" s="29"/>
      <c r="AF511" s="31"/>
      <c r="AG511" s="30" t="s">
        <v>1579</v>
      </c>
      <c r="AH511" s="28"/>
      <c r="AI511" s="28" t="s">
        <v>53</v>
      </c>
      <c r="AJ511" s="33">
        <v>36870</v>
      </c>
      <c r="AK511" s="28">
        <v>7</v>
      </c>
      <c r="AL511" s="28">
        <v>17</v>
      </c>
      <c r="AM511" s="21"/>
      <c r="AN511" s="27"/>
      <c r="AO511" s="27"/>
      <c r="AP511" s="27"/>
      <c r="AQ511" s="27"/>
    </row>
    <row r="512" spans="1:43" ht="15.75" customHeight="1">
      <c r="A512" s="28">
        <v>45</v>
      </c>
      <c r="B512" s="29" t="s">
        <v>4106</v>
      </c>
      <c r="C512" s="30" t="s">
        <v>4107</v>
      </c>
      <c r="D512" s="31" t="s">
        <v>4108</v>
      </c>
      <c r="E512" s="30" t="s">
        <v>72</v>
      </c>
      <c r="F512" s="30" t="s">
        <v>50</v>
      </c>
      <c r="G512" s="30" t="s">
        <v>51</v>
      </c>
      <c r="H512" s="28" t="s">
        <v>191</v>
      </c>
      <c r="I512" s="30"/>
      <c r="J512" s="30" t="s">
        <v>53</v>
      </c>
      <c r="K512" s="30" t="s">
        <v>4109</v>
      </c>
      <c r="L512" s="30" t="s">
        <v>55</v>
      </c>
      <c r="M512" s="30" t="s">
        <v>656</v>
      </c>
      <c r="N512" s="30" t="s">
        <v>4110</v>
      </c>
      <c r="O512" s="30" t="s">
        <v>4111</v>
      </c>
      <c r="P512" s="30" t="s">
        <v>4112</v>
      </c>
      <c r="Q512" s="28"/>
      <c r="R512" s="30" t="s">
        <v>4113</v>
      </c>
      <c r="S512" s="30" t="s">
        <v>53</v>
      </c>
      <c r="T512" s="30"/>
      <c r="U512" s="28" t="s">
        <v>1625</v>
      </c>
      <c r="V512" s="30" t="s">
        <v>63</v>
      </c>
      <c r="W512" s="30" t="s">
        <v>204</v>
      </c>
      <c r="X512" s="32">
        <v>43647</v>
      </c>
      <c r="Y512" s="32">
        <v>45839</v>
      </c>
      <c r="Z512" s="30" t="s">
        <v>65</v>
      </c>
      <c r="AA512" s="28" t="s">
        <v>134</v>
      </c>
      <c r="AB512" s="28" t="s">
        <v>67</v>
      </c>
      <c r="AC512" s="29"/>
      <c r="AD512" s="28">
        <v>0</v>
      </c>
      <c r="AE512" s="29"/>
      <c r="AF512" s="31"/>
      <c r="AG512" s="30" t="s">
        <v>1579</v>
      </c>
      <c r="AH512" s="28" t="s">
        <v>431</v>
      </c>
      <c r="AI512" s="28" t="s">
        <v>118</v>
      </c>
      <c r="AJ512" s="33">
        <v>36879</v>
      </c>
      <c r="AK512" s="28">
        <v>7</v>
      </c>
      <c r="AL512" s="28">
        <v>17</v>
      </c>
      <c r="AM512" s="21"/>
      <c r="AN512" s="27"/>
      <c r="AO512" s="27"/>
      <c r="AP512" s="27"/>
      <c r="AQ512" s="27"/>
    </row>
    <row r="513" spans="1:43" ht="15.75" customHeight="1">
      <c r="A513" s="28">
        <v>46</v>
      </c>
      <c r="B513" s="29" t="s">
        <v>4114</v>
      </c>
      <c r="C513" s="30"/>
      <c r="D513" s="31" t="s">
        <v>4115</v>
      </c>
      <c r="E513" s="30" t="s">
        <v>72</v>
      </c>
      <c r="F513" s="30" t="s">
        <v>50</v>
      </c>
      <c r="G513" s="30" t="s">
        <v>51</v>
      </c>
      <c r="H513" s="28" t="s">
        <v>85</v>
      </c>
      <c r="I513" s="30"/>
      <c r="J513" s="30" t="s">
        <v>53</v>
      </c>
      <c r="K513" s="30" t="s">
        <v>4116</v>
      </c>
      <c r="L513" s="30" t="s">
        <v>55</v>
      </c>
      <c r="M513" s="30" t="s">
        <v>1620</v>
      </c>
      <c r="N513" s="30" t="s">
        <v>4117</v>
      </c>
      <c r="O513" s="30" t="s">
        <v>4118</v>
      </c>
      <c r="P513" s="30" t="s">
        <v>4119</v>
      </c>
      <c r="Q513" s="28"/>
      <c r="R513" s="30" t="s">
        <v>4120</v>
      </c>
      <c r="S513" s="30" t="s">
        <v>53</v>
      </c>
      <c r="T513" s="30"/>
      <c r="U513" s="28" t="s">
        <v>2051</v>
      </c>
      <c r="V513" s="30" t="s">
        <v>63</v>
      </c>
      <c r="W513" s="30" t="s">
        <v>204</v>
      </c>
      <c r="X513" s="32">
        <v>43862</v>
      </c>
      <c r="Y513" s="32">
        <v>45658</v>
      </c>
      <c r="Z513" s="30" t="s">
        <v>65</v>
      </c>
      <c r="AA513" s="28" t="s">
        <v>134</v>
      </c>
      <c r="AB513" s="28" t="s">
        <v>67</v>
      </c>
      <c r="AC513" s="29"/>
      <c r="AD513" s="28">
        <v>0</v>
      </c>
      <c r="AE513" s="29"/>
      <c r="AF513" s="31"/>
      <c r="AG513" s="30" t="s">
        <v>1579</v>
      </c>
      <c r="AH513" s="28"/>
      <c r="AI513" s="28" t="s">
        <v>118</v>
      </c>
      <c r="AJ513" s="33">
        <v>32653</v>
      </c>
      <c r="AK513" s="28">
        <v>7</v>
      </c>
      <c r="AL513" s="28">
        <v>16</v>
      </c>
      <c r="AM513" s="21"/>
      <c r="AN513" s="27"/>
      <c r="AO513" s="27"/>
      <c r="AP513" s="27"/>
      <c r="AQ513" s="27"/>
    </row>
    <row r="514" spans="1:43" ht="15.75" customHeight="1">
      <c r="A514" s="28">
        <v>47</v>
      </c>
      <c r="B514" s="29" t="s">
        <v>4121</v>
      </c>
      <c r="C514" s="30" t="s">
        <v>4122</v>
      </c>
      <c r="D514" s="31" t="s">
        <v>4123</v>
      </c>
      <c r="E514" s="30" t="s">
        <v>72</v>
      </c>
      <c r="F514" s="30" t="s">
        <v>50</v>
      </c>
      <c r="G514" s="30" t="s">
        <v>51</v>
      </c>
      <c r="H514" s="28" t="s">
        <v>52</v>
      </c>
      <c r="I514" s="30"/>
      <c r="J514" s="30" t="s">
        <v>53</v>
      </c>
      <c r="K514" s="30" t="s">
        <v>4124</v>
      </c>
      <c r="L514" s="30" t="s">
        <v>55</v>
      </c>
      <c r="M514" s="30" t="s">
        <v>656</v>
      </c>
      <c r="N514" s="30" t="s">
        <v>4125</v>
      </c>
      <c r="O514" s="30" t="s">
        <v>1810</v>
      </c>
      <c r="P514" s="30" t="s">
        <v>4126</v>
      </c>
      <c r="Q514" s="28" t="s">
        <v>4127</v>
      </c>
      <c r="R514" s="30" t="s">
        <v>4128</v>
      </c>
      <c r="S514" s="30" t="s">
        <v>53</v>
      </c>
      <c r="T514" s="30"/>
      <c r="U514" s="28" t="s">
        <v>4129</v>
      </c>
      <c r="V514" s="30" t="s">
        <v>63</v>
      </c>
      <c r="W514" s="30" t="s">
        <v>204</v>
      </c>
      <c r="X514" s="32">
        <v>43862</v>
      </c>
      <c r="Y514" s="32">
        <v>45627</v>
      </c>
      <c r="Z514" s="30" t="s">
        <v>65</v>
      </c>
      <c r="AA514" s="28" t="s">
        <v>134</v>
      </c>
      <c r="AB514" s="28" t="s">
        <v>67</v>
      </c>
      <c r="AC514" s="29"/>
      <c r="AD514" s="28">
        <v>0</v>
      </c>
      <c r="AE514" s="29"/>
      <c r="AF514" s="31"/>
      <c r="AG514" s="30" t="s">
        <v>1579</v>
      </c>
      <c r="AH514" s="28" t="s">
        <v>431</v>
      </c>
      <c r="AI514" s="28" t="s">
        <v>53</v>
      </c>
      <c r="AJ514" s="33">
        <v>37182</v>
      </c>
      <c r="AK514" s="28">
        <v>8</v>
      </c>
      <c r="AL514" s="28">
        <v>16</v>
      </c>
      <c r="AM514" s="21"/>
      <c r="AN514" s="27"/>
      <c r="AO514" s="27"/>
      <c r="AP514" s="27"/>
      <c r="AQ514" s="27"/>
    </row>
    <row r="515" spans="1:43" ht="15.75" customHeight="1">
      <c r="A515" s="28">
        <v>48</v>
      </c>
      <c r="B515" s="29" t="s">
        <v>4130</v>
      </c>
      <c r="C515" s="30"/>
      <c r="D515" s="31" t="s">
        <v>4131</v>
      </c>
      <c r="E515" s="30" t="s">
        <v>72</v>
      </c>
      <c r="F515" s="30" t="s">
        <v>616</v>
      </c>
      <c r="G515" s="30" t="s">
        <v>51</v>
      </c>
      <c r="H515" s="28" t="s">
        <v>52</v>
      </c>
      <c r="I515" s="30"/>
      <c r="J515" s="30" t="s">
        <v>53</v>
      </c>
      <c r="K515" s="30" t="s">
        <v>4132</v>
      </c>
      <c r="L515" s="30" t="s">
        <v>55</v>
      </c>
      <c r="M515" s="30" t="s">
        <v>656</v>
      </c>
      <c r="N515" s="30" t="s">
        <v>4133</v>
      </c>
      <c r="O515" s="30" t="s">
        <v>4134</v>
      </c>
      <c r="P515" s="30" t="s">
        <v>4135</v>
      </c>
      <c r="Q515" s="28"/>
      <c r="R515" s="30" t="s">
        <v>4136</v>
      </c>
      <c r="S515" s="30" t="s">
        <v>53</v>
      </c>
      <c r="T515" s="30"/>
      <c r="U515" s="28" t="s">
        <v>4137</v>
      </c>
      <c r="V515" s="30" t="s">
        <v>63</v>
      </c>
      <c r="W515" s="30" t="s">
        <v>204</v>
      </c>
      <c r="X515" s="32">
        <v>43983</v>
      </c>
      <c r="Y515" s="32">
        <v>45444</v>
      </c>
      <c r="Z515" s="30" t="s">
        <v>65</v>
      </c>
      <c r="AA515" s="28" t="s">
        <v>134</v>
      </c>
      <c r="AB515" s="28" t="s">
        <v>67</v>
      </c>
      <c r="AC515" s="29"/>
      <c r="AD515" s="28">
        <v>0</v>
      </c>
      <c r="AE515" s="29"/>
      <c r="AF515" s="31"/>
      <c r="AG515" s="30" t="s">
        <v>1579</v>
      </c>
      <c r="AH515" s="28"/>
      <c r="AI515" s="28" t="s">
        <v>53</v>
      </c>
      <c r="AJ515" s="33">
        <v>28540</v>
      </c>
      <c r="AK515" s="28">
        <v>9</v>
      </c>
      <c r="AL515" s="28">
        <v>16</v>
      </c>
      <c r="AM515" s="21"/>
      <c r="AN515" s="27"/>
      <c r="AO515" s="27"/>
      <c r="AP515" s="27"/>
      <c r="AQ515" s="27"/>
    </row>
    <row r="516" spans="1:43" ht="15.75" customHeight="1">
      <c r="A516" s="28">
        <v>49</v>
      </c>
      <c r="B516" s="29" t="s">
        <v>4138</v>
      </c>
      <c r="C516" s="30" t="s">
        <v>4139</v>
      </c>
      <c r="D516" s="31" t="s">
        <v>4140</v>
      </c>
      <c r="E516" s="30" t="s">
        <v>72</v>
      </c>
      <c r="F516" s="30" t="s">
        <v>50</v>
      </c>
      <c r="G516" s="30" t="s">
        <v>51</v>
      </c>
      <c r="H516" s="28" t="s">
        <v>85</v>
      </c>
      <c r="I516" s="30"/>
      <c r="J516" s="30" t="s">
        <v>53</v>
      </c>
      <c r="K516" s="30" t="s">
        <v>4141</v>
      </c>
      <c r="L516" s="30" t="s">
        <v>55</v>
      </c>
      <c r="M516" s="30" t="s">
        <v>1573</v>
      </c>
      <c r="N516" s="30" t="s">
        <v>4142</v>
      </c>
      <c r="O516" s="30" t="s">
        <v>1688</v>
      </c>
      <c r="P516" s="30" t="s">
        <v>4143</v>
      </c>
      <c r="Q516" s="28" t="s">
        <v>4144</v>
      </c>
      <c r="R516" s="30" t="s">
        <v>4145</v>
      </c>
      <c r="S516" s="30" t="s">
        <v>53</v>
      </c>
      <c r="T516" s="30"/>
      <c r="U516" s="28" t="s">
        <v>765</v>
      </c>
      <c r="V516" s="30" t="s">
        <v>63</v>
      </c>
      <c r="W516" s="30" t="s">
        <v>204</v>
      </c>
      <c r="X516" s="32">
        <v>44228</v>
      </c>
      <c r="Y516" s="32">
        <v>45992</v>
      </c>
      <c r="Z516" s="30" t="s">
        <v>65</v>
      </c>
      <c r="AA516" s="28" t="s">
        <v>134</v>
      </c>
      <c r="AB516" s="28" t="s">
        <v>67</v>
      </c>
      <c r="AC516" s="29"/>
      <c r="AD516" s="28">
        <v>0</v>
      </c>
      <c r="AE516" s="29"/>
      <c r="AF516" s="31"/>
      <c r="AG516" s="30" t="s">
        <v>1579</v>
      </c>
      <c r="AH516" s="28"/>
      <c r="AI516" s="28" t="s">
        <v>118</v>
      </c>
      <c r="AJ516" s="33">
        <v>37521</v>
      </c>
      <c r="AK516" s="28">
        <v>6</v>
      </c>
      <c r="AL516" s="28">
        <v>16</v>
      </c>
      <c r="AM516" s="21"/>
      <c r="AN516" s="27"/>
      <c r="AO516" s="27"/>
      <c r="AP516" s="27"/>
      <c r="AQ516" s="27"/>
    </row>
    <row r="517" spans="1:43" ht="15.75" customHeight="1">
      <c r="A517" s="28">
        <v>50</v>
      </c>
      <c r="B517" s="29" t="s">
        <v>4146</v>
      </c>
      <c r="C517" s="30"/>
      <c r="D517" s="31" t="s">
        <v>4147</v>
      </c>
      <c r="E517" s="30" t="s">
        <v>72</v>
      </c>
      <c r="F517" s="30" t="s">
        <v>50</v>
      </c>
      <c r="G517" s="30" t="s">
        <v>51</v>
      </c>
      <c r="H517" s="28" t="s">
        <v>85</v>
      </c>
      <c r="I517" s="30"/>
      <c r="J517" s="30" t="s">
        <v>53</v>
      </c>
      <c r="K517" s="30" t="s">
        <v>3484</v>
      </c>
      <c r="L517" s="30" t="s">
        <v>55</v>
      </c>
      <c r="M517" s="30" t="s">
        <v>1573</v>
      </c>
      <c r="N517" s="30" t="s">
        <v>4148</v>
      </c>
      <c r="O517" s="30" t="s">
        <v>650</v>
      </c>
      <c r="P517" s="30" t="s">
        <v>4149</v>
      </c>
      <c r="Q517" s="28"/>
      <c r="R517" s="30" t="s">
        <v>4150</v>
      </c>
      <c r="S517" s="30" t="s">
        <v>53</v>
      </c>
      <c r="T517" s="30"/>
      <c r="U517" s="28" t="s">
        <v>765</v>
      </c>
      <c r="V517" s="30" t="s">
        <v>63</v>
      </c>
      <c r="W517" s="30" t="s">
        <v>204</v>
      </c>
      <c r="X517" s="32">
        <v>44197</v>
      </c>
      <c r="Y517" s="32">
        <v>46023</v>
      </c>
      <c r="Z517" s="30" t="s">
        <v>65</v>
      </c>
      <c r="AA517" s="28" t="s">
        <v>134</v>
      </c>
      <c r="AB517" s="28" t="s">
        <v>67</v>
      </c>
      <c r="AC517" s="29"/>
      <c r="AD517" s="28">
        <v>0</v>
      </c>
      <c r="AE517" s="29"/>
      <c r="AF517" s="31"/>
      <c r="AG517" s="30" t="s">
        <v>1579</v>
      </c>
      <c r="AH517" s="28"/>
      <c r="AI517" s="28" t="s">
        <v>53</v>
      </c>
      <c r="AJ517" s="33">
        <v>37715</v>
      </c>
      <c r="AK517" s="28">
        <v>6</v>
      </c>
      <c r="AL517" s="28">
        <v>16</v>
      </c>
      <c r="AM517" s="21"/>
      <c r="AN517" s="27"/>
      <c r="AO517" s="27"/>
      <c r="AP517" s="27"/>
      <c r="AQ517" s="27"/>
    </row>
    <row r="518" spans="1:43" ht="15.75" customHeight="1">
      <c r="A518" s="28">
        <v>51</v>
      </c>
      <c r="B518" s="29" t="s">
        <v>4151</v>
      </c>
      <c r="C518" s="30"/>
      <c r="D518" s="31" t="s">
        <v>4152</v>
      </c>
      <c r="E518" s="30" t="s">
        <v>72</v>
      </c>
      <c r="F518" s="30" t="s">
        <v>50</v>
      </c>
      <c r="G518" s="30" t="s">
        <v>51</v>
      </c>
      <c r="H518" s="28" t="s">
        <v>52</v>
      </c>
      <c r="I518" s="30"/>
      <c r="J518" s="30" t="s">
        <v>53</v>
      </c>
      <c r="K518" s="30" t="s">
        <v>4153</v>
      </c>
      <c r="L518" s="30" t="s">
        <v>55</v>
      </c>
      <c r="M518" s="30" t="s">
        <v>1573</v>
      </c>
      <c r="N518" s="30" t="s">
        <v>4154</v>
      </c>
      <c r="O518" s="30" t="s">
        <v>2987</v>
      </c>
      <c r="P518" s="30" t="s">
        <v>4155</v>
      </c>
      <c r="Q518" s="28"/>
      <c r="R518" s="30" t="s">
        <v>4156</v>
      </c>
      <c r="S518" s="30" t="s">
        <v>53</v>
      </c>
      <c r="T518" s="30"/>
      <c r="U518" s="28" t="s">
        <v>765</v>
      </c>
      <c r="V518" s="30" t="s">
        <v>63</v>
      </c>
      <c r="W518" s="30" t="s">
        <v>204</v>
      </c>
      <c r="X518" s="32">
        <v>44228</v>
      </c>
      <c r="Y518" s="32">
        <v>46054</v>
      </c>
      <c r="Z518" s="30" t="s">
        <v>65</v>
      </c>
      <c r="AA518" s="28" t="s">
        <v>134</v>
      </c>
      <c r="AB518" s="28" t="s">
        <v>67</v>
      </c>
      <c r="AC518" s="29"/>
      <c r="AD518" s="28">
        <v>0</v>
      </c>
      <c r="AE518" s="29"/>
      <c r="AF518" s="31"/>
      <c r="AG518" s="30" t="s">
        <v>1579</v>
      </c>
      <c r="AH518" s="28"/>
      <c r="AI518" s="28" t="s">
        <v>53</v>
      </c>
      <c r="AJ518" s="33">
        <v>37746</v>
      </c>
      <c r="AK518" s="28">
        <v>6</v>
      </c>
      <c r="AL518" s="28">
        <v>15</v>
      </c>
      <c r="AM518" s="21"/>
      <c r="AN518" s="27"/>
      <c r="AO518" s="27"/>
      <c r="AP518" s="27"/>
      <c r="AQ518" s="27"/>
    </row>
    <row r="519" spans="1:43" ht="15.75" customHeight="1">
      <c r="A519" s="28">
        <v>52</v>
      </c>
      <c r="B519" s="29" t="s">
        <v>4157</v>
      </c>
      <c r="C519" s="30" t="s">
        <v>4158</v>
      </c>
      <c r="D519" s="31" t="s">
        <v>4159</v>
      </c>
      <c r="E519" s="30" t="s">
        <v>72</v>
      </c>
      <c r="F519" s="30" t="s">
        <v>50</v>
      </c>
      <c r="G519" s="30" t="s">
        <v>51</v>
      </c>
      <c r="H519" s="28" t="s">
        <v>85</v>
      </c>
      <c r="I519" s="30"/>
      <c r="J519" s="30" t="s">
        <v>53</v>
      </c>
      <c r="K519" s="30" t="s">
        <v>4040</v>
      </c>
      <c r="L519" s="30" t="s">
        <v>55</v>
      </c>
      <c r="M519" s="30" t="s">
        <v>1573</v>
      </c>
      <c r="N519" s="30" t="s">
        <v>4160</v>
      </c>
      <c r="O519" s="30" t="s">
        <v>1768</v>
      </c>
      <c r="P519" s="30" t="s">
        <v>4161</v>
      </c>
      <c r="Q519" s="28"/>
      <c r="R519" s="30" t="s">
        <v>4162</v>
      </c>
      <c r="S519" s="30" t="s">
        <v>53</v>
      </c>
      <c r="T519" s="30"/>
      <c r="U519" s="28" t="s">
        <v>775</v>
      </c>
      <c r="V519" s="30" t="s">
        <v>63</v>
      </c>
      <c r="W519" s="30" t="s">
        <v>204</v>
      </c>
      <c r="X519" s="32">
        <v>44409</v>
      </c>
      <c r="Y519" s="32">
        <v>46357</v>
      </c>
      <c r="Z519" s="30" t="s">
        <v>65</v>
      </c>
      <c r="AA519" s="28" t="s">
        <v>66</v>
      </c>
      <c r="AB519" s="28" t="s">
        <v>67</v>
      </c>
      <c r="AC519" s="29"/>
      <c r="AD519" s="28">
        <v>0</v>
      </c>
      <c r="AE519" s="29"/>
      <c r="AF519" s="31"/>
      <c r="AG519" s="30" t="s">
        <v>1579</v>
      </c>
      <c r="AH519" s="28"/>
      <c r="AI519" s="28" t="s">
        <v>53</v>
      </c>
      <c r="AJ519" s="33">
        <v>33467</v>
      </c>
      <c r="AK519" s="28">
        <v>5</v>
      </c>
      <c r="AL519" s="28">
        <v>15</v>
      </c>
      <c r="AM519" s="21"/>
      <c r="AN519" s="27"/>
      <c r="AO519" s="27"/>
      <c r="AP519" s="27"/>
      <c r="AQ519" s="27"/>
    </row>
    <row r="520" spans="1:43" ht="15.75" customHeight="1">
      <c r="A520" s="28">
        <v>53</v>
      </c>
      <c r="B520" s="29" t="s">
        <v>4163</v>
      </c>
      <c r="C520" s="30" t="s">
        <v>4164</v>
      </c>
      <c r="D520" s="31" t="s">
        <v>4165</v>
      </c>
      <c r="E520" s="30" t="s">
        <v>72</v>
      </c>
      <c r="F520" s="30" t="s">
        <v>84</v>
      </c>
      <c r="G520" s="30" t="s">
        <v>51</v>
      </c>
      <c r="H520" s="28" t="s">
        <v>52</v>
      </c>
      <c r="I520" s="30"/>
      <c r="J520" s="30" t="s">
        <v>53</v>
      </c>
      <c r="K520" s="30" t="s">
        <v>4166</v>
      </c>
      <c r="L520" s="30" t="s">
        <v>55</v>
      </c>
      <c r="M520" s="30" t="s">
        <v>1573</v>
      </c>
      <c r="N520" s="30" t="s">
        <v>4167</v>
      </c>
      <c r="O520" s="30" t="s">
        <v>4168</v>
      </c>
      <c r="P520" s="30" t="s">
        <v>4169</v>
      </c>
      <c r="Q520" s="28" t="s">
        <v>4170</v>
      </c>
      <c r="R520" s="30" t="s">
        <v>4171</v>
      </c>
      <c r="S520" s="30" t="s">
        <v>53</v>
      </c>
      <c r="T520" s="30"/>
      <c r="U520" s="28" t="s">
        <v>1615</v>
      </c>
      <c r="V520" s="30" t="s">
        <v>63</v>
      </c>
      <c r="W520" s="30" t="s">
        <v>204</v>
      </c>
      <c r="X520" s="32">
        <v>44409</v>
      </c>
      <c r="Y520" s="32">
        <v>45870</v>
      </c>
      <c r="Z520" s="30" t="s">
        <v>65</v>
      </c>
      <c r="AA520" s="28" t="s">
        <v>66</v>
      </c>
      <c r="AB520" s="28" t="s">
        <v>67</v>
      </c>
      <c r="AC520" s="29"/>
      <c r="AD520" s="28">
        <v>0</v>
      </c>
      <c r="AE520" s="29"/>
      <c r="AF520" s="31"/>
      <c r="AG520" s="30" t="s">
        <v>1579</v>
      </c>
      <c r="AH520" s="28"/>
      <c r="AI520" s="28" t="s">
        <v>53</v>
      </c>
      <c r="AJ520" s="33">
        <v>30537</v>
      </c>
      <c r="AK520" s="28">
        <v>7</v>
      </c>
      <c r="AL520" s="28">
        <v>15</v>
      </c>
      <c r="AM520" s="21"/>
      <c r="AN520" s="27"/>
      <c r="AO520" s="27"/>
      <c r="AP520" s="27"/>
      <c r="AQ520" s="27"/>
    </row>
    <row r="521" spans="1:43" ht="15.75" customHeight="1">
      <c r="A521" s="28">
        <v>54</v>
      </c>
      <c r="B521" s="29" t="s">
        <v>4172</v>
      </c>
      <c r="C521" s="30"/>
      <c r="D521" s="31" t="s">
        <v>4173</v>
      </c>
      <c r="E521" s="30" t="s">
        <v>72</v>
      </c>
      <c r="F521" s="30" t="s">
        <v>50</v>
      </c>
      <c r="G521" s="30" t="s">
        <v>51</v>
      </c>
      <c r="H521" s="28" t="s">
        <v>52</v>
      </c>
      <c r="I521" s="30"/>
      <c r="J521" s="30" t="s">
        <v>53</v>
      </c>
      <c r="K521" s="30" t="s">
        <v>4174</v>
      </c>
      <c r="L521" s="30" t="s">
        <v>55</v>
      </c>
      <c r="M521" s="30" t="s">
        <v>2449</v>
      </c>
      <c r="N521" s="30" t="s">
        <v>4175</v>
      </c>
      <c r="O521" s="30" t="s">
        <v>4176</v>
      </c>
      <c r="P521" s="30" t="s">
        <v>4177</v>
      </c>
      <c r="Q521" s="28"/>
      <c r="R521" s="30" t="s">
        <v>4178</v>
      </c>
      <c r="S521" s="30" t="s">
        <v>53</v>
      </c>
      <c r="T521" s="30"/>
      <c r="U521" s="28" t="s">
        <v>1625</v>
      </c>
      <c r="V521" s="30" t="s">
        <v>63</v>
      </c>
      <c r="W521" s="30" t="s">
        <v>204</v>
      </c>
      <c r="X521" s="32">
        <v>44593</v>
      </c>
      <c r="Y521" s="32">
        <v>46296</v>
      </c>
      <c r="Z521" s="30" t="s">
        <v>65</v>
      </c>
      <c r="AA521" s="28" t="s">
        <v>134</v>
      </c>
      <c r="AB521" s="28" t="s">
        <v>67</v>
      </c>
      <c r="AC521" s="29"/>
      <c r="AD521" s="28">
        <v>0</v>
      </c>
      <c r="AE521" s="29"/>
      <c r="AF521" s="31"/>
      <c r="AG521" s="30" t="s">
        <v>1579</v>
      </c>
      <c r="AH521" s="28"/>
      <c r="AI521" s="28" t="s">
        <v>53</v>
      </c>
      <c r="AJ521" s="33">
        <v>38384</v>
      </c>
      <c r="AK521" s="28">
        <v>5</v>
      </c>
      <c r="AL521" s="28">
        <v>15</v>
      </c>
      <c r="AM521" s="21"/>
      <c r="AN521" s="27"/>
      <c r="AO521" s="27"/>
      <c r="AP521" s="27"/>
      <c r="AQ521" s="27"/>
    </row>
    <row r="522" spans="1:43" ht="15.75" customHeight="1">
      <c r="A522" s="28">
        <v>55</v>
      </c>
      <c r="B522" s="29" t="s">
        <v>4179</v>
      </c>
      <c r="C522" s="30" t="s">
        <v>4180</v>
      </c>
      <c r="D522" s="31" t="s">
        <v>4181</v>
      </c>
      <c r="E522" s="30" t="s">
        <v>72</v>
      </c>
      <c r="F522" s="30" t="s">
        <v>50</v>
      </c>
      <c r="G522" s="30" t="s">
        <v>51</v>
      </c>
      <c r="H522" s="28" t="s">
        <v>52</v>
      </c>
      <c r="I522" s="30"/>
      <c r="J522" s="30" t="s">
        <v>53</v>
      </c>
      <c r="K522" s="30" t="s">
        <v>4182</v>
      </c>
      <c r="L522" s="30" t="s">
        <v>55</v>
      </c>
      <c r="M522" s="30" t="s">
        <v>1573</v>
      </c>
      <c r="N522" s="30" t="s">
        <v>4183</v>
      </c>
      <c r="O522" s="30" t="s">
        <v>1055</v>
      </c>
      <c r="P522" s="30" t="s">
        <v>4184</v>
      </c>
      <c r="Q522" s="28" t="s">
        <v>4185</v>
      </c>
      <c r="R522" s="30" t="s">
        <v>4186</v>
      </c>
      <c r="S522" s="30" t="s">
        <v>53</v>
      </c>
      <c r="T522" s="30"/>
      <c r="U522" s="28" t="s">
        <v>1657</v>
      </c>
      <c r="V522" s="30" t="s">
        <v>63</v>
      </c>
      <c r="W522" s="30" t="s">
        <v>204</v>
      </c>
      <c r="X522" s="32">
        <v>43525</v>
      </c>
      <c r="Y522" s="32">
        <v>45627</v>
      </c>
      <c r="Z522" s="30" t="s">
        <v>65</v>
      </c>
      <c r="AA522" s="28" t="s">
        <v>246</v>
      </c>
      <c r="AB522" s="28" t="s">
        <v>67</v>
      </c>
      <c r="AC522" s="29"/>
      <c r="AD522" s="28">
        <v>0</v>
      </c>
      <c r="AE522" s="29"/>
      <c r="AF522" s="31"/>
      <c r="AG522" s="30" t="s">
        <v>1579</v>
      </c>
      <c r="AH522" s="28"/>
      <c r="AI522" s="28" t="s">
        <v>53</v>
      </c>
      <c r="AJ522" s="33">
        <v>35437</v>
      </c>
      <c r="AK522" s="28">
        <v>7</v>
      </c>
      <c r="AL522" s="28">
        <v>15</v>
      </c>
      <c r="AM522" s="21"/>
      <c r="AN522" s="27"/>
      <c r="AO522" s="27"/>
      <c r="AP522" s="27"/>
      <c r="AQ522" s="27"/>
    </row>
    <row r="523" spans="1:43" ht="15.75" customHeight="1">
      <c r="A523" s="28">
        <v>56</v>
      </c>
      <c r="B523" s="29" t="s">
        <v>4187</v>
      </c>
      <c r="C523" s="30"/>
      <c r="D523" s="31" t="s">
        <v>4188</v>
      </c>
      <c r="E523" s="30" t="s">
        <v>72</v>
      </c>
      <c r="F523" s="30" t="s">
        <v>84</v>
      </c>
      <c r="G523" s="30" t="s">
        <v>51</v>
      </c>
      <c r="H523" s="28" t="s">
        <v>85</v>
      </c>
      <c r="I523" s="30"/>
      <c r="J523" s="30" t="s">
        <v>53</v>
      </c>
      <c r="K523" s="30" t="s">
        <v>4189</v>
      </c>
      <c r="L523" s="30" t="s">
        <v>55</v>
      </c>
      <c r="M523" s="30" t="s">
        <v>1573</v>
      </c>
      <c r="N523" s="30" t="s">
        <v>4190</v>
      </c>
      <c r="O523" s="30" t="s">
        <v>3745</v>
      </c>
      <c r="P523" s="30" t="s">
        <v>4191</v>
      </c>
      <c r="Q523" s="28" t="s">
        <v>4192</v>
      </c>
      <c r="R523" s="30" t="s">
        <v>4193</v>
      </c>
      <c r="S523" s="30" t="s">
        <v>53</v>
      </c>
      <c r="T523" s="30"/>
      <c r="U523" s="28" t="s">
        <v>3391</v>
      </c>
      <c r="V523" s="30" t="s">
        <v>63</v>
      </c>
      <c r="W523" s="30" t="s">
        <v>204</v>
      </c>
      <c r="X523" s="32">
        <v>44593</v>
      </c>
      <c r="Y523" s="32">
        <v>46661</v>
      </c>
      <c r="Z523" s="30" t="s">
        <v>65</v>
      </c>
      <c r="AA523" s="28" t="s">
        <v>66</v>
      </c>
      <c r="AB523" s="28" t="s">
        <v>67</v>
      </c>
      <c r="AC523" s="29"/>
      <c r="AD523" s="28">
        <v>0</v>
      </c>
      <c r="AE523" s="29"/>
      <c r="AF523" s="31"/>
      <c r="AG523" s="30" t="s">
        <v>1579</v>
      </c>
      <c r="AH523" s="28"/>
      <c r="AI523" s="28" t="s">
        <v>118</v>
      </c>
      <c r="AJ523" s="33">
        <v>32950</v>
      </c>
      <c r="AK523" s="28">
        <v>5</v>
      </c>
      <c r="AL523" s="28">
        <v>15</v>
      </c>
      <c r="AM523" s="21"/>
      <c r="AN523" s="27"/>
      <c r="AO523" s="27"/>
      <c r="AP523" s="27"/>
      <c r="AQ523" s="27"/>
    </row>
    <row r="524" spans="1:43" ht="15.75" customHeight="1">
      <c r="A524" s="28">
        <v>57</v>
      </c>
      <c r="B524" s="29" t="s">
        <v>4194</v>
      </c>
      <c r="C524" s="30" t="s">
        <v>4195</v>
      </c>
      <c r="D524" s="31" t="s">
        <v>4196</v>
      </c>
      <c r="E524" s="30" t="s">
        <v>72</v>
      </c>
      <c r="F524" s="30" t="s">
        <v>50</v>
      </c>
      <c r="G524" s="30" t="s">
        <v>51</v>
      </c>
      <c r="H524" s="28" t="s">
        <v>85</v>
      </c>
      <c r="I524" s="30"/>
      <c r="J524" s="30" t="s">
        <v>53</v>
      </c>
      <c r="K524" s="30" t="s">
        <v>4089</v>
      </c>
      <c r="L524" s="30" t="s">
        <v>55</v>
      </c>
      <c r="M524" s="30" t="s">
        <v>1573</v>
      </c>
      <c r="N524" s="30" t="s">
        <v>4197</v>
      </c>
      <c r="O524" s="30" t="s">
        <v>1585</v>
      </c>
      <c r="P524" s="30" t="s">
        <v>4198</v>
      </c>
      <c r="Q524" s="28"/>
      <c r="R524" s="30" t="s">
        <v>4199</v>
      </c>
      <c r="S524" s="30" t="s">
        <v>53</v>
      </c>
      <c r="T524" s="30"/>
      <c r="U524" s="28" t="s">
        <v>765</v>
      </c>
      <c r="V524" s="30" t="s">
        <v>63</v>
      </c>
      <c r="W524" s="30" t="s">
        <v>204</v>
      </c>
      <c r="X524" s="32">
        <v>44197</v>
      </c>
      <c r="Y524" s="32">
        <v>46023</v>
      </c>
      <c r="Z524" s="30" t="s">
        <v>65</v>
      </c>
      <c r="AA524" s="28" t="s">
        <v>134</v>
      </c>
      <c r="AB524" s="28" t="s">
        <v>67</v>
      </c>
      <c r="AC524" s="29"/>
      <c r="AD524" s="28">
        <v>0</v>
      </c>
      <c r="AE524" s="29"/>
      <c r="AF524" s="31"/>
      <c r="AG524" s="30" t="s">
        <v>1579</v>
      </c>
      <c r="AH524" s="28"/>
      <c r="AI524" s="28" t="s">
        <v>53</v>
      </c>
      <c r="AJ524" s="33">
        <v>36447</v>
      </c>
      <c r="AK524" s="28">
        <v>6</v>
      </c>
      <c r="AL524" s="28">
        <v>15</v>
      </c>
      <c r="AM524" s="21"/>
      <c r="AN524" s="27"/>
      <c r="AO524" s="27"/>
      <c r="AP524" s="27"/>
      <c r="AQ524" s="27"/>
    </row>
    <row r="525" spans="1:43" ht="15.75" customHeight="1">
      <c r="A525" s="28">
        <v>58</v>
      </c>
      <c r="B525" s="29" t="s">
        <v>4200</v>
      </c>
      <c r="C525" s="30" t="s">
        <v>4201</v>
      </c>
      <c r="D525" s="31" t="s">
        <v>4202</v>
      </c>
      <c r="E525" s="30" t="s">
        <v>72</v>
      </c>
      <c r="F525" s="30" t="s">
        <v>50</v>
      </c>
      <c r="G525" s="30" t="s">
        <v>51</v>
      </c>
      <c r="H525" s="28" t="s">
        <v>85</v>
      </c>
      <c r="I525" s="30"/>
      <c r="J525" s="30" t="s">
        <v>53</v>
      </c>
      <c r="K525" s="30" t="s">
        <v>4203</v>
      </c>
      <c r="L525" s="30" t="s">
        <v>55</v>
      </c>
      <c r="M525" s="30" t="s">
        <v>1573</v>
      </c>
      <c r="N525" s="30" t="s">
        <v>4204</v>
      </c>
      <c r="O525" s="30" t="s">
        <v>4205</v>
      </c>
      <c r="P525" s="30" t="s">
        <v>4206</v>
      </c>
      <c r="Q525" s="28"/>
      <c r="R525" s="30" t="s">
        <v>4207</v>
      </c>
      <c r="S525" s="30" t="s">
        <v>53</v>
      </c>
      <c r="T525" s="30"/>
      <c r="U525" s="28" t="s">
        <v>732</v>
      </c>
      <c r="V525" s="30" t="s">
        <v>63</v>
      </c>
      <c r="W525" s="30" t="s">
        <v>204</v>
      </c>
      <c r="X525" s="32">
        <v>44409</v>
      </c>
      <c r="Y525" s="32">
        <v>45992</v>
      </c>
      <c r="Z525" s="30" t="s">
        <v>65</v>
      </c>
      <c r="AA525" s="28" t="s">
        <v>134</v>
      </c>
      <c r="AB525" s="28" t="s">
        <v>67</v>
      </c>
      <c r="AC525" s="29"/>
      <c r="AD525" s="28">
        <v>0</v>
      </c>
      <c r="AE525" s="29"/>
      <c r="AF525" s="31"/>
      <c r="AG525" s="30" t="s">
        <v>1579</v>
      </c>
      <c r="AH525" s="28"/>
      <c r="AI525" s="28" t="s">
        <v>53</v>
      </c>
      <c r="AJ525" s="33">
        <v>36602</v>
      </c>
      <c r="AK525" s="28">
        <v>5</v>
      </c>
      <c r="AL525" s="28">
        <v>15</v>
      </c>
      <c r="AM525" s="21"/>
      <c r="AN525" s="27"/>
      <c r="AO525" s="27"/>
      <c r="AP525" s="27"/>
      <c r="AQ525" s="27"/>
    </row>
    <row r="526" spans="1:43" ht="15.75" customHeight="1">
      <c r="A526" s="28">
        <v>59</v>
      </c>
      <c r="B526" s="29" t="s">
        <v>4208</v>
      </c>
      <c r="C526" s="30" t="s">
        <v>4209</v>
      </c>
      <c r="D526" s="31" t="s">
        <v>4210</v>
      </c>
      <c r="E526" s="30" t="s">
        <v>72</v>
      </c>
      <c r="F526" s="30" t="s">
        <v>616</v>
      </c>
      <c r="G526" s="30" t="s">
        <v>51</v>
      </c>
      <c r="H526" s="28" t="s">
        <v>85</v>
      </c>
      <c r="I526" s="30"/>
      <c r="J526" s="30" t="s">
        <v>53</v>
      </c>
      <c r="K526" s="30" t="s">
        <v>4132</v>
      </c>
      <c r="L526" s="30" t="s">
        <v>55</v>
      </c>
      <c r="M526" s="30" t="s">
        <v>1573</v>
      </c>
      <c r="N526" s="30" t="s">
        <v>4211</v>
      </c>
      <c r="O526" s="30" t="s">
        <v>4134</v>
      </c>
      <c r="P526" s="30" t="s">
        <v>4212</v>
      </c>
      <c r="Q526" s="28" t="s">
        <v>4213</v>
      </c>
      <c r="R526" s="30" t="s">
        <v>4214</v>
      </c>
      <c r="S526" s="30" t="s">
        <v>53</v>
      </c>
      <c r="T526" s="30"/>
      <c r="U526" s="28" t="s">
        <v>4215</v>
      </c>
      <c r="V526" s="30" t="s">
        <v>63</v>
      </c>
      <c r="W526" s="30" t="s">
        <v>204</v>
      </c>
      <c r="X526" s="32">
        <v>44593</v>
      </c>
      <c r="Y526" s="32">
        <v>46174</v>
      </c>
      <c r="Z526" s="30" t="s">
        <v>65</v>
      </c>
      <c r="AA526" s="28" t="s">
        <v>66</v>
      </c>
      <c r="AB526" s="28" t="s">
        <v>67</v>
      </c>
      <c r="AC526" s="29"/>
      <c r="AD526" s="28">
        <v>0</v>
      </c>
      <c r="AE526" s="29"/>
      <c r="AF526" s="31"/>
      <c r="AG526" s="30" t="s">
        <v>1579</v>
      </c>
      <c r="AH526" s="28"/>
      <c r="AI526" s="28" t="s">
        <v>53</v>
      </c>
      <c r="AJ526" s="33">
        <v>31499</v>
      </c>
      <c r="AK526" s="28">
        <v>5</v>
      </c>
      <c r="AL526" s="28">
        <v>15</v>
      </c>
      <c r="AM526" s="21"/>
      <c r="AN526" s="27"/>
      <c r="AO526" s="27"/>
      <c r="AP526" s="27"/>
      <c r="AQ526" s="27"/>
    </row>
    <row r="527" spans="1:43" ht="15.75" customHeight="1">
      <c r="A527" s="28">
        <v>60</v>
      </c>
      <c r="B527" s="29" t="s">
        <v>4216</v>
      </c>
      <c r="C527" s="30"/>
      <c r="D527" s="31" t="s">
        <v>4217</v>
      </c>
      <c r="E527" s="30" t="s">
        <v>72</v>
      </c>
      <c r="F527" s="30" t="s">
        <v>50</v>
      </c>
      <c r="G527" s="30" t="s">
        <v>51</v>
      </c>
      <c r="H527" s="28" t="s">
        <v>85</v>
      </c>
      <c r="I527" s="30"/>
      <c r="J527" s="30" t="s">
        <v>53</v>
      </c>
      <c r="K527" s="30" t="s">
        <v>2509</v>
      </c>
      <c r="L527" s="30" t="s">
        <v>55</v>
      </c>
      <c r="M527" s="30" t="s">
        <v>1573</v>
      </c>
      <c r="N527" s="30" t="s">
        <v>4218</v>
      </c>
      <c r="O527" s="30" t="s">
        <v>1575</v>
      </c>
      <c r="P527" s="30" t="s">
        <v>4219</v>
      </c>
      <c r="Q527" s="28" t="s">
        <v>4220</v>
      </c>
      <c r="R527" s="30" t="s">
        <v>4221</v>
      </c>
      <c r="S527" s="30" t="s">
        <v>53</v>
      </c>
      <c r="T527" s="30"/>
      <c r="U527" s="28" t="s">
        <v>732</v>
      </c>
      <c r="V527" s="30" t="s">
        <v>63</v>
      </c>
      <c r="W527" s="30" t="s">
        <v>204</v>
      </c>
      <c r="X527" s="32">
        <v>44287</v>
      </c>
      <c r="Y527" s="32">
        <v>45809</v>
      </c>
      <c r="Z527" s="30" t="s">
        <v>65</v>
      </c>
      <c r="AA527" s="28" t="s">
        <v>134</v>
      </c>
      <c r="AB527" s="28" t="s">
        <v>67</v>
      </c>
      <c r="AC527" s="29"/>
      <c r="AD527" s="28">
        <v>0</v>
      </c>
      <c r="AE527" s="29"/>
      <c r="AF527" s="31"/>
      <c r="AG527" s="30" t="s">
        <v>1579</v>
      </c>
      <c r="AH527" s="28"/>
      <c r="AI527" s="28" t="s">
        <v>53</v>
      </c>
      <c r="AJ527" s="33">
        <v>36194</v>
      </c>
      <c r="AK527" s="28">
        <v>5</v>
      </c>
      <c r="AL527" s="28">
        <v>15</v>
      </c>
      <c r="AM527" s="21"/>
      <c r="AN527" s="27"/>
      <c r="AO527" s="27"/>
      <c r="AP527" s="27"/>
      <c r="AQ527" s="27"/>
    </row>
    <row r="528" spans="1:43" ht="15.75" customHeight="1">
      <c r="A528" s="28">
        <v>61</v>
      </c>
      <c r="B528" s="29" t="s">
        <v>4222</v>
      </c>
      <c r="C528" s="30"/>
      <c r="D528" s="31" t="s">
        <v>4223</v>
      </c>
      <c r="E528" s="30" t="s">
        <v>72</v>
      </c>
      <c r="F528" s="30" t="s">
        <v>50</v>
      </c>
      <c r="G528" s="30" t="s">
        <v>51</v>
      </c>
      <c r="H528" s="28" t="s">
        <v>1121</v>
      </c>
      <c r="I528" s="30"/>
      <c r="J528" s="30" t="s">
        <v>53</v>
      </c>
      <c r="K528" s="30" t="s">
        <v>4224</v>
      </c>
      <c r="L528" s="30" t="s">
        <v>55</v>
      </c>
      <c r="M528" s="30" t="s">
        <v>1573</v>
      </c>
      <c r="N528" s="30" t="s">
        <v>4225</v>
      </c>
      <c r="O528" s="30" t="s">
        <v>650</v>
      </c>
      <c r="P528" s="30" t="s">
        <v>4226</v>
      </c>
      <c r="Q528" s="28"/>
      <c r="R528" s="30" t="s">
        <v>4227</v>
      </c>
      <c r="S528" s="30" t="s">
        <v>53</v>
      </c>
      <c r="T528" s="30"/>
      <c r="U528" s="28" t="s">
        <v>2410</v>
      </c>
      <c r="V528" s="30" t="s">
        <v>63</v>
      </c>
      <c r="W528" s="30" t="s">
        <v>204</v>
      </c>
      <c r="X528" s="32">
        <v>44044</v>
      </c>
      <c r="Y528" s="32">
        <v>45839</v>
      </c>
      <c r="Z528" s="30" t="s">
        <v>65</v>
      </c>
      <c r="AA528" s="28" t="s">
        <v>66</v>
      </c>
      <c r="AB528" s="28" t="s">
        <v>67</v>
      </c>
      <c r="AC528" s="29"/>
      <c r="AD528" s="28">
        <v>0</v>
      </c>
      <c r="AE528" s="29"/>
      <c r="AF528" s="31"/>
      <c r="AG528" s="30" t="s">
        <v>1579</v>
      </c>
      <c r="AH528" s="28"/>
      <c r="AI528" s="28" t="s">
        <v>53</v>
      </c>
      <c r="AJ528" s="33">
        <v>37168</v>
      </c>
      <c r="AK528" s="28">
        <v>7</v>
      </c>
      <c r="AL528" s="28">
        <v>15</v>
      </c>
      <c r="AM528" s="21"/>
      <c r="AN528" s="27"/>
      <c r="AO528" s="27"/>
      <c r="AP528" s="27"/>
      <c r="AQ528" s="27"/>
    </row>
    <row r="529" spans="1:43" ht="15.75" customHeight="1">
      <c r="A529" s="28">
        <v>1</v>
      </c>
      <c r="B529" s="29" t="s">
        <v>4228</v>
      </c>
      <c r="C529" s="30"/>
      <c r="D529" s="31" t="s">
        <v>4229</v>
      </c>
      <c r="E529" s="30" t="s">
        <v>72</v>
      </c>
      <c r="F529" s="30" t="s">
        <v>84</v>
      </c>
      <c r="G529" s="30" t="s">
        <v>51</v>
      </c>
      <c r="H529" s="28" t="s">
        <v>52</v>
      </c>
      <c r="I529" s="30"/>
      <c r="J529" s="30" t="s">
        <v>53</v>
      </c>
      <c r="K529" s="30" t="s">
        <v>4230</v>
      </c>
      <c r="L529" s="30" t="s">
        <v>55</v>
      </c>
      <c r="M529" s="30" t="s">
        <v>1573</v>
      </c>
      <c r="N529" s="30" t="s">
        <v>4231</v>
      </c>
      <c r="O529" s="30" t="s">
        <v>2537</v>
      </c>
      <c r="P529" s="30" t="s">
        <v>4232</v>
      </c>
      <c r="Q529" s="28" t="s">
        <v>4233</v>
      </c>
      <c r="R529" s="30" t="s">
        <v>4234</v>
      </c>
      <c r="S529" s="30" t="s">
        <v>53</v>
      </c>
      <c r="T529" s="30"/>
      <c r="U529" s="28" t="s">
        <v>1625</v>
      </c>
      <c r="V529" s="30" t="s">
        <v>63</v>
      </c>
      <c r="W529" s="30" t="s">
        <v>4235</v>
      </c>
      <c r="X529" s="32">
        <v>43252</v>
      </c>
      <c r="Y529" s="32">
        <v>45627</v>
      </c>
      <c r="Z529" s="30" t="s">
        <v>65</v>
      </c>
      <c r="AA529" s="28" t="s">
        <v>66</v>
      </c>
      <c r="AB529" s="28" t="s">
        <v>67</v>
      </c>
      <c r="AC529" s="29"/>
      <c r="AD529" s="28">
        <v>0</v>
      </c>
      <c r="AE529" s="29"/>
      <c r="AF529" s="31"/>
      <c r="AG529" s="30" t="s">
        <v>1579</v>
      </c>
      <c r="AH529" s="28"/>
      <c r="AI529" s="28" t="s">
        <v>53</v>
      </c>
      <c r="AJ529" s="33">
        <v>28987</v>
      </c>
      <c r="AK529" s="28">
        <v>6</v>
      </c>
      <c r="AL529" s="28">
        <v>20</v>
      </c>
      <c r="AM529" s="21"/>
      <c r="AN529" s="27"/>
      <c r="AO529" s="27"/>
      <c r="AP529" s="27"/>
      <c r="AQ529" s="27"/>
    </row>
    <row r="530" spans="1:43" ht="15.75" customHeight="1">
      <c r="A530" s="28">
        <v>2</v>
      </c>
      <c r="B530" s="29" t="s">
        <v>4236</v>
      </c>
      <c r="C530" s="30" t="s">
        <v>4237</v>
      </c>
      <c r="D530" s="31" t="s">
        <v>4238</v>
      </c>
      <c r="E530" s="30" t="s">
        <v>49</v>
      </c>
      <c r="F530" s="30" t="s">
        <v>84</v>
      </c>
      <c r="G530" s="30" t="s">
        <v>51</v>
      </c>
      <c r="H530" s="28" t="s">
        <v>52</v>
      </c>
      <c r="I530" s="30"/>
      <c r="J530" s="30" t="s">
        <v>53</v>
      </c>
      <c r="K530" s="30" t="s">
        <v>4239</v>
      </c>
      <c r="L530" s="30" t="s">
        <v>55</v>
      </c>
      <c r="M530" s="30" t="s">
        <v>1573</v>
      </c>
      <c r="N530" s="30" t="s">
        <v>4240</v>
      </c>
      <c r="O530" s="30" t="s">
        <v>4241</v>
      </c>
      <c r="P530" s="30" t="s">
        <v>4242</v>
      </c>
      <c r="Q530" s="28" t="s">
        <v>4243</v>
      </c>
      <c r="R530" s="30" t="s">
        <v>4244</v>
      </c>
      <c r="S530" s="30" t="s">
        <v>53</v>
      </c>
      <c r="T530" s="30"/>
      <c r="U530" s="28" t="s">
        <v>2051</v>
      </c>
      <c r="V530" s="30" t="s">
        <v>63</v>
      </c>
      <c r="W530" s="30" t="s">
        <v>4235</v>
      </c>
      <c r="X530" s="32">
        <v>44774</v>
      </c>
      <c r="Y530" s="32">
        <v>46204</v>
      </c>
      <c r="Z530" s="30" t="s">
        <v>65</v>
      </c>
      <c r="AA530" s="28" t="s">
        <v>66</v>
      </c>
      <c r="AB530" s="28" t="s">
        <v>67</v>
      </c>
      <c r="AC530" s="29"/>
      <c r="AD530" s="28">
        <v>0</v>
      </c>
      <c r="AE530" s="29"/>
      <c r="AF530" s="31"/>
      <c r="AG530" s="30" t="s">
        <v>1579</v>
      </c>
      <c r="AH530" s="28"/>
      <c r="AI530" s="28" t="s">
        <v>53</v>
      </c>
      <c r="AJ530" s="33">
        <v>30479</v>
      </c>
      <c r="AK530" s="28">
        <v>3</v>
      </c>
      <c r="AL530" s="28">
        <v>15</v>
      </c>
      <c r="AM530" s="21"/>
      <c r="AN530" s="27"/>
      <c r="AO530" s="27"/>
      <c r="AP530" s="27"/>
      <c r="AQ530" s="27"/>
    </row>
    <row r="531" spans="1:43" ht="15.75" customHeight="1">
      <c r="A531" s="28">
        <v>1</v>
      </c>
      <c r="B531" s="29" t="s">
        <v>4245</v>
      </c>
      <c r="C531" s="30" t="s">
        <v>4246</v>
      </c>
      <c r="D531" s="31" t="s">
        <v>4247</v>
      </c>
      <c r="E531" s="30" t="s">
        <v>72</v>
      </c>
      <c r="F531" s="30" t="s">
        <v>84</v>
      </c>
      <c r="G531" s="30" t="s">
        <v>51</v>
      </c>
      <c r="H531" s="28" t="s">
        <v>85</v>
      </c>
      <c r="I531" s="30"/>
      <c r="J531" s="30" t="s">
        <v>53</v>
      </c>
      <c r="K531" s="30" t="s">
        <v>4248</v>
      </c>
      <c r="L531" s="30" t="s">
        <v>55</v>
      </c>
      <c r="M531" s="30" t="s">
        <v>1573</v>
      </c>
      <c r="N531" s="30" t="s">
        <v>4249</v>
      </c>
      <c r="O531" s="30" t="s">
        <v>3753</v>
      </c>
      <c r="P531" s="30" t="s">
        <v>4250</v>
      </c>
      <c r="Q531" s="28" t="s">
        <v>4251</v>
      </c>
      <c r="R531" s="30" t="s">
        <v>4252</v>
      </c>
      <c r="S531" s="30" t="s">
        <v>53</v>
      </c>
      <c r="T531" s="30"/>
      <c r="U531" s="28" t="s">
        <v>1798</v>
      </c>
      <c r="V531" s="30" t="s">
        <v>63</v>
      </c>
      <c r="W531" s="30" t="s">
        <v>4253</v>
      </c>
      <c r="X531" s="32">
        <v>44927</v>
      </c>
      <c r="Y531" s="32">
        <v>46722</v>
      </c>
      <c r="Z531" s="30" t="s">
        <v>65</v>
      </c>
      <c r="AA531" s="28" t="s">
        <v>134</v>
      </c>
      <c r="AB531" s="28" t="s">
        <v>67</v>
      </c>
      <c r="AC531" s="29"/>
      <c r="AD531" s="28">
        <v>0</v>
      </c>
      <c r="AE531" s="29"/>
      <c r="AF531" s="31"/>
      <c r="AG531" s="30" t="s">
        <v>1579</v>
      </c>
      <c r="AH531" s="28"/>
      <c r="AI531" s="28" t="s">
        <v>53</v>
      </c>
      <c r="AJ531" s="33">
        <v>34771</v>
      </c>
      <c r="AK531" s="28">
        <v>3</v>
      </c>
      <c r="AL531" s="28">
        <v>20</v>
      </c>
      <c r="AM531" s="21"/>
      <c r="AN531" s="27"/>
      <c r="AO531" s="27"/>
      <c r="AP531" s="27"/>
      <c r="AQ531" s="27"/>
    </row>
    <row r="532" spans="1:43" ht="15.75" customHeight="1">
      <c r="A532" s="28">
        <v>2</v>
      </c>
      <c r="B532" s="29" t="s">
        <v>4254</v>
      </c>
      <c r="C532" s="30" t="s">
        <v>4255</v>
      </c>
      <c r="D532" s="31" t="s">
        <v>4256</v>
      </c>
      <c r="E532" s="30" t="s">
        <v>49</v>
      </c>
      <c r="F532" s="30" t="s">
        <v>84</v>
      </c>
      <c r="G532" s="30" t="s">
        <v>51</v>
      </c>
      <c r="H532" s="28" t="s">
        <v>52</v>
      </c>
      <c r="I532" s="30"/>
      <c r="J532" s="30" t="s">
        <v>53</v>
      </c>
      <c r="K532" s="30" t="s">
        <v>4257</v>
      </c>
      <c r="L532" s="30" t="s">
        <v>55</v>
      </c>
      <c r="M532" s="30" t="s">
        <v>1620</v>
      </c>
      <c r="N532" s="30" t="s">
        <v>4258</v>
      </c>
      <c r="O532" s="30" t="s">
        <v>58</v>
      </c>
      <c r="P532" s="30" t="s">
        <v>4259</v>
      </c>
      <c r="Q532" s="28"/>
      <c r="R532" s="30" t="s">
        <v>4260</v>
      </c>
      <c r="S532" s="30" t="s">
        <v>53</v>
      </c>
      <c r="T532" s="30"/>
      <c r="U532" s="28" t="s">
        <v>1615</v>
      </c>
      <c r="V532" s="30" t="s">
        <v>63</v>
      </c>
      <c r="W532" s="30" t="s">
        <v>4253</v>
      </c>
      <c r="X532" s="32">
        <v>44228</v>
      </c>
      <c r="Y532" s="32">
        <v>45992</v>
      </c>
      <c r="Z532" s="30" t="s">
        <v>65</v>
      </c>
      <c r="AA532" s="28" t="s">
        <v>66</v>
      </c>
      <c r="AB532" s="28" t="s">
        <v>67</v>
      </c>
      <c r="AC532" s="29"/>
      <c r="AD532" s="28">
        <v>0</v>
      </c>
      <c r="AE532" s="29"/>
      <c r="AF532" s="31"/>
      <c r="AG532" s="30" t="s">
        <v>1579</v>
      </c>
      <c r="AH532" s="28"/>
      <c r="AI532" s="28" t="s">
        <v>53</v>
      </c>
      <c r="AJ532" s="33">
        <v>29752</v>
      </c>
      <c r="AK532" s="28">
        <v>6</v>
      </c>
      <c r="AL532" s="28">
        <v>19</v>
      </c>
      <c r="AM532" s="21"/>
      <c r="AN532" s="27"/>
      <c r="AO532" s="27"/>
      <c r="AP532" s="27"/>
      <c r="AQ532" s="27"/>
    </row>
    <row r="533" spans="1:43" ht="15.75" customHeight="1">
      <c r="A533" s="28">
        <v>3</v>
      </c>
      <c r="B533" s="29" t="s">
        <v>4261</v>
      </c>
      <c r="C533" s="30"/>
      <c r="D533" s="31" t="s">
        <v>4262</v>
      </c>
      <c r="E533" s="30" t="s">
        <v>72</v>
      </c>
      <c r="F533" s="30" t="s">
        <v>50</v>
      </c>
      <c r="G533" s="30" t="s">
        <v>51</v>
      </c>
      <c r="H533" s="28" t="s">
        <v>191</v>
      </c>
      <c r="I533" s="30"/>
      <c r="J533" s="30" t="s">
        <v>53</v>
      </c>
      <c r="K533" s="30" t="s">
        <v>4263</v>
      </c>
      <c r="L533" s="30" t="s">
        <v>55</v>
      </c>
      <c r="M533" s="30" t="s">
        <v>656</v>
      </c>
      <c r="N533" s="30" t="s">
        <v>4264</v>
      </c>
      <c r="O533" s="30" t="s">
        <v>2657</v>
      </c>
      <c r="P533" s="30" t="s">
        <v>4265</v>
      </c>
      <c r="Q533" s="28" t="s">
        <v>4266</v>
      </c>
      <c r="R533" s="30" t="s">
        <v>4267</v>
      </c>
      <c r="S533" s="30" t="s">
        <v>53</v>
      </c>
      <c r="T533" s="30"/>
      <c r="U533" s="28" t="s">
        <v>1598</v>
      </c>
      <c r="V533" s="30" t="s">
        <v>63</v>
      </c>
      <c r="W533" s="30" t="s">
        <v>4253</v>
      </c>
      <c r="X533" s="32">
        <v>44562</v>
      </c>
      <c r="Y533" s="32">
        <v>46722</v>
      </c>
      <c r="Z533" s="30" t="s">
        <v>65</v>
      </c>
      <c r="AA533" s="28" t="s">
        <v>134</v>
      </c>
      <c r="AB533" s="28" t="s">
        <v>67</v>
      </c>
      <c r="AC533" s="29"/>
      <c r="AD533" s="28">
        <v>0</v>
      </c>
      <c r="AE533" s="29"/>
      <c r="AF533" s="31"/>
      <c r="AG533" s="30" t="s">
        <v>1579</v>
      </c>
      <c r="AH533" s="28" t="s">
        <v>431</v>
      </c>
      <c r="AI533" s="28" t="s">
        <v>53</v>
      </c>
      <c r="AJ533" s="33">
        <v>38020</v>
      </c>
      <c r="AK533" s="28">
        <v>4</v>
      </c>
      <c r="AL533" s="28">
        <v>15</v>
      </c>
      <c r="AM533" s="21"/>
      <c r="AN533" s="27"/>
      <c r="AO533" s="27"/>
      <c r="AP533" s="27"/>
      <c r="AQ533" s="27"/>
    </row>
    <row r="534" spans="1:43" ht="15.75" customHeight="1">
      <c r="A534" s="28">
        <v>4</v>
      </c>
      <c r="B534" s="29" t="s">
        <v>4268</v>
      </c>
      <c r="C534" s="30" t="s">
        <v>4269</v>
      </c>
      <c r="D534" s="31" t="s">
        <v>4270</v>
      </c>
      <c r="E534" s="30" t="s">
        <v>72</v>
      </c>
      <c r="F534" s="30" t="s">
        <v>50</v>
      </c>
      <c r="G534" s="30" t="s">
        <v>51</v>
      </c>
      <c r="H534" s="28" t="s">
        <v>85</v>
      </c>
      <c r="I534" s="30"/>
      <c r="J534" s="30" t="s">
        <v>53</v>
      </c>
      <c r="K534" s="30" t="s">
        <v>4271</v>
      </c>
      <c r="L534" s="30" t="s">
        <v>55</v>
      </c>
      <c r="M534" s="30" t="s">
        <v>2449</v>
      </c>
      <c r="N534" s="30" t="s">
        <v>4272</v>
      </c>
      <c r="O534" s="30" t="s">
        <v>4273</v>
      </c>
      <c r="P534" s="30" t="s">
        <v>4274</v>
      </c>
      <c r="Q534" s="28"/>
      <c r="R534" s="30" t="s">
        <v>4275</v>
      </c>
      <c r="S534" s="30" t="s">
        <v>53</v>
      </c>
      <c r="T534" s="30"/>
      <c r="U534" s="28" t="s">
        <v>4276</v>
      </c>
      <c r="V534" s="30" t="s">
        <v>63</v>
      </c>
      <c r="W534" s="30" t="s">
        <v>4253</v>
      </c>
      <c r="X534" s="32">
        <v>44409</v>
      </c>
      <c r="Y534" s="32">
        <v>46174</v>
      </c>
      <c r="Z534" s="30" t="s">
        <v>65</v>
      </c>
      <c r="AA534" s="28" t="s">
        <v>66</v>
      </c>
      <c r="AB534" s="28" t="s">
        <v>67</v>
      </c>
      <c r="AC534" s="29"/>
      <c r="AD534" s="28">
        <v>0</v>
      </c>
      <c r="AE534" s="29"/>
      <c r="AF534" s="31"/>
      <c r="AG534" s="30" t="s">
        <v>1579</v>
      </c>
      <c r="AH534" s="28"/>
      <c r="AI534" s="28" t="s">
        <v>118</v>
      </c>
      <c r="AJ534" s="33">
        <v>37517</v>
      </c>
      <c r="AK534" s="28">
        <v>5</v>
      </c>
      <c r="AL534" s="28">
        <v>15</v>
      </c>
      <c r="AM534" s="21"/>
      <c r="AN534" s="27"/>
      <c r="AO534" s="27"/>
      <c r="AP534" s="27"/>
      <c r="AQ534" s="27"/>
    </row>
    <row r="535" spans="1:43" ht="15.75" customHeight="1">
      <c r="A535" s="28">
        <v>1</v>
      </c>
      <c r="B535" s="29" t="s">
        <v>4277</v>
      </c>
      <c r="C535" s="30" t="s">
        <v>4278</v>
      </c>
      <c r="D535" s="31" t="s">
        <v>4279</v>
      </c>
      <c r="E535" s="30" t="s">
        <v>72</v>
      </c>
      <c r="F535" s="30" t="s">
        <v>50</v>
      </c>
      <c r="G535" s="30" t="s">
        <v>51</v>
      </c>
      <c r="H535" s="28" t="s">
        <v>52</v>
      </c>
      <c r="I535" s="30"/>
      <c r="J535" s="30" t="s">
        <v>53</v>
      </c>
      <c r="K535" s="30" t="s">
        <v>4280</v>
      </c>
      <c r="L535" s="30" t="s">
        <v>55</v>
      </c>
      <c r="M535" s="30" t="s">
        <v>1573</v>
      </c>
      <c r="N535" s="30" t="s">
        <v>4281</v>
      </c>
      <c r="O535" s="30" t="s">
        <v>4062</v>
      </c>
      <c r="P535" s="30" t="s">
        <v>4282</v>
      </c>
      <c r="Q535" s="28" t="s">
        <v>4283</v>
      </c>
      <c r="R535" s="30" t="s">
        <v>4284</v>
      </c>
      <c r="S535" s="30" t="s">
        <v>53</v>
      </c>
      <c r="T535" s="30"/>
      <c r="U535" s="28" t="s">
        <v>3952</v>
      </c>
      <c r="V535" s="30" t="s">
        <v>63</v>
      </c>
      <c r="W535" s="30" t="s">
        <v>64</v>
      </c>
      <c r="X535" s="32">
        <v>43831</v>
      </c>
      <c r="Y535" s="32">
        <v>45627</v>
      </c>
      <c r="Z535" s="30" t="s">
        <v>65</v>
      </c>
      <c r="AA535" s="28" t="s">
        <v>134</v>
      </c>
      <c r="AB535" s="28" t="s">
        <v>67</v>
      </c>
      <c r="AC535" s="29"/>
      <c r="AD535" s="28">
        <v>0</v>
      </c>
      <c r="AE535" s="29"/>
      <c r="AF535" s="31"/>
      <c r="AG535" s="30" t="s">
        <v>4285</v>
      </c>
      <c r="AH535" s="28"/>
      <c r="AI535" s="28" t="s">
        <v>53</v>
      </c>
      <c r="AJ535" s="33">
        <v>37295</v>
      </c>
      <c r="AK535" s="28">
        <v>8</v>
      </c>
      <c r="AL535" s="28">
        <v>23</v>
      </c>
      <c r="AM535" s="21"/>
      <c r="AN535" s="27"/>
      <c r="AO535" s="27"/>
      <c r="AP535" s="27"/>
      <c r="AQ535" s="27"/>
    </row>
    <row r="536" spans="1:43" ht="15.75" customHeight="1">
      <c r="A536" s="28">
        <v>2</v>
      </c>
      <c r="B536" s="29" t="s">
        <v>4286</v>
      </c>
      <c r="C536" s="30" t="s">
        <v>4287</v>
      </c>
      <c r="D536" s="31" t="s">
        <v>4288</v>
      </c>
      <c r="E536" s="30" t="s">
        <v>72</v>
      </c>
      <c r="F536" s="30" t="s">
        <v>50</v>
      </c>
      <c r="G536" s="30" t="s">
        <v>51</v>
      </c>
      <c r="H536" s="28" t="s">
        <v>52</v>
      </c>
      <c r="I536" s="30"/>
      <c r="J536" s="30" t="s">
        <v>53</v>
      </c>
      <c r="K536" s="30" t="s">
        <v>4289</v>
      </c>
      <c r="L536" s="30" t="s">
        <v>55</v>
      </c>
      <c r="M536" s="30" t="s">
        <v>3607</v>
      </c>
      <c r="N536" s="30" t="s">
        <v>4290</v>
      </c>
      <c r="O536" s="30" t="s">
        <v>4291</v>
      </c>
      <c r="P536" s="30" t="s">
        <v>4292</v>
      </c>
      <c r="Q536" s="28"/>
      <c r="R536" s="30" t="s">
        <v>4293</v>
      </c>
      <c r="S536" s="30" t="s">
        <v>53</v>
      </c>
      <c r="T536" s="30"/>
      <c r="U536" s="28" t="s">
        <v>4137</v>
      </c>
      <c r="V536" s="30" t="s">
        <v>63</v>
      </c>
      <c r="W536" s="30" t="s">
        <v>64</v>
      </c>
      <c r="X536" s="32">
        <v>43647</v>
      </c>
      <c r="Y536" s="32">
        <v>45627</v>
      </c>
      <c r="Z536" s="30" t="s">
        <v>65</v>
      </c>
      <c r="AA536" s="28" t="s">
        <v>66</v>
      </c>
      <c r="AB536" s="28" t="s">
        <v>67</v>
      </c>
      <c r="AC536" s="29"/>
      <c r="AD536" s="28">
        <v>0</v>
      </c>
      <c r="AE536" s="29"/>
      <c r="AF536" s="31"/>
      <c r="AG536" s="30" t="s">
        <v>4285</v>
      </c>
      <c r="AH536" s="28"/>
      <c r="AI536" s="28" t="s">
        <v>53</v>
      </c>
      <c r="AJ536" s="33">
        <v>33123</v>
      </c>
      <c r="AK536" s="28">
        <v>8</v>
      </c>
      <c r="AL536" s="28">
        <v>15</v>
      </c>
      <c r="AM536" s="21"/>
      <c r="AN536" s="27"/>
      <c r="AO536" s="27"/>
      <c r="AP536" s="27"/>
      <c r="AQ536" s="27"/>
    </row>
    <row r="537" spans="1:43" ht="15.75" customHeight="1">
      <c r="A537" s="28">
        <v>1</v>
      </c>
      <c r="B537" s="29" t="s">
        <v>4294</v>
      </c>
      <c r="C537" s="30"/>
      <c r="D537" s="31" t="s">
        <v>4295</v>
      </c>
      <c r="E537" s="30" t="s">
        <v>49</v>
      </c>
      <c r="F537" s="30" t="s">
        <v>50</v>
      </c>
      <c r="G537" s="30" t="s">
        <v>51</v>
      </c>
      <c r="H537" s="28" t="s">
        <v>85</v>
      </c>
      <c r="I537" s="30"/>
      <c r="J537" s="30" t="s">
        <v>53</v>
      </c>
      <c r="K537" s="30" t="s">
        <v>4296</v>
      </c>
      <c r="L537" s="30" t="s">
        <v>55</v>
      </c>
      <c r="M537" s="30" t="s">
        <v>656</v>
      </c>
      <c r="N537" s="30" t="s">
        <v>4297</v>
      </c>
      <c r="O537" s="30" t="s">
        <v>4298</v>
      </c>
      <c r="P537" s="30" t="s">
        <v>4299</v>
      </c>
      <c r="Q537" s="28" t="s">
        <v>4300</v>
      </c>
      <c r="R537" s="30" t="s">
        <v>4301</v>
      </c>
      <c r="S537" s="30" t="s">
        <v>53</v>
      </c>
      <c r="T537" s="30"/>
      <c r="U537" s="28" t="s">
        <v>4302</v>
      </c>
      <c r="V537" s="30" t="s">
        <v>63</v>
      </c>
      <c r="W537" s="30" t="s">
        <v>64</v>
      </c>
      <c r="X537" s="32">
        <v>44348</v>
      </c>
      <c r="Y537" s="32">
        <v>45809</v>
      </c>
      <c r="Z537" s="30" t="s">
        <v>65</v>
      </c>
      <c r="AA537" s="28" t="s">
        <v>66</v>
      </c>
      <c r="AB537" s="28" t="s">
        <v>67</v>
      </c>
      <c r="AC537" s="29"/>
      <c r="AD537" s="28">
        <v>0</v>
      </c>
      <c r="AE537" s="29"/>
      <c r="AF537" s="31"/>
      <c r="AG537" s="30" t="s">
        <v>4303</v>
      </c>
      <c r="AH537" s="28"/>
      <c r="AI537" s="28" t="s">
        <v>53</v>
      </c>
      <c r="AJ537" s="33">
        <v>37230</v>
      </c>
      <c r="AK537" s="28">
        <v>5</v>
      </c>
      <c r="AL537" s="28">
        <v>27</v>
      </c>
      <c r="AM537" s="21"/>
      <c r="AN537" s="27"/>
      <c r="AO537" s="27"/>
      <c r="AP537" s="27"/>
      <c r="AQ537" s="27"/>
    </row>
    <row r="538" spans="1:43" ht="15.75" customHeight="1">
      <c r="A538" s="28">
        <v>2</v>
      </c>
      <c r="B538" s="29" t="s">
        <v>4304</v>
      </c>
      <c r="C538" s="30"/>
      <c r="D538" s="31" t="s">
        <v>4305</v>
      </c>
      <c r="E538" s="30" t="s">
        <v>72</v>
      </c>
      <c r="F538" s="30" t="s">
        <v>50</v>
      </c>
      <c r="G538" s="30" t="s">
        <v>51</v>
      </c>
      <c r="H538" s="28" t="s">
        <v>52</v>
      </c>
      <c r="I538" s="30"/>
      <c r="J538" s="30" t="s">
        <v>53</v>
      </c>
      <c r="K538" s="30" t="s">
        <v>4306</v>
      </c>
      <c r="L538" s="30" t="s">
        <v>55</v>
      </c>
      <c r="M538" s="30" t="s">
        <v>4307</v>
      </c>
      <c r="N538" s="30" t="s">
        <v>4308</v>
      </c>
      <c r="O538" s="30" t="s">
        <v>4309</v>
      </c>
      <c r="P538" s="30" t="s">
        <v>4310</v>
      </c>
      <c r="Q538" s="28" t="s">
        <v>4311</v>
      </c>
      <c r="R538" s="30" t="s">
        <v>4312</v>
      </c>
      <c r="S538" s="30" t="s">
        <v>53</v>
      </c>
      <c r="T538" s="30"/>
      <c r="U538" s="28" t="s">
        <v>1657</v>
      </c>
      <c r="V538" s="30" t="s">
        <v>63</v>
      </c>
      <c r="W538" s="30" t="s">
        <v>64</v>
      </c>
      <c r="X538" s="32">
        <v>44256</v>
      </c>
      <c r="Y538" s="32">
        <v>45717</v>
      </c>
      <c r="Z538" s="30" t="s">
        <v>65</v>
      </c>
      <c r="AA538" s="28" t="s">
        <v>66</v>
      </c>
      <c r="AB538" s="28" t="s">
        <v>67</v>
      </c>
      <c r="AC538" s="29"/>
      <c r="AD538" s="28">
        <v>0</v>
      </c>
      <c r="AE538" s="29"/>
      <c r="AF538" s="31"/>
      <c r="AG538" s="30" t="s">
        <v>4303</v>
      </c>
      <c r="AH538" s="28" t="s">
        <v>431</v>
      </c>
      <c r="AI538" s="28" t="s">
        <v>53</v>
      </c>
      <c r="AJ538" s="33">
        <v>35952</v>
      </c>
      <c r="AK538" s="28">
        <v>6</v>
      </c>
      <c r="AL538" s="28">
        <v>27</v>
      </c>
      <c r="AM538" s="21"/>
      <c r="AN538" s="27"/>
      <c r="AO538" s="27"/>
      <c r="AP538" s="27"/>
      <c r="AQ538" s="27"/>
    </row>
    <row r="539" spans="1:43" ht="15.75" customHeight="1">
      <c r="A539" s="28">
        <v>3</v>
      </c>
      <c r="B539" s="29" t="s">
        <v>4313</v>
      </c>
      <c r="C539" s="30"/>
      <c r="D539" s="31" t="s">
        <v>4314</v>
      </c>
      <c r="E539" s="30" t="s">
        <v>49</v>
      </c>
      <c r="F539" s="30" t="s">
        <v>50</v>
      </c>
      <c r="G539" s="30" t="s">
        <v>51</v>
      </c>
      <c r="H539" s="28" t="s">
        <v>85</v>
      </c>
      <c r="I539" s="30"/>
      <c r="J539" s="30" t="s">
        <v>53</v>
      </c>
      <c r="K539" s="30" t="s">
        <v>4306</v>
      </c>
      <c r="L539" s="30" t="s">
        <v>55</v>
      </c>
      <c r="M539" s="30" t="s">
        <v>4315</v>
      </c>
      <c r="N539" s="30" t="s">
        <v>4316</v>
      </c>
      <c r="O539" s="30" t="s">
        <v>3014</v>
      </c>
      <c r="P539" s="30" t="s">
        <v>4317</v>
      </c>
      <c r="Q539" s="28" t="s">
        <v>4318</v>
      </c>
      <c r="R539" s="30" t="s">
        <v>4319</v>
      </c>
      <c r="S539" s="30" t="s">
        <v>53</v>
      </c>
      <c r="T539" s="30"/>
      <c r="U539" s="28" t="s">
        <v>4320</v>
      </c>
      <c r="V539" s="30" t="s">
        <v>63</v>
      </c>
      <c r="W539" s="30" t="s">
        <v>64</v>
      </c>
      <c r="X539" s="32">
        <v>43891</v>
      </c>
      <c r="Y539" s="32">
        <v>45717</v>
      </c>
      <c r="Z539" s="30" t="s">
        <v>65</v>
      </c>
      <c r="AA539" s="28" t="s">
        <v>66</v>
      </c>
      <c r="AB539" s="28" t="s">
        <v>67</v>
      </c>
      <c r="AC539" s="29"/>
      <c r="AD539" s="28">
        <v>0</v>
      </c>
      <c r="AE539" s="29"/>
      <c r="AF539" s="31"/>
      <c r="AG539" s="30" t="s">
        <v>4303</v>
      </c>
      <c r="AH539" s="28"/>
      <c r="AI539" s="28" t="s">
        <v>53</v>
      </c>
      <c r="AJ539" s="33">
        <v>37053</v>
      </c>
      <c r="AK539" s="28">
        <v>7</v>
      </c>
      <c r="AL539" s="28">
        <v>26</v>
      </c>
      <c r="AM539" s="21"/>
      <c r="AN539" s="27"/>
      <c r="AO539" s="27"/>
      <c r="AP539" s="27"/>
      <c r="AQ539" s="27"/>
    </row>
    <row r="540" spans="1:43" ht="15.75" customHeight="1">
      <c r="A540" s="28">
        <v>4</v>
      </c>
      <c r="B540" s="29" t="s">
        <v>4321</v>
      </c>
      <c r="C540" s="30"/>
      <c r="D540" s="31" t="s">
        <v>4322</v>
      </c>
      <c r="E540" s="30" t="s">
        <v>72</v>
      </c>
      <c r="F540" s="30" t="s">
        <v>50</v>
      </c>
      <c r="G540" s="30" t="s">
        <v>51</v>
      </c>
      <c r="H540" s="28" t="s">
        <v>85</v>
      </c>
      <c r="I540" s="30"/>
      <c r="J540" s="30" t="s">
        <v>53</v>
      </c>
      <c r="K540" s="30" t="s">
        <v>4306</v>
      </c>
      <c r="L540" s="30" t="s">
        <v>55</v>
      </c>
      <c r="M540" s="30" t="s">
        <v>4307</v>
      </c>
      <c r="N540" s="30" t="s">
        <v>4323</v>
      </c>
      <c r="O540" s="30" t="s">
        <v>4324</v>
      </c>
      <c r="P540" s="30" t="s">
        <v>4325</v>
      </c>
      <c r="Q540" s="28"/>
      <c r="R540" s="30" t="s">
        <v>4326</v>
      </c>
      <c r="S540" s="30" t="s">
        <v>53</v>
      </c>
      <c r="T540" s="30"/>
      <c r="U540" s="28" t="s">
        <v>4327</v>
      </c>
      <c r="V540" s="30" t="s">
        <v>63</v>
      </c>
      <c r="W540" s="30" t="s">
        <v>64</v>
      </c>
      <c r="X540" s="32">
        <v>43891</v>
      </c>
      <c r="Y540" s="32">
        <v>45717</v>
      </c>
      <c r="Z540" s="30" t="s">
        <v>65</v>
      </c>
      <c r="AA540" s="28" t="s">
        <v>66</v>
      </c>
      <c r="AB540" s="28" t="s">
        <v>67</v>
      </c>
      <c r="AC540" s="29"/>
      <c r="AD540" s="28">
        <v>0</v>
      </c>
      <c r="AE540" s="29"/>
      <c r="AF540" s="31"/>
      <c r="AG540" s="30" t="s">
        <v>4303</v>
      </c>
      <c r="AH540" s="28"/>
      <c r="AI540" s="28" t="s">
        <v>53</v>
      </c>
      <c r="AJ540" s="33">
        <v>37318</v>
      </c>
      <c r="AK540" s="28">
        <v>7</v>
      </c>
      <c r="AL540" s="28">
        <v>24</v>
      </c>
      <c r="AM540" s="21"/>
      <c r="AN540" s="27"/>
      <c r="AO540" s="27"/>
      <c r="AP540" s="27"/>
      <c r="AQ540" s="27"/>
    </row>
    <row r="541" spans="1:43" ht="15.75" customHeight="1">
      <c r="A541" s="28">
        <v>5</v>
      </c>
      <c r="B541" s="29" t="s">
        <v>4328</v>
      </c>
      <c r="C541" s="30"/>
      <c r="D541" s="31" t="s">
        <v>4329</v>
      </c>
      <c r="E541" s="30" t="s">
        <v>72</v>
      </c>
      <c r="F541" s="30" t="s">
        <v>50</v>
      </c>
      <c r="G541" s="30" t="s">
        <v>51</v>
      </c>
      <c r="H541" s="28" t="s">
        <v>52</v>
      </c>
      <c r="I541" s="30"/>
      <c r="J541" s="30" t="s">
        <v>53</v>
      </c>
      <c r="K541" s="30" t="s">
        <v>4306</v>
      </c>
      <c r="L541" s="30" t="s">
        <v>55</v>
      </c>
      <c r="M541" s="30" t="s">
        <v>4307</v>
      </c>
      <c r="N541" s="30" t="s">
        <v>4330</v>
      </c>
      <c r="O541" s="30" t="s">
        <v>58</v>
      </c>
      <c r="P541" s="30" t="s">
        <v>4331</v>
      </c>
      <c r="Q541" s="28" t="s">
        <v>4332</v>
      </c>
      <c r="R541" s="30" t="s">
        <v>4333</v>
      </c>
      <c r="S541" s="30" t="s">
        <v>53</v>
      </c>
      <c r="T541" s="30"/>
      <c r="U541" s="28" t="s">
        <v>1347</v>
      </c>
      <c r="V541" s="30" t="s">
        <v>63</v>
      </c>
      <c r="W541" s="30" t="s">
        <v>64</v>
      </c>
      <c r="X541" s="32">
        <v>43132</v>
      </c>
      <c r="Y541" s="32">
        <v>45444</v>
      </c>
      <c r="Z541" s="30" t="s">
        <v>65</v>
      </c>
      <c r="AA541" s="28" t="s">
        <v>66</v>
      </c>
      <c r="AB541" s="28" t="s">
        <v>67</v>
      </c>
      <c r="AC541" s="29"/>
      <c r="AD541" s="28">
        <v>0</v>
      </c>
      <c r="AE541" s="29"/>
      <c r="AF541" s="31"/>
      <c r="AG541" s="30" t="s">
        <v>4303</v>
      </c>
      <c r="AH541" s="28"/>
      <c r="AI541" s="28" t="s">
        <v>118</v>
      </c>
      <c r="AJ541" s="33">
        <v>36692</v>
      </c>
      <c r="AK541" s="28">
        <v>9</v>
      </c>
      <c r="AL541" s="28">
        <v>24</v>
      </c>
      <c r="AM541" s="21"/>
      <c r="AN541" s="27"/>
      <c r="AO541" s="27"/>
      <c r="AP541" s="27"/>
      <c r="AQ541" s="27"/>
    </row>
    <row r="542" spans="1:43" ht="15.75" customHeight="1">
      <c r="A542" s="28">
        <v>6</v>
      </c>
      <c r="B542" s="29" t="s">
        <v>4334</v>
      </c>
      <c r="C542" s="30" t="s">
        <v>4335</v>
      </c>
      <c r="D542" s="31" t="s">
        <v>4336</v>
      </c>
      <c r="E542" s="30" t="s">
        <v>49</v>
      </c>
      <c r="F542" s="30" t="s">
        <v>50</v>
      </c>
      <c r="G542" s="30" t="s">
        <v>51</v>
      </c>
      <c r="H542" s="28" t="s">
        <v>52</v>
      </c>
      <c r="I542" s="30"/>
      <c r="J542" s="30" t="s">
        <v>53</v>
      </c>
      <c r="K542" s="30" t="s">
        <v>4306</v>
      </c>
      <c r="L542" s="30" t="s">
        <v>55</v>
      </c>
      <c r="M542" s="30" t="s">
        <v>4307</v>
      </c>
      <c r="N542" s="30" t="s">
        <v>4337</v>
      </c>
      <c r="O542" s="30" t="s">
        <v>58</v>
      </c>
      <c r="P542" s="30" t="s">
        <v>4338</v>
      </c>
      <c r="Q542" s="28"/>
      <c r="R542" s="30" t="s">
        <v>4339</v>
      </c>
      <c r="S542" s="30" t="s">
        <v>118</v>
      </c>
      <c r="T542" s="30"/>
      <c r="U542" s="28" t="s">
        <v>4340</v>
      </c>
      <c r="V542" s="30" t="s">
        <v>63</v>
      </c>
      <c r="W542" s="30" t="s">
        <v>64</v>
      </c>
      <c r="X542" s="32">
        <v>44470</v>
      </c>
      <c r="Y542" s="32">
        <v>46296</v>
      </c>
      <c r="Z542" s="30" t="s">
        <v>65</v>
      </c>
      <c r="AA542" s="28" t="s">
        <v>66</v>
      </c>
      <c r="AB542" s="28" t="s">
        <v>67</v>
      </c>
      <c r="AC542" s="29"/>
      <c r="AD542" s="28">
        <v>0</v>
      </c>
      <c r="AE542" s="29"/>
      <c r="AF542" s="31"/>
      <c r="AG542" s="30" t="s">
        <v>4303</v>
      </c>
      <c r="AH542" s="28"/>
      <c r="AI542" s="28" t="s">
        <v>53</v>
      </c>
      <c r="AJ542" s="33">
        <v>37547</v>
      </c>
      <c r="AK542" s="28">
        <v>5</v>
      </c>
      <c r="AL542" s="28">
        <v>22</v>
      </c>
      <c r="AM542" s="21"/>
      <c r="AN542" s="27"/>
      <c r="AO542" s="27"/>
      <c r="AP542" s="27"/>
      <c r="AQ542" s="27"/>
    </row>
    <row r="543" spans="1:43" ht="15.75" customHeight="1">
      <c r="A543" s="28">
        <v>7</v>
      </c>
      <c r="B543" s="29" t="s">
        <v>4341</v>
      </c>
      <c r="C543" s="30"/>
      <c r="D543" s="31" t="s">
        <v>4342</v>
      </c>
      <c r="E543" s="30" t="s">
        <v>49</v>
      </c>
      <c r="F543" s="30" t="s">
        <v>50</v>
      </c>
      <c r="G543" s="30" t="s">
        <v>51</v>
      </c>
      <c r="H543" s="28" t="s">
        <v>52</v>
      </c>
      <c r="I543" s="30"/>
      <c r="J543" s="30" t="s">
        <v>53</v>
      </c>
      <c r="K543" s="30" t="s">
        <v>4306</v>
      </c>
      <c r="L543" s="30" t="s">
        <v>55</v>
      </c>
      <c r="M543" s="30" t="s">
        <v>4307</v>
      </c>
      <c r="N543" s="30" t="s">
        <v>4343</v>
      </c>
      <c r="O543" s="30" t="s">
        <v>3014</v>
      </c>
      <c r="P543" s="30" t="s">
        <v>4344</v>
      </c>
      <c r="Q543" s="28" t="s">
        <v>4345</v>
      </c>
      <c r="R543" s="30" t="s">
        <v>4346</v>
      </c>
      <c r="S543" s="30" t="s">
        <v>53</v>
      </c>
      <c r="T543" s="30"/>
      <c r="U543" s="28" t="s">
        <v>1929</v>
      </c>
      <c r="V543" s="30" t="s">
        <v>63</v>
      </c>
      <c r="W543" s="30" t="s">
        <v>64</v>
      </c>
      <c r="X543" s="32">
        <v>44256</v>
      </c>
      <c r="Y543" s="32">
        <v>45717</v>
      </c>
      <c r="Z543" s="30" t="s">
        <v>65</v>
      </c>
      <c r="AA543" s="28" t="s">
        <v>66</v>
      </c>
      <c r="AB543" s="28" t="s">
        <v>67</v>
      </c>
      <c r="AC543" s="29"/>
      <c r="AD543" s="28">
        <v>0</v>
      </c>
      <c r="AE543" s="29"/>
      <c r="AF543" s="31"/>
      <c r="AG543" s="30" t="s">
        <v>4303</v>
      </c>
      <c r="AH543" s="28"/>
      <c r="AI543" s="28" t="s">
        <v>53</v>
      </c>
      <c r="AJ543" s="33">
        <v>37313</v>
      </c>
      <c r="AK543" s="28">
        <v>5</v>
      </c>
      <c r="AL543" s="28">
        <v>21</v>
      </c>
      <c r="AM543" s="21"/>
      <c r="AN543" s="27"/>
      <c r="AO543" s="27"/>
      <c r="AP543" s="27"/>
      <c r="AQ543" s="27"/>
    </row>
    <row r="544" spans="1:43" ht="15.75" customHeight="1">
      <c r="A544" s="28">
        <v>8</v>
      </c>
      <c r="B544" s="29" t="s">
        <v>4347</v>
      </c>
      <c r="C544" s="30" t="s">
        <v>4348</v>
      </c>
      <c r="D544" s="31" t="s">
        <v>4349</v>
      </c>
      <c r="E544" s="30" t="s">
        <v>72</v>
      </c>
      <c r="F544" s="30" t="s">
        <v>50</v>
      </c>
      <c r="G544" s="30" t="s">
        <v>51</v>
      </c>
      <c r="H544" s="28" t="s">
        <v>52</v>
      </c>
      <c r="I544" s="30"/>
      <c r="J544" s="30" t="s">
        <v>53</v>
      </c>
      <c r="K544" s="30" t="s">
        <v>4306</v>
      </c>
      <c r="L544" s="30" t="s">
        <v>55</v>
      </c>
      <c r="M544" s="30" t="s">
        <v>4307</v>
      </c>
      <c r="N544" s="30" t="s">
        <v>4350</v>
      </c>
      <c r="O544" s="30" t="s">
        <v>410</v>
      </c>
      <c r="P544" s="30" t="s">
        <v>4351</v>
      </c>
      <c r="Q544" s="28"/>
      <c r="R544" s="30" t="s">
        <v>4352</v>
      </c>
      <c r="S544" s="30" t="s">
        <v>53</v>
      </c>
      <c r="T544" s="30"/>
      <c r="U544" s="28" t="s">
        <v>1732</v>
      </c>
      <c r="V544" s="30" t="s">
        <v>63</v>
      </c>
      <c r="W544" s="30" t="s">
        <v>64</v>
      </c>
      <c r="X544" s="32">
        <v>44378</v>
      </c>
      <c r="Y544" s="32">
        <v>45992</v>
      </c>
      <c r="Z544" s="30" t="s">
        <v>65</v>
      </c>
      <c r="AA544" s="28" t="s">
        <v>66</v>
      </c>
      <c r="AB544" s="28" t="s">
        <v>67</v>
      </c>
      <c r="AC544" s="29"/>
      <c r="AD544" s="28">
        <v>0</v>
      </c>
      <c r="AE544" s="29"/>
      <c r="AF544" s="31"/>
      <c r="AG544" s="30" t="s">
        <v>4303</v>
      </c>
      <c r="AH544" s="28"/>
      <c r="AI544" s="28" t="s">
        <v>53</v>
      </c>
      <c r="AJ544" s="33">
        <v>37852</v>
      </c>
      <c r="AK544" s="28">
        <v>5</v>
      </c>
      <c r="AL544" s="28">
        <v>21</v>
      </c>
      <c r="AM544" s="21"/>
      <c r="AN544" s="27"/>
      <c r="AO544" s="27"/>
      <c r="AP544" s="27"/>
      <c r="AQ544" s="27"/>
    </row>
    <row r="545" spans="1:43" ht="15.75" customHeight="1">
      <c r="A545" s="28">
        <v>9</v>
      </c>
      <c r="B545" s="29" t="s">
        <v>4353</v>
      </c>
      <c r="C545" s="30" t="s">
        <v>4354</v>
      </c>
      <c r="D545" s="31" t="s">
        <v>4355</v>
      </c>
      <c r="E545" s="30" t="s">
        <v>49</v>
      </c>
      <c r="F545" s="30" t="s">
        <v>50</v>
      </c>
      <c r="G545" s="30" t="s">
        <v>51</v>
      </c>
      <c r="H545" s="28" t="s">
        <v>85</v>
      </c>
      <c r="I545" s="30"/>
      <c r="J545" s="30" t="s">
        <v>53</v>
      </c>
      <c r="K545" s="30" t="s">
        <v>4306</v>
      </c>
      <c r="L545" s="30" t="s">
        <v>55</v>
      </c>
      <c r="M545" s="30" t="s">
        <v>4307</v>
      </c>
      <c r="N545" s="30" t="s">
        <v>4356</v>
      </c>
      <c r="O545" s="30" t="s">
        <v>4357</v>
      </c>
      <c r="P545" s="30" t="s">
        <v>4358</v>
      </c>
      <c r="Q545" s="28"/>
      <c r="R545" s="30" t="s">
        <v>4359</v>
      </c>
      <c r="S545" s="30" t="s">
        <v>53</v>
      </c>
      <c r="T545" s="30"/>
      <c r="U545" s="28" t="s">
        <v>1657</v>
      </c>
      <c r="V545" s="30" t="s">
        <v>63</v>
      </c>
      <c r="W545" s="30" t="s">
        <v>64</v>
      </c>
      <c r="X545" s="32">
        <v>44682</v>
      </c>
      <c r="Y545" s="32">
        <v>46143</v>
      </c>
      <c r="Z545" s="30" t="s">
        <v>65</v>
      </c>
      <c r="AA545" s="28" t="s">
        <v>66</v>
      </c>
      <c r="AB545" s="28" t="s">
        <v>67</v>
      </c>
      <c r="AC545" s="29"/>
      <c r="AD545" s="28">
        <v>0</v>
      </c>
      <c r="AE545" s="29"/>
      <c r="AF545" s="31"/>
      <c r="AG545" s="30" t="s">
        <v>4303</v>
      </c>
      <c r="AH545" s="28"/>
      <c r="AI545" s="28" t="s">
        <v>53</v>
      </c>
      <c r="AJ545" s="33">
        <v>37746</v>
      </c>
      <c r="AK545" s="28">
        <v>5</v>
      </c>
      <c r="AL545" s="28">
        <v>20</v>
      </c>
      <c r="AM545" s="21"/>
      <c r="AN545" s="27"/>
      <c r="AO545" s="27"/>
      <c r="AP545" s="27"/>
      <c r="AQ545" s="27"/>
    </row>
    <row r="546" spans="1:43" ht="15.75" customHeight="1">
      <c r="A546" s="28">
        <v>10</v>
      </c>
      <c r="B546" s="29" t="s">
        <v>4360</v>
      </c>
      <c r="C546" s="30" t="s">
        <v>4361</v>
      </c>
      <c r="D546" s="31" t="s">
        <v>4362</v>
      </c>
      <c r="E546" s="30" t="s">
        <v>72</v>
      </c>
      <c r="F546" s="30" t="s">
        <v>50</v>
      </c>
      <c r="G546" s="30" t="s">
        <v>51</v>
      </c>
      <c r="H546" s="28" t="s">
        <v>85</v>
      </c>
      <c r="I546" s="30"/>
      <c r="J546" s="30" t="s">
        <v>53</v>
      </c>
      <c r="K546" s="30" t="s">
        <v>4306</v>
      </c>
      <c r="L546" s="30" t="s">
        <v>55</v>
      </c>
      <c r="M546" s="30" t="s">
        <v>4307</v>
      </c>
      <c r="N546" s="30" t="s">
        <v>4363</v>
      </c>
      <c r="O546" s="30" t="s">
        <v>4364</v>
      </c>
      <c r="P546" s="30" t="s">
        <v>4365</v>
      </c>
      <c r="Q546" s="28"/>
      <c r="R546" s="30" t="s">
        <v>4366</v>
      </c>
      <c r="S546" s="30" t="s">
        <v>53</v>
      </c>
      <c r="T546" s="30"/>
      <c r="U546" s="28" t="s">
        <v>1929</v>
      </c>
      <c r="V546" s="30" t="s">
        <v>63</v>
      </c>
      <c r="W546" s="30" t="s">
        <v>64</v>
      </c>
      <c r="X546" s="32">
        <v>44713</v>
      </c>
      <c r="Y546" s="32">
        <v>46174</v>
      </c>
      <c r="Z546" s="30" t="s">
        <v>65</v>
      </c>
      <c r="AA546" s="28" t="s">
        <v>246</v>
      </c>
      <c r="AB546" s="28" t="s">
        <v>67</v>
      </c>
      <c r="AC546" s="29"/>
      <c r="AD546" s="28">
        <v>0</v>
      </c>
      <c r="AE546" s="29"/>
      <c r="AF546" s="31"/>
      <c r="AG546" s="30" t="s">
        <v>4303</v>
      </c>
      <c r="AH546" s="28"/>
      <c r="AI546" s="28" t="s">
        <v>53</v>
      </c>
      <c r="AJ546" s="33">
        <v>37182</v>
      </c>
      <c r="AK546" s="28">
        <v>5</v>
      </c>
      <c r="AL546" s="28">
        <v>17</v>
      </c>
      <c r="AM546" s="21"/>
      <c r="AN546" s="27"/>
      <c r="AO546" s="27"/>
      <c r="AP546" s="27"/>
      <c r="AQ546" s="27"/>
    </row>
    <row r="547" spans="1:43" ht="15.75" customHeight="1">
      <c r="A547" s="28">
        <v>1</v>
      </c>
      <c r="B547" s="29" t="s">
        <v>4367</v>
      </c>
      <c r="C547" s="30" t="s">
        <v>4368</v>
      </c>
      <c r="D547" s="31" t="s">
        <v>4369</v>
      </c>
      <c r="E547" s="30" t="s">
        <v>72</v>
      </c>
      <c r="F547" s="30" t="s">
        <v>50</v>
      </c>
      <c r="G547" s="30" t="s">
        <v>51</v>
      </c>
      <c r="H547" s="28" t="s">
        <v>52</v>
      </c>
      <c r="I547" s="30"/>
      <c r="J547" s="30" t="s">
        <v>53</v>
      </c>
      <c r="K547" s="30" t="s">
        <v>4370</v>
      </c>
      <c r="L547" s="30" t="s">
        <v>55</v>
      </c>
      <c r="M547" s="30" t="s">
        <v>656</v>
      </c>
      <c r="N547" s="30" t="s">
        <v>4371</v>
      </c>
      <c r="O547" s="30" t="s">
        <v>4372</v>
      </c>
      <c r="P547" s="30" t="s">
        <v>4373</v>
      </c>
      <c r="Q547" s="28"/>
      <c r="R547" s="30" t="s">
        <v>4374</v>
      </c>
      <c r="S547" s="30" t="s">
        <v>53</v>
      </c>
      <c r="T547" s="30"/>
      <c r="U547" s="28" t="s">
        <v>765</v>
      </c>
      <c r="V547" s="30" t="s">
        <v>63</v>
      </c>
      <c r="W547" s="30" t="s">
        <v>1005</v>
      </c>
      <c r="X547" s="32">
        <v>44287</v>
      </c>
      <c r="Y547" s="32">
        <v>45992</v>
      </c>
      <c r="Z547" s="30" t="s">
        <v>65</v>
      </c>
      <c r="AA547" s="28" t="s">
        <v>134</v>
      </c>
      <c r="AB547" s="28" t="s">
        <v>67</v>
      </c>
      <c r="AC547" s="29"/>
      <c r="AD547" s="28">
        <v>0</v>
      </c>
      <c r="AE547" s="29"/>
      <c r="AF547" s="31"/>
      <c r="AG547" s="30" t="s">
        <v>4303</v>
      </c>
      <c r="AH547" s="28"/>
      <c r="AI547" s="28" t="s">
        <v>118</v>
      </c>
      <c r="AJ547" s="33">
        <v>37590</v>
      </c>
      <c r="AK547" s="28">
        <v>5</v>
      </c>
      <c r="AL547" s="28">
        <v>28</v>
      </c>
      <c r="AM547" s="21"/>
      <c r="AN547" s="27"/>
      <c r="AO547" s="27"/>
      <c r="AP547" s="27"/>
      <c r="AQ547" s="27"/>
    </row>
    <row r="548" spans="1:43" ht="15.75" customHeight="1">
      <c r="A548" s="28">
        <v>2</v>
      </c>
      <c r="B548" s="29" t="s">
        <v>4375</v>
      </c>
      <c r="C548" s="30" t="s">
        <v>4376</v>
      </c>
      <c r="D548" s="31" t="s">
        <v>4377</v>
      </c>
      <c r="E548" s="30" t="s">
        <v>49</v>
      </c>
      <c r="F548" s="30" t="s">
        <v>50</v>
      </c>
      <c r="G548" s="30" t="s">
        <v>51</v>
      </c>
      <c r="H548" s="28" t="s">
        <v>52</v>
      </c>
      <c r="I548" s="30"/>
      <c r="J548" s="30" t="s">
        <v>53</v>
      </c>
      <c r="K548" s="30" t="s">
        <v>4378</v>
      </c>
      <c r="L548" s="30" t="s">
        <v>55</v>
      </c>
      <c r="M548" s="30" t="s">
        <v>1573</v>
      </c>
      <c r="N548" s="30" t="s">
        <v>4379</v>
      </c>
      <c r="O548" s="30" t="s">
        <v>4380</v>
      </c>
      <c r="P548" s="30" t="s">
        <v>4381</v>
      </c>
      <c r="Q548" s="28" t="s">
        <v>4382</v>
      </c>
      <c r="R548" s="30" t="s">
        <v>4383</v>
      </c>
      <c r="S548" s="30" t="s">
        <v>53</v>
      </c>
      <c r="T548" s="30"/>
      <c r="U548" s="28" t="s">
        <v>1798</v>
      </c>
      <c r="V548" s="30" t="s">
        <v>63</v>
      </c>
      <c r="W548" s="30" t="s">
        <v>1005</v>
      </c>
      <c r="X548" s="32">
        <v>44197</v>
      </c>
      <c r="Y548" s="32">
        <v>45839</v>
      </c>
      <c r="Z548" s="30" t="s">
        <v>65</v>
      </c>
      <c r="AA548" s="28" t="s">
        <v>134</v>
      </c>
      <c r="AB548" s="28" t="s">
        <v>67</v>
      </c>
      <c r="AC548" s="29"/>
      <c r="AD548" s="28">
        <v>0</v>
      </c>
      <c r="AE548" s="29"/>
      <c r="AF548" s="31"/>
      <c r="AG548" s="30" t="s">
        <v>4303</v>
      </c>
      <c r="AH548" s="28"/>
      <c r="AI548" s="28" t="s">
        <v>118</v>
      </c>
      <c r="AJ548" s="33">
        <v>37462</v>
      </c>
      <c r="AK548" s="28">
        <v>6</v>
      </c>
      <c r="AL548" s="28">
        <v>16</v>
      </c>
      <c r="AM548" s="21"/>
      <c r="AN548" s="27"/>
      <c r="AO548" s="27"/>
      <c r="AP548" s="27"/>
      <c r="AQ548" s="27"/>
    </row>
    <row r="549" spans="1:43" ht="15.75" customHeight="1">
      <c r="A549" s="28">
        <v>3</v>
      </c>
      <c r="B549" s="29" t="s">
        <v>4384</v>
      </c>
      <c r="C549" s="30"/>
      <c r="D549" s="31" t="s">
        <v>4385</v>
      </c>
      <c r="E549" s="30" t="s">
        <v>72</v>
      </c>
      <c r="F549" s="30" t="s">
        <v>50</v>
      </c>
      <c r="G549" s="30" t="s">
        <v>51</v>
      </c>
      <c r="H549" s="28" t="s">
        <v>52</v>
      </c>
      <c r="I549" s="30"/>
      <c r="J549" s="30" t="s">
        <v>53</v>
      </c>
      <c r="K549" s="30" t="s">
        <v>4386</v>
      </c>
      <c r="L549" s="30" t="s">
        <v>55</v>
      </c>
      <c r="M549" s="30" t="s">
        <v>1573</v>
      </c>
      <c r="N549" s="30" t="s">
        <v>4387</v>
      </c>
      <c r="O549" s="30" t="s">
        <v>4134</v>
      </c>
      <c r="P549" s="30" t="s">
        <v>4388</v>
      </c>
      <c r="Q549" s="28"/>
      <c r="R549" s="30" t="s">
        <v>4389</v>
      </c>
      <c r="S549" s="30" t="s">
        <v>53</v>
      </c>
      <c r="T549" s="30"/>
      <c r="U549" s="28" t="s">
        <v>3211</v>
      </c>
      <c r="V549" s="30" t="s">
        <v>63</v>
      </c>
      <c r="W549" s="30" t="s">
        <v>1005</v>
      </c>
      <c r="X549" s="32">
        <v>44044</v>
      </c>
      <c r="Y549" s="32">
        <v>45870</v>
      </c>
      <c r="Z549" s="30" t="s">
        <v>65</v>
      </c>
      <c r="AA549" s="28" t="s">
        <v>134</v>
      </c>
      <c r="AB549" s="28" t="s">
        <v>67</v>
      </c>
      <c r="AC549" s="29"/>
      <c r="AD549" s="28">
        <v>0</v>
      </c>
      <c r="AE549" s="29"/>
      <c r="AF549" s="31"/>
      <c r="AG549" s="30" t="s">
        <v>4303</v>
      </c>
      <c r="AH549" s="28"/>
      <c r="AI549" s="28" t="s">
        <v>118</v>
      </c>
      <c r="AJ549" s="33">
        <v>31555</v>
      </c>
      <c r="AK549" s="28">
        <v>5</v>
      </c>
      <c r="AL549" s="28">
        <v>15</v>
      </c>
      <c r="AM549" s="21"/>
      <c r="AN549" s="27"/>
      <c r="AO549" s="27"/>
      <c r="AP549" s="27"/>
      <c r="AQ549" s="27"/>
    </row>
    <row r="550" spans="1:43" ht="15.75" customHeight="1">
      <c r="A550" s="28">
        <v>1</v>
      </c>
      <c r="B550" s="29" t="s">
        <v>4390</v>
      </c>
      <c r="C550" s="30"/>
      <c r="D550" s="31" t="s">
        <v>4391</v>
      </c>
      <c r="E550" s="30" t="s">
        <v>72</v>
      </c>
      <c r="F550" s="30" t="s">
        <v>50</v>
      </c>
      <c r="G550" s="30" t="s">
        <v>51</v>
      </c>
      <c r="H550" s="28" t="s">
        <v>52</v>
      </c>
      <c r="I550" s="30"/>
      <c r="J550" s="30" t="s">
        <v>53</v>
      </c>
      <c r="K550" s="30" t="s">
        <v>4392</v>
      </c>
      <c r="L550" s="30" t="s">
        <v>55</v>
      </c>
      <c r="M550" s="30" t="s">
        <v>4393</v>
      </c>
      <c r="N550" s="30" t="s">
        <v>4394</v>
      </c>
      <c r="O550" s="30" t="s">
        <v>650</v>
      </c>
      <c r="P550" s="30" t="s">
        <v>4395</v>
      </c>
      <c r="Q550" s="28"/>
      <c r="R550" s="30" t="s">
        <v>4396</v>
      </c>
      <c r="S550" s="30" t="s">
        <v>53</v>
      </c>
      <c r="T550" s="30"/>
      <c r="U550" s="28" t="s">
        <v>4397</v>
      </c>
      <c r="V550" s="30" t="s">
        <v>63</v>
      </c>
      <c r="W550" s="30" t="s">
        <v>64</v>
      </c>
      <c r="X550" s="32">
        <v>44562</v>
      </c>
      <c r="Y550" s="32">
        <v>46722</v>
      </c>
      <c r="Z550" s="30" t="s">
        <v>65</v>
      </c>
      <c r="AA550" s="28" t="s">
        <v>66</v>
      </c>
      <c r="AB550" s="28" t="s">
        <v>67</v>
      </c>
      <c r="AC550" s="29"/>
      <c r="AD550" s="28">
        <v>0</v>
      </c>
      <c r="AE550" s="29"/>
      <c r="AF550" s="31"/>
      <c r="AG550" s="30" t="s">
        <v>4398</v>
      </c>
      <c r="AH550" s="28"/>
      <c r="AI550" s="28" t="s">
        <v>118</v>
      </c>
      <c r="AJ550" s="33">
        <v>38201</v>
      </c>
      <c r="AK550" s="28">
        <v>5</v>
      </c>
      <c r="AL550" s="28">
        <v>21</v>
      </c>
      <c r="AM550" s="21"/>
      <c r="AN550" s="27"/>
      <c r="AO550" s="27"/>
      <c r="AP550" s="27"/>
      <c r="AQ550" s="27"/>
    </row>
    <row r="551" spans="1:43" ht="15.75" customHeight="1">
      <c r="A551" s="28">
        <v>2</v>
      </c>
      <c r="B551" s="29" t="s">
        <v>4399</v>
      </c>
      <c r="C551" s="30" t="s">
        <v>4400</v>
      </c>
      <c r="D551" s="31" t="s">
        <v>4401</v>
      </c>
      <c r="E551" s="30" t="s">
        <v>72</v>
      </c>
      <c r="F551" s="30" t="s">
        <v>50</v>
      </c>
      <c r="G551" s="30" t="s">
        <v>51</v>
      </c>
      <c r="H551" s="28" t="s">
        <v>85</v>
      </c>
      <c r="I551" s="30"/>
      <c r="J551" s="30" t="s">
        <v>53</v>
      </c>
      <c r="K551" s="30" t="s">
        <v>4392</v>
      </c>
      <c r="L551" s="30" t="s">
        <v>55</v>
      </c>
      <c r="M551" s="30" t="s">
        <v>4393</v>
      </c>
      <c r="N551" s="30" t="s">
        <v>4402</v>
      </c>
      <c r="O551" s="30" t="s">
        <v>4403</v>
      </c>
      <c r="P551" s="30" t="s">
        <v>4404</v>
      </c>
      <c r="Q551" s="28"/>
      <c r="R551" s="30" t="s">
        <v>4405</v>
      </c>
      <c r="S551" s="30" t="s">
        <v>53</v>
      </c>
      <c r="T551" s="30"/>
      <c r="U551" s="28" t="s">
        <v>4406</v>
      </c>
      <c r="V551" s="30" t="s">
        <v>63</v>
      </c>
      <c r="W551" s="30" t="s">
        <v>64</v>
      </c>
      <c r="X551" s="32">
        <v>44562</v>
      </c>
      <c r="Y551" s="32">
        <v>46023</v>
      </c>
      <c r="Z551" s="30" t="s">
        <v>65</v>
      </c>
      <c r="AA551" s="28" t="s">
        <v>66</v>
      </c>
      <c r="AB551" s="28" t="s">
        <v>67</v>
      </c>
      <c r="AC551" s="29"/>
      <c r="AD551" s="28">
        <v>0</v>
      </c>
      <c r="AE551" s="29"/>
      <c r="AF551" s="31"/>
      <c r="AG551" s="30" t="s">
        <v>4398</v>
      </c>
      <c r="AH551" s="28"/>
      <c r="AI551" s="28" t="s">
        <v>53</v>
      </c>
      <c r="AJ551" s="33">
        <v>37883</v>
      </c>
      <c r="AK551" s="28">
        <v>5</v>
      </c>
      <c r="AL551" s="28">
        <v>21</v>
      </c>
      <c r="AM551" s="21"/>
      <c r="AN551" s="27"/>
      <c r="AO551" s="27"/>
      <c r="AP551" s="27"/>
      <c r="AQ551" s="27"/>
    </row>
    <row r="552" spans="1:43" ht="15.75" customHeight="1">
      <c r="A552" s="28">
        <v>3</v>
      </c>
      <c r="B552" s="29" t="s">
        <v>4407</v>
      </c>
      <c r="C552" s="30" t="s">
        <v>4408</v>
      </c>
      <c r="D552" s="31" t="s">
        <v>4409</v>
      </c>
      <c r="E552" s="30" t="s">
        <v>72</v>
      </c>
      <c r="F552" s="30" t="s">
        <v>50</v>
      </c>
      <c r="G552" s="30" t="s">
        <v>51</v>
      </c>
      <c r="H552" s="28" t="s">
        <v>52</v>
      </c>
      <c r="I552" s="30"/>
      <c r="J552" s="30" t="s">
        <v>53</v>
      </c>
      <c r="K552" s="30" t="s">
        <v>4392</v>
      </c>
      <c r="L552" s="30" t="s">
        <v>55</v>
      </c>
      <c r="M552" s="30" t="s">
        <v>4393</v>
      </c>
      <c r="N552" s="30" t="s">
        <v>4410</v>
      </c>
      <c r="O552" s="30" t="s">
        <v>4411</v>
      </c>
      <c r="P552" s="30" t="s">
        <v>4412</v>
      </c>
      <c r="Q552" s="28"/>
      <c r="R552" s="30" t="s">
        <v>4413</v>
      </c>
      <c r="S552" s="30" t="s">
        <v>53</v>
      </c>
      <c r="T552" s="30"/>
      <c r="U552" s="28" t="s">
        <v>4414</v>
      </c>
      <c r="V552" s="30" t="s">
        <v>63</v>
      </c>
      <c r="W552" s="30" t="s">
        <v>64</v>
      </c>
      <c r="X552" s="32">
        <v>44562</v>
      </c>
      <c r="Y552" s="32">
        <v>46357</v>
      </c>
      <c r="Z552" s="30" t="s">
        <v>65</v>
      </c>
      <c r="AA552" s="28" t="s">
        <v>66</v>
      </c>
      <c r="AB552" s="28" t="s">
        <v>67</v>
      </c>
      <c r="AC552" s="29"/>
      <c r="AD552" s="28">
        <v>0</v>
      </c>
      <c r="AE552" s="29"/>
      <c r="AF552" s="31"/>
      <c r="AG552" s="30" t="s">
        <v>4398</v>
      </c>
      <c r="AH552" s="28" t="s">
        <v>431</v>
      </c>
      <c r="AI552" s="28" t="s">
        <v>118</v>
      </c>
      <c r="AJ552" s="33">
        <v>38076</v>
      </c>
      <c r="AK552" s="28">
        <v>5</v>
      </c>
      <c r="AL552" s="28">
        <v>19</v>
      </c>
      <c r="AM552" s="21"/>
      <c r="AN552" s="27"/>
      <c r="AO552" s="27"/>
      <c r="AP552" s="27"/>
      <c r="AQ552" s="27"/>
    </row>
    <row r="553" spans="1:43" ht="15.75" customHeight="1">
      <c r="A553" s="28">
        <v>4</v>
      </c>
      <c r="B553" s="29" t="s">
        <v>4415</v>
      </c>
      <c r="C553" s="30"/>
      <c r="D553" s="31" t="s">
        <v>4416</v>
      </c>
      <c r="E553" s="30" t="s">
        <v>49</v>
      </c>
      <c r="F553" s="30" t="s">
        <v>50</v>
      </c>
      <c r="G553" s="30" t="s">
        <v>51</v>
      </c>
      <c r="H553" s="28" t="s">
        <v>85</v>
      </c>
      <c r="I553" s="30"/>
      <c r="J553" s="30" t="s">
        <v>53</v>
      </c>
      <c r="K553" s="30" t="s">
        <v>4392</v>
      </c>
      <c r="L553" s="30" t="s">
        <v>55</v>
      </c>
      <c r="M553" s="30" t="s">
        <v>4393</v>
      </c>
      <c r="N553" s="30" t="s">
        <v>4417</v>
      </c>
      <c r="O553" s="30" t="s">
        <v>3753</v>
      </c>
      <c r="P553" s="30" t="s">
        <v>4418</v>
      </c>
      <c r="Q553" s="28"/>
      <c r="R553" s="30" t="s">
        <v>4419</v>
      </c>
      <c r="S553" s="30" t="s">
        <v>53</v>
      </c>
      <c r="T553" s="30"/>
      <c r="U553" s="28" t="s">
        <v>896</v>
      </c>
      <c r="V553" s="30" t="s">
        <v>63</v>
      </c>
      <c r="W553" s="30" t="s">
        <v>64</v>
      </c>
      <c r="X553" s="32">
        <v>44562</v>
      </c>
      <c r="Y553" s="32">
        <v>46357</v>
      </c>
      <c r="Z553" s="30" t="s">
        <v>65</v>
      </c>
      <c r="AA553" s="28" t="s">
        <v>66</v>
      </c>
      <c r="AB553" s="28" t="s">
        <v>67</v>
      </c>
      <c r="AC553" s="29"/>
      <c r="AD553" s="28">
        <v>0</v>
      </c>
      <c r="AE553" s="29"/>
      <c r="AF553" s="31"/>
      <c r="AG553" s="30" t="s">
        <v>4398</v>
      </c>
      <c r="AH553" s="28"/>
      <c r="AI553" s="28" t="s">
        <v>53</v>
      </c>
      <c r="AJ553" s="33">
        <v>38009</v>
      </c>
      <c r="AK553" s="28">
        <v>5</v>
      </c>
      <c r="AL553" s="28">
        <v>17</v>
      </c>
      <c r="AM553" s="21"/>
      <c r="AN553" s="27"/>
      <c r="AO553" s="27"/>
      <c r="AP553" s="27"/>
      <c r="AQ553" s="27"/>
    </row>
    <row r="554" spans="1:43" ht="15.75" customHeight="1">
      <c r="A554" s="28">
        <v>1</v>
      </c>
      <c r="B554" s="29" t="s">
        <v>4420</v>
      </c>
      <c r="C554" s="30" t="s">
        <v>4421</v>
      </c>
      <c r="D554" s="31" t="s">
        <v>4422</v>
      </c>
      <c r="E554" s="30" t="s">
        <v>72</v>
      </c>
      <c r="F554" s="30" t="s">
        <v>50</v>
      </c>
      <c r="G554" s="30" t="s">
        <v>51</v>
      </c>
      <c r="H554" s="28" t="s">
        <v>52</v>
      </c>
      <c r="I554" s="30"/>
      <c r="J554" s="30" t="s">
        <v>53</v>
      </c>
      <c r="K554" s="30" t="s">
        <v>3798</v>
      </c>
      <c r="L554" s="30" t="s">
        <v>55</v>
      </c>
      <c r="M554" s="30" t="s">
        <v>3799</v>
      </c>
      <c r="N554" s="30" t="s">
        <v>4423</v>
      </c>
      <c r="O554" s="30" t="s">
        <v>4424</v>
      </c>
      <c r="P554" s="30" t="s">
        <v>4425</v>
      </c>
      <c r="Q554" s="28"/>
      <c r="R554" s="30" t="s">
        <v>4426</v>
      </c>
      <c r="S554" s="30" t="s">
        <v>53</v>
      </c>
      <c r="T554" s="30"/>
      <c r="U554" s="28" t="s">
        <v>4427</v>
      </c>
      <c r="V554" s="30" t="s">
        <v>63</v>
      </c>
      <c r="W554" s="30" t="s">
        <v>64</v>
      </c>
      <c r="X554" s="32">
        <v>44197</v>
      </c>
      <c r="Y554" s="32">
        <v>45992</v>
      </c>
      <c r="Z554" s="30" t="s">
        <v>65</v>
      </c>
      <c r="AA554" s="28" t="s">
        <v>66</v>
      </c>
      <c r="AB554" s="28" t="s">
        <v>67</v>
      </c>
      <c r="AC554" s="29"/>
      <c r="AD554" s="28">
        <v>0</v>
      </c>
      <c r="AE554" s="29"/>
      <c r="AF554" s="31"/>
      <c r="AG554" s="30" t="s">
        <v>4428</v>
      </c>
      <c r="AH554" s="28"/>
      <c r="AI554" s="28" t="s">
        <v>118</v>
      </c>
      <c r="AJ554" s="33">
        <v>37557</v>
      </c>
      <c r="AK554" s="28">
        <v>6</v>
      </c>
      <c r="AL554" s="28">
        <v>17</v>
      </c>
      <c r="AM554" s="21"/>
      <c r="AN554" s="27"/>
      <c r="AO554" s="27"/>
      <c r="AP554" s="27"/>
      <c r="AQ554" s="27"/>
    </row>
    <row r="555" spans="1:43" ht="15.75" customHeight="1">
      <c r="A555" s="28">
        <v>2</v>
      </c>
      <c r="B555" s="29" t="s">
        <v>4429</v>
      </c>
      <c r="C555" s="30" t="s">
        <v>4430</v>
      </c>
      <c r="D555" s="31" t="s">
        <v>4431</v>
      </c>
      <c r="E555" s="30" t="s">
        <v>72</v>
      </c>
      <c r="F555" s="30" t="s">
        <v>84</v>
      </c>
      <c r="G555" s="30" t="s">
        <v>51</v>
      </c>
      <c r="H555" s="28" t="s">
        <v>85</v>
      </c>
      <c r="I555" s="30"/>
      <c r="J555" s="30" t="s">
        <v>53</v>
      </c>
      <c r="K555" s="30" t="s">
        <v>3798</v>
      </c>
      <c r="L555" s="30" t="s">
        <v>55</v>
      </c>
      <c r="M555" s="30" t="s">
        <v>3799</v>
      </c>
      <c r="N555" s="30" t="s">
        <v>4432</v>
      </c>
      <c r="O555" s="30" t="s">
        <v>4424</v>
      </c>
      <c r="P555" s="30" t="s">
        <v>4433</v>
      </c>
      <c r="Q555" s="28"/>
      <c r="R555" s="30" t="s">
        <v>4434</v>
      </c>
      <c r="S555" s="30" t="s">
        <v>53</v>
      </c>
      <c r="T555" s="30"/>
      <c r="U555" s="28" t="s">
        <v>2726</v>
      </c>
      <c r="V555" s="30" t="s">
        <v>63</v>
      </c>
      <c r="W555" s="30" t="s">
        <v>64</v>
      </c>
      <c r="X555" s="32">
        <v>42736</v>
      </c>
      <c r="Y555" s="32">
        <v>45444</v>
      </c>
      <c r="Z555" s="30" t="s">
        <v>65</v>
      </c>
      <c r="AA555" s="28" t="s">
        <v>66</v>
      </c>
      <c r="AB555" s="28" t="s">
        <v>67</v>
      </c>
      <c r="AC555" s="29"/>
      <c r="AD555" s="28">
        <v>0</v>
      </c>
      <c r="AE555" s="29"/>
      <c r="AF555" s="31"/>
      <c r="AG555" s="30" t="s">
        <v>4428</v>
      </c>
      <c r="AH555" s="28"/>
      <c r="AI555" s="28" t="s">
        <v>53</v>
      </c>
      <c r="AJ555" s="33">
        <v>35880</v>
      </c>
      <c r="AK555" s="28">
        <v>9</v>
      </c>
      <c r="AL555" s="28">
        <v>16</v>
      </c>
      <c r="AM555" s="21"/>
      <c r="AN555" s="27"/>
      <c r="AO555" s="27"/>
      <c r="AP555" s="27"/>
      <c r="AQ555" s="27"/>
    </row>
    <row r="556" spans="1:43" ht="15.75" customHeight="1">
      <c r="A556" s="28">
        <v>3</v>
      </c>
      <c r="B556" s="29" t="s">
        <v>4435</v>
      </c>
      <c r="C556" s="30"/>
      <c r="D556" s="31" t="s">
        <v>4436</v>
      </c>
      <c r="E556" s="30" t="s">
        <v>72</v>
      </c>
      <c r="F556" s="30" t="s">
        <v>84</v>
      </c>
      <c r="G556" s="30" t="s">
        <v>51</v>
      </c>
      <c r="H556" s="28" t="s">
        <v>85</v>
      </c>
      <c r="I556" s="30"/>
      <c r="J556" s="30" t="s">
        <v>53</v>
      </c>
      <c r="K556" s="30" t="s">
        <v>3798</v>
      </c>
      <c r="L556" s="30" t="s">
        <v>55</v>
      </c>
      <c r="M556" s="30" t="s">
        <v>3799</v>
      </c>
      <c r="N556" s="30" t="s">
        <v>4437</v>
      </c>
      <c r="O556" s="30" t="s">
        <v>4438</v>
      </c>
      <c r="P556" s="30" t="s">
        <v>4439</v>
      </c>
      <c r="Q556" s="28" t="s">
        <v>4440</v>
      </c>
      <c r="R556" s="30" t="s">
        <v>4441</v>
      </c>
      <c r="S556" s="30" t="s">
        <v>53</v>
      </c>
      <c r="T556" s="30"/>
      <c r="U556" s="28" t="s">
        <v>4014</v>
      </c>
      <c r="V556" s="30" t="s">
        <v>63</v>
      </c>
      <c r="W556" s="30" t="s">
        <v>64</v>
      </c>
      <c r="X556" s="32">
        <v>43678</v>
      </c>
      <c r="Y556" s="32">
        <v>45809</v>
      </c>
      <c r="Z556" s="30" t="s">
        <v>65</v>
      </c>
      <c r="AA556" s="28" t="s">
        <v>66</v>
      </c>
      <c r="AB556" s="28" t="s">
        <v>67</v>
      </c>
      <c r="AC556" s="29"/>
      <c r="AD556" s="28">
        <v>0</v>
      </c>
      <c r="AE556" s="29"/>
      <c r="AF556" s="31"/>
      <c r="AG556" s="30" t="s">
        <v>4428</v>
      </c>
      <c r="AH556" s="28"/>
      <c r="AI556" s="28" t="s">
        <v>53</v>
      </c>
      <c r="AJ556" s="33">
        <v>34138</v>
      </c>
      <c r="AK556" s="28">
        <v>7</v>
      </c>
      <c r="AL556" s="28">
        <v>16</v>
      </c>
      <c r="AM556" s="21"/>
      <c r="AN556" s="27"/>
      <c r="AO556" s="27"/>
      <c r="AP556" s="27"/>
      <c r="AQ556" s="27"/>
    </row>
    <row r="557" spans="1:43" ht="15.75" customHeight="1">
      <c r="A557" s="28">
        <v>4</v>
      </c>
      <c r="B557" s="29" t="s">
        <v>4442</v>
      </c>
      <c r="C557" s="30"/>
      <c r="D557" s="31" t="s">
        <v>4443</v>
      </c>
      <c r="E557" s="30" t="s">
        <v>49</v>
      </c>
      <c r="F557" s="30" t="s">
        <v>50</v>
      </c>
      <c r="G557" s="30" t="s">
        <v>51</v>
      </c>
      <c r="H557" s="28" t="s">
        <v>85</v>
      </c>
      <c r="I557" s="30"/>
      <c r="J557" s="30" t="s">
        <v>53</v>
      </c>
      <c r="K557" s="30" t="s">
        <v>3798</v>
      </c>
      <c r="L557" s="30" t="s">
        <v>55</v>
      </c>
      <c r="M557" s="30" t="s">
        <v>3799</v>
      </c>
      <c r="N557" s="30" t="s">
        <v>4444</v>
      </c>
      <c r="O557" s="30" t="s">
        <v>4445</v>
      </c>
      <c r="P557" s="30" t="s">
        <v>4446</v>
      </c>
      <c r="Q557" s="28"/>
      <c r="R557" s="30" t="s">
        <v>4447</v>
      </c>
      <c r="S557" s="30" t="s">
        <v>53</v>
      </c>
      <c r="T557" s="30"/>
      <c r="U557" s="28" t="s">
        <v>2174</v>
      </c>
      <c r="V557" s="30" t="s">
        <v>63</v>
      </c>
      <c r="W557" s="30" t="s">
        <v>64</v>
      </c>
      <c r="X557" s="32">
        <v>44197</v>
      </c>
      <c r="Y557" s="32">
        <v>45992</v>
      </c>
      <c r="Z557" s="30" t="s">
        <v>65</v>
      </c>
      <c r="AA557" s="28" t="s">
        <v>66</v>
      </c>
      <c r="AB557" s="28" t="s">
        <v>67</v>
      </c>
      <c r="AC557" s="29"/>
      <c r="AD557" s="28">
        <v>0</v>
      </c>
      <c r="AE557" s="29"/>
      <c r="AF557" s="31"/>
      <c r="AG557" s="30" t="s">
        <v>4428</v>
      </c>
      <c r="AH557" s="28"/>
      <c r="AI557" s="28" t="s">
        <v>53</v>
      </c>
      <c r="AJ557" s="33">
        <v>37461</v>
      </c>
      <c r="AK557" s="28">
        <v>6</v>
      </c>
      <c r="AL557" s="28">
        <v>15</v>
      </c>
      <c r="AM557" s="21"/>
      <c r="AN557" s="27"/>
      <c r="AO557" s="27"/>
      <c r="AP557" s="27"/>
      <c r="AQ557" s="27"/>
    </row>
    <row r="558" spans="1:43" ht="15.75" customHeight="1">
      <c r="A558" s="28">
        <v>1</v>
      </c>
      <c r="B558" s="29" t="s">
        <v>4448</v>
      </c>
      <c r="C558" s="30"/>
      <c r="D558" s="31" t="s">
        <v>4449</v>
      </c>
      <c r="E558" s="30" t="s">
        <v>72</v>
      </c>
      <c r="F558" s="30" t="s">
        <v>50</v>
      </c>
      <c r="G558" s="30" t="s">
        <v>51</v>
      </c>
      <c r="H558" s="28" t="s">
        <v>85</v>
      </c>
      <c r="I558" s="30"/>
      <c r="J558" s="30" t="s">
        <v>53</v>
      </c>
      <c r="K558" s="30" t="s">
        <v>4450</v>
      </c>
      <c r="L558" s="30" t="s">
        <v>55</v>
      </c>
      <c r="M558" s="30" t="s">
        <v>4451</v>
      </c>
      <c r="N558" s="30" t="s">
        <v>4452</v>
      </c>
      <c r="O558" s="30" t="s">
        <v>1470</v>
      </c>
      <c r="P558" s="30" t="s">
        <v>4453</v>
      </c>
      <c r="Q558" s="28"/>
      <c r="R558" s="30" t="s">
        <v>4454</v>
      </c>
      <c r="S558" s="30" t="s">
        <v>53</v>
      </c>
      <c r="T558" s="30"/>
      <c r="U558" s="28" t="s">
        <v>4455</v>
      </c>
      <c r="V558" s="30" t="s">
        <v>63</v>
      </c>
      <c r="W558" s="30" t="s">
        <v>80</v>
      </c>
      <c r="X558" s="32">
        <v>44256</v>
      </c>
      <c r="Y558" s="32">
        <v>45261</v>
      </c>
      <c r="Z558" s="30" t="s">
        <v>65</v>
      </c>
      <c r="AA558" s="28" t="s">
        <v>66</v>
      </c>
      <c r="AB558" s="28" t="s">
        <v>67</v>
      </c>
      <c r="AC558" s="29"/>
      <c r="AD558" s="28">
        <v>0</v>
      </c>
      <c r="AE558" s="29"/>
      <c r="AF558" s="31"/>
      <c r="AG558" s="30" t="s">
        <v>4456</v>
      </c>
      <c r="AH558" s="28"/>
      <c r="AI558" s="28" t="s">
        <v>53</v>
      </c>
      <c r="AJ558" s="33">
        <v>37316</v>
      </c>
      <c r="AK558" s="28">
        <v>4</v>
      </c>
      <c r="AL558" s="28">
        <v>20</v>
      </c>
      <c r="AM558" s="21"/>
      <c r="AN558" s="27"/>
      <c r="AO558" s="27"/>
      <c r="AP558" s="27"/>
      <c r="AQ558" s="27"/>
    </row>
    <row r="559" spans="1:43" ht="15.75" customHeight="1">
      <c r="A559" s="28">
        <v>1</v>
      </c>
      <c r="B559" s="29" t="s">
        <v>4457</v>
      </c>
      <c r="C559" s="30"/>
      <c r="D559" s="31" t="s">
        <v>4458</v>
      </c>
      <c r="E559" s="30" t="s">
        <v>49</v>
      </c>
      <c r="F559" s="30" t="s">
        <v>50</v>
      </c>
      <c r="G559" s="30" t="s">
        <v>51</v>
      </c>
      <c r="H559" s="28" t="s">
        <v>52</v>
      </c>
      <c r="I559" s="30"/>
      <c r="J559" s="30" t="s">
        <v>53</v>
      </c>
      <c r="K559" s="30" t="s">
        <v>4459</v>
      </c>
      <c r="L559" s="30" t="s">
        <v>55</v>
      </c>
      <c r="M559" s="30" t="s">
        <v>3244</v>
      </c>
      <c r="N559" s="30" t="s">
        <v>4460</v>
      </c>
      <c r="O559" s="30" t="s">
        <v>4461</v>
      </c>
      <c r="P559" s="30" t="s">
        <v>4462</v>
      </c>
      <c r="Q559" s="28"/>
      <c r="R559" s="30" t="s">
        <v>4463</v>
      </c>
      <c r="S559" s="30" t="s">
        <v>53</v>
      </c>
      <c r="T559" s="30"/>
      <c r="U559" s="28" t="s">
        <v>1598</v>
      </c>
      <c r="V559" s="30" t="s">
        <v>63</v>
      </c>
      <c r="W559" s="30" t="s">
        <v>80</v>
      </c>
      <c r="X559" s="32">
        <v>44621</v>
      </c>
      <c r="Y559" s="32">
        <v>46082</v>
      </c>
      <c r="Z559" s="30" t="s">
        <v>65</v>
      </c>
      <c r="AA559" s="28" t="s">
        <v>66</v>
      </c>
      <c r="AB559" s="28" t="s">
        <v>67</v>
      </c>
      <c r="AC559" s="29"/>
      <c r="AD559" s="28">
        <v>0</v>
      </c>
      <c r="AE559" s="29"/>
      <c r="AF559" s="31"/>
      <c r="AG559" s="30" t="s">
        <v>4464</v>
      </c>
      <c r="AH559" s="28" t="s">
        <v>431</v>
      </c>
      <c r="AI559" s="28" t="s">
        <v>53</v>
      </c>
      <c r="AJ559" s="33">
        <v>37640</v>
      </c>
      <c r="AK559" s="28">
        <v>4</v>
      </c>
      <c r="AL559" s="28">
        <v>21</v>
      </c>
      <c r="AM559" s="21"/>
      <c r="AN559" s="27"/>
      <c r="AO559" s="27"/>
      <c r="AP559" s="27"/>
      <c r="AQ559" s="27"/>
    </row>
    <row r="560" spans="1:43" ht="15.75" customHeight="1">
      <c r="A560" s="28">
        <v>1</v>
      </c>
      <c r="B560" s="29" t="s">
        <v>4465</v>
      </c>
      <c r="C560" s="30" t="s">
        <v>4466</v>
      </c>
      <c r="D560" s="31" t="s">
        <v>4467</v>
      </c>
      <c r="E560" s="30" t="s">
        <v>72</v>
      </c>
      <c r="F560" s="30" t="s">
        <v>50</v>
      </c>
      <c r="G560" s="30" t="s">
        <v>51</v>
      </c>
      <c r="H560" s="28" t="s">
        <v>85</v>
      </c>
      <c r="I560" s="30"/>
      <c r="J560" s="30" t="s">
        <v>53</v>
      </c>
      <c r="K560" s="30" t="s">
        <v>4468</v>
      </c>
      <c r="L560" s="30" t="s">
        <v>55</v>
      </c>
      <c r="M560" s="30" t="s">
        <v>3244</v>
      </c>
      <c r="N560" s="30" t="s">
        <v>4469</v>
      </c>
      <c r="O560" s="30" t="s">
        <v>4470</v>
      </c>
      <c r="P560" s="30" t="s">
        <v>4471</v>
      </c>
      <c r="Q560" s="28" t="s">
        <v>4472</v>
      </c>
      <c r="R560" s="30" t="s">
        <v>4473</v>
      </c>
      <c r="S560" s="30" t="s">
        <v>53</v>
      </c>
      <c r="T560" s="30"/>
      <c r="U560" s="28" t="s">
        <v>4474</v>
      </c>
      <c r="V560" s="30" t="s">
        <v>63</v>
      </c>
      <c r="W560" s="30" t="s">
        <v>64</v>
      </c>
      <c r="X560" s="32">
        <v>44562</v>
      </c>
      <c r="Y560" s="32">
        <v>46357</v>
      </c>
      <c r="Z560" s="30" t="s">
        <v>65</v>
      </c>
      <c r="AA560" s="28" t="s">
        <v>134</v>
      </c>
      <c r="AB560" s="28" t="s">
        <v>67</v>
      </c>
      <c r="AC560" s="29"/>
      <c r="AD560" s="28">
        <v>0</v>
      </c>
      <c r="AE560" s="29"/>
      <c r="AF560" s="31"/>
      <c r="AG560" s="30" t="s">
        <v>4464</v>
      </c>
      <c r="AH560" s="28"/>
      <c r="AI560" s="28" t="s">
        <v>53</v>
      </c>
      <c r="AJ560" s="33">
        <v>38102</v>
      </c>
      <c r="AK560" s="28">
        <v>5</v>
      </c>
      <c r="AL560" s="28">
        <v>22</v>
      </c>
      <c r="AM560" s="21"/>
      <c r="AN560" s="27"/>
      <c r="AO560" s="27"/>
      <c r="AP560" s="27"/>
      <c r="AQ560" s="27"/>
    </row>
    <row r="561" spans="1:43" ht="15.75" customHeight="1">
      <c r="A561" s="28">
        <v>2</v>
      </c>
      <c r="B561" s="29" t="s">
        <v>4475</v>
      </c>
      <c r="C561" s="30" t="s">
        <v>4476</v>
      </c>
      <c r="D561" s="31" t="s">
        <v>4477</v>
      </c>
      <c r="E561" s="30" t="s">
        <v>72</v>
      </c>
      <c r="F561" s="30" t="s">
        <v>50</v>
      </c>
      <c r="G561" s="30" t="s">
        <v>51</v>
      </c>
      <c r="H561" s="28" t="s">
        <v>85</v>
      </c>
      <c r="I561" s="30"/>
      <c r="J561" s="30" t="s">
        <v>53</v>
      </c>
      <c r="K561" s="30" t="s">
        <v>4478</v>
      </c>
      <c r="L561" s="30" t="s">
        <v>55</v>
      </c>
      <c r="M561" s="30" t="s">
        <v>3244</v>
      </c>
      <c r="N561" s="30" t="s">
        <v>4479</v>
      </c>
      <c r="O561" s="30" t="s">
        <v>4480</v>
      </c>
      <c r="P561" s="30" t="s">
        <v>4481</v>
      </c>
      <c r="Q561" s="28"/>
      <c r="R561" s="30" t="s">
        <v>4482</v>
      </c>
      <c r="S561" s="30" t="s">
        <v>53</v>
      </c>
      <c r="T561" s="30"/>
      <c r="U561" s="28" t="s">
        <v>3250</v>
      </c>
      <c r="V561" s="30" t="s">
        <v>63</v>
      </c>
      <c r="W561" s="30" t="s">
        <v>64</v>
      </c>
      <c r="X561" s="32">
        <v>44593</v>
      </c>
      <c r="Y561" s="32">
        <v>46357</v>
      </c>
      <c r="Z561" s="30" t="s">
        <v>65</v>
      </c>
      <c r="AA561" s="28" t="s">
        <v>66</v>
      </c>
      <c r="AB561" s="28" t="s">
        <v>67</v>
      </c>
      <c r="AC561" s="29"/>
      <c r="AD561" s="28">
        <v>0</v>
      </c>
      <c r="AE561" s="29"/>
      <c r="AF561" s="31"/>
      <c r="AG561" s="30" t="s">
        <v>4464</v>
      </c>
      <c r="AH561" s="28"/>
      <c r="AI561" s="28" t="s">
        <v>53</v>
      </c>
      <c r="AJ561" s="33">
        <v>37929</v>
      </c>
      <c r="AK561" s="28">
        <v>5</v>
      </c>
      <c r="AL561" s="28">
        <v>21</v>
      </c>
      <c r="AM561" s="21"/>
      <c r="AN561" s="27"/>
      <c r="AO561" s="27"/>
      <c r="AP561" s="27"/>
      <c r="AQ561" s="27"/>
    </row>
    <row r="562" spans="1:43" ht="15.75" customHeight="1">
      <c r="A562" s="28">
        <v>3</v>
      </c>
      <c r="B562" s="29" t="s">
        <v>4483</v>
      </c>
      <c r="C562" s="30" t="s">
        <v>4484</v>
      </c>
      <c r="D562" s="31" t="s">
        <v>4485</v>
      </c>
      <c r="E562" s="30" t="s">
        <v>72</v>
      </c>
      <c r="F562" s="30" t="s">
        <v>50</v>
      </c>
      <c r="G562" s="30" t="s">
        <v>51</v>
      </c>
      <c r="H562" s="28" t="s">
        <v>85</v>
      </c>
      <c r="I562" s="30"/>
      <c r="J562" s="30" t="s">
        <v>53</v>
      </c>
      <c r="K562" s="30" t="s">
        <v>4486</v>
      </c>
      <c r="L562" s="30" t="s">
        <v>55</v>
      </c>
      <c r="M562" s="30" t="s">
        <v>3244</v>
      </c>
      <c r="N562" s="30" t="s">
        <v>4487</v>
      </c>
      <c r="O562" s="30" t="s">
        <v>4488</v>
      </c>
      <c r="P562" s="30" t="s">
        <v>4489</v>
      </c>
      <c r="Q562" s="28" t="s">
        <v>4490</v>
      </c>
      <c r="R562" s="30" t="s">
        <v>4491</v>
      </c>
      <c r="S562" s="30" t="s">
        <v>53</v>
      </c>
      <c r="T562" s="30"/>
      <c r="U562" s="28" t="s">
        <v>3368</v>
      </c>
      <c r="V562" s="30" t="s">
        <v>63</v>
      </c>
      <c r="W562" s="30" t="s">
        <v>64</v>
      </c>
      <c r="X562" s="32">
        <v>44228</v>
      </c>
      <c r="Y562" s="32">
        <v>45992</v>
      </c>
      <c r="Z562" s="30" t="s">
        <v>65</v>
      </c>
      <c r="AA562" s="28" t="s">
        <v>66</v>
      </c>
      <c r="AB562" s="28" t="s">
        <v>67</v>
      </c>
      <c r="AC562" s="29"/>
      <c r="AD562" s="28">
        <v>0</v>
      </c>
      <c r="AE562" s="29"/>
      <c r="AF562" s="31"/>
      <c r="AG562" s="30" t="s">
        <v>4464</v>
      </c>
      <c r="AH562" s="28"/>
      <c r="AI562" s="28" t="s">
        <v>118</v>
      </c>
      <c r="AJ562" s="33">
        <v>37146</v>
      </c>
      <c r="AK562" s="28">
        <v>5</v>
      </c>
      <c r="AL562" s="28">
        <v>15</v>
      </c>
      <c r="AM562" s="21"/>
      <c r="AN562" s="27"/>
      <c r="AO562" s="27"/>
      <c r="AP562" s="27"/>
      <c r="AQ562" s="27"/>
    </row>
    <row r="563" spans="1:43" ht="15.75" customHeight="1">
      <c r="A563" s="28">
        <v>1</v>
      </c>
      <c r="B563" s="29" t="s">
        <v>4492</v>
      </c>
      <c r="C563" s="30" t="s">
        <v>4493</v>
      </c>
      <c r="D563" s="31" t="s">
        <v>4494</v>
      </c>
      <c r="E563" s="30" t="s">
        <v>49</v>
      </c>
      <c r="F563" s="30" t="s">
        <v>50</v>
      </c>
      <c r="G563" s="30" t="s">
        <v>51</v>
      </c>
      <c r="H563" s="28" t="s">
        <v>85</v>
      </c>
      <c r="I563" s="30"/>
      <c r="J563" s="30" t="s">
        <v>53</v>
      </c>
      <c r="K563" s="30" t="s">
        <v>4495</v>
      </c>
      <c r="L563" s="30" t="s">
        <v>55</v>
      </c>
      <c r="M563" s="30" t="s">
        <v>4496</v>
      </c>
      <c r="N563" s="30" t="s">
        <v>4497</v>
      </c>
      <c r="O563" s="30" t="s">
        <v>4498</v>
      </c>
      <c r="P563" s="30" t="s">
        <v>4499</v>
      </c>
      <c r="Q563" s="28" t="s">
        <v>4500</v>
      </c>
      <c r="R563" s="30" t="s">
        <v>4501</v>
      </c>
      <c r="S563" s="30" t="s">
        <v>53</v>
      </c>
      <c r="T563" s="30"/>
      <c r="U563" s="28" t="s">
        <v>255</v>
      </c>
      <c r="V563" s="30" t="s">
        <v>63</v>
      </c>
      <c r="W563" s="30" t="s">
        <v>64</v>
      </c>
      <c r="X563" s="32">
        <v>44652</v>
      </c>
      <c r="Y563" s="32">
        <v>45261</v>
      </c>
      <c r="Z563" s="30" t="s">
        <v>65</v>
      </c>
      <c r="AA563" s="28" t="s">
        <v>134</v>
      </c>
      <c r="AB563" s="28" t="s">
        <v>67</v>
      </c>
      <c r="AC563" s="29"/>
      <c r="AD563" s="28">
        <v>0</v>
      </c>
      <c r="AE563" s="29"/>
      <c r="AF563" s="31"/>
      <c r="AG563" s="30" t="s">
        <v>4502</v>
      </c>
      <c r="AH563" s="28"/>
      <c r="AI563" s="28" t="s">
        <v>53</v>
      </c>
      <c r="AJ563" s="33">
        <v>37537</v>
      </c>
      <c r="AK563" s="28">
        <v>5</v>
      </c>
      <c r="AL563" s="28">
        <v>22</v>
      </c>
      <c r="AM563" s="21"/>
      <c r="AN563" s="27"/>
      <c r="AO563" s="27"/>
      <c r="AP563" s="27"/>
      <c r="AQ563" s="27"/>
    </row>
    <row r="564" spans="1:43" ht="15.75" customHeight="1">
      <c r="A564" s="34">
        <v>2</v>
      </c>
      <c r="B564" s="35" t="s">
        <v>4503</v>
      </c>
      <c r="C564" s="36"/>
      <c r="D564" s="37" t="s">
        <v>4504</v>
      </c>
      <c r="E564" s="36" t="s">
        <v>72</v>
      </c>
      <c r="F564" s="36" t="s">
        <v>50</v>
      </c>
      <c r="G564" s="36" t="s">
        <v>51</v>
      </c>
      <c r="H564" s="34" t="s">
        <v>85</v>
      </c>
      <c r="I564" s="36"/>
      <c r="J564" s="36" t="s">
        <v>53</v>
      </c>
      <c r="K564" s="36" t="s">
        <v>4495</v>
      </c>
      <c r="L564" s="36" t="s">
        <v>55</v>
      </c>
      <c r="M564" s="36" t="s">
        <v>4496</v>
      </c>
      <c r="N564" s="36" t="s">
        <v>4505</v>
      </c>
      <c r="O564" s="36" t="s">
        <v>4506</v>
      </c>
      <c r="P564" s="36" t="s">
        <v>4507</v>
      </c>
      <c r="Q564" s="34"/>
      <c r="R564" s="36" t="s">
        <v>4508</v>
      </c>
      <c r="S564" s="36" t="s">
        <v>53</v>
      </c>
      <c r="T564" s="36"/>
      <c r="U564" s="34" t="s">
        <v>4509</v>
      </c>
      <c r="V564" s="36" t="s">
        <v>63</v>
      </c>
      <c r="W564" s="36" t="s">
        <v>64</v>
      </c>
      <c r="X564" s="38">
        <v>43862</v>
      </c>
      <c r="Y564" s="38">
        <v>45627</v>
      </c>
      <c r="Z564" s="36" t="s">
        <v>65</v>
      </c>
      <c r="AA564" s="34" t="s">
        <v>66</v>
      </c>
      <c r="AB564" s="34" t="s">
        <v>67</v>
      </c>
      <c r="AC564" s="35"/>
      <c r="AD564" s="34">
        <v>0</v>
      </c>
      <c r="AE564" s="35"/>
      <c r="AF564" s="37"/>
      <c r="AG564" s="36" t="s">
        <v>4502</v>
      </c>
      <c r="AH564" s="34"/>
      <c r="AI564" s="34" t="s">
        <v>53</v>
      </c>
      <c r="AJ564" s="39">
        <v>36846</v>
      </c>
      <c r="AK564" s="34">
        <v>8</v>
      </c>
      <c r="AL564" s="34">
        <v>21</v>
      </c>
      <c r="AM564" s="40" t="s">
        <v>325</v>
      </c>
      <c r="AN564" s="41"/>
      <c r="AO564" s="41"/>
      <c r="AP564" s="41"/>
      <c r="AQ564" s="41"/>
    </row>
    <row r="565" spans="1:43" ht="15.75" customHeight="1">
      <c r="A565" s="28">
        <v>1</v>
      </c>
      <c r="B565" s="29" t="s">
        <v>4510</v>
      </c>
      <c r="C565" s="30"/>
      <c r="D565" s="31" t="s">
        <v>4511</v>
      </c>
      <c r="E565" s="30" t="s">
        <v>49</v>
      </c>
      <c r="F565" s="30" t="s">
        <v>50</v>
      </c>
      <c r="G565" s="30" t="s">
        <v>51</v>
      </c>
      <c r="H565" s="28" t="s">
        <v>85</v>
      </c>
      <c r="I565" s="30"/>
      <c r="J565" s="30" t="s">
        <v>53</v>
      </c>
      <c r="K565" s="30" t="s">
        <v>4512</v>
      </c>
      <c r="L565" s="30" t="s">
        <v>55</v>
      </c>
      <c r="M565" s="30" t="s">
        <v>4513</v>
      </c>
      <c r="N565" s="30" t="s">
        <v>4514</v>
      </c>
      <c r="O565" s="30" t="s">
        <v>4515</v>
      </c>
      <c r="P565" s="30" t="s">
        <v>4516</v>
      </c>
      <c r="Q565" s="28" t="s">
        <v>4517</v>
      </c>
      <c r="R565" s="30" t="s">
        <v>4518</v>
      </c>
      <c r="S565" s="30" t="s">
        <v>53</v>
      </c>
      <c r="T565" s="30"/>
      <c r="U565" s="28" t="s">
        <v>557</v>
      </c>
      <c r="V565" s="30" t="s">
        <v>63</v>
      </c>
      <c r="W565" s="30" t="s">
        <v>64</v>
      </c>
      <c r="X565" s="32">
        <v>44197</v>
      </c>
      <c r="Y565" s="32">
        <v>45992</v>
      </c>
      <c r="Z565" s="30" t="s">
        <v>65</v>
      </c>
      <c r="AA565" s="28" t="s">
        <v>134</v>
      </c>
      <c r="AB565" s="28" t="s">
        <v>67</v>
      </c>
      <c r="AC565" s="29"/>
      <c r="AD565" s="28">
        <v>0</v>
      </c>
      <c r="AE565" s="29"/>
      <c r="AF565" s="31"/>
      <c r="AG565" s="30" t="s">
        <v>4519</v>
      </c>
      <c r="AH565" s="28"/>
      <c r="AI565" s="28" t="s">
        <v>53</v>
      </c>
      <c r="AJ565" s="33">
        <v>37608</v>
      </c>
      <c r="AK565" s="28">
        <v>6</v>
      </c>
      <c r="AL565" s="28">
        <v>27</v>
      </c>
      <c r="AM565" s="21"/>
      <c r="AN565" s="27"/>
      <c r="AO565" s="27"/>
      <c r="AP565" s="27"/>
      <c r="AQ565" s="27"/>
    </row>
    <row r="566" spans="1:43" ht="15.75" customHeight="1">
      <c r="A566" s="28">
        <v>2</v>
      </c>
      <c r="B566" s="29" t="s">
        <v>4520</v>
      </c>
      <c r="C566" s="30"/>
      <c r="D566" s="31" t="s">
        <v>4521</v>
      </c>
      <c r="E566" s="30" t="s">
        <v>72</v>
      </c>
      <c r="F566" s="30" t="s">
        <v>50</v>
      </c>
      <c r="G566" s="30" t="s">
        <v>51</v>
      </c>
      <c r="H566" s="28" t="s">
        <v>1121</v>
      </c>
      <c r="I566" s="30"/>
      <c r="J566" s="30" t="s">
        <v>53</v>
      </c>
      <c r="K566" s="30" t="s">
        <v>4512</v>
      </c>
      <c r="L566" s="30" t="s">
        <v>55</v>
      </c>
      <c r="M566" s="30" t="s">
        <v>4513</v>
      </c>
      <c r="N566" s="30" t="s">
        <v>4522</v>
      </c>
      <c r="O566" s="30" t="s">
        <v>4523</v>
      </c>
      <c r="P566" s="30" t="s">
        <v>4524</v>
      </c>
      <c r="Q566" s="28" t="s">
        <v>4525</v>
      </c>
      <c r="R566" s="30" t="s">
        <v>4526</v>
      </c>
      <c r="S566" s="30" t="s">
        <v>53</v>
      </c>
      <c r="T566" s="30"/>
      <c r="U566" s="28" t="s">
        <v>4527</v>
      </c>
      <c r="V566" s="30" t="s">
        <v>63</v>
      </c>
      <c r="W566" s="30" t="s">
        <v>64</v>
      </c>
      <c r="X566" s="32">
        <v>44197</v>
      </c>
      <c r="Y566" s="32">
        <v>45658</v>
      </c>
      <c r="Z566" s="30" t="s">
        <v>65</v>
      </c>
      <c r="AA566" s="28" t="s">
        <v>134</v>
      </c>
      <c r="AB566" s="28" t="s">
        <v>67</v>
      </c>
      <c r="AC566" s="29"/>
      <c r="AD566" s="28">
        <v>0</v>
      </c>
      <c r="AE566" s="29"/>
      <c r="AF566" s="31"/>
      <c r="AG566" s="30" t="s">
        <v>4519</v>
      </c>
      <c r="AH566" s="28"/>
      <c r="AI566" s="28" t="s">
        <v>53</v>
      </c>
      <c r="AJ566" s="33">
        <v>37571</v>
      </c>
      <c r="AK566" s="28">
        <v>6</v>
      </c>
      <c r="AL566" s="28">
        <v>26</v>
      </c>
      <c r="AM566" s="21"/>
      <c r="AN566" s="27"/>
      <c r="AO566" s="27"/>
      <c r="AP566" s="27"/>
      <c r="AQ566" s="27"/>
    </row>
    <row r="567" spans="1:43" ht="15.75" customHeight="1">
      <c r="A567" s="28">
        <v>3</v>
      </c>
      <c r="B567" s="29" t="s">
        <v>4528</v>
      </c>
      <c r="C567" s="30" t="s">
        <v>4529</v>
      </c>
      <c r="D567" s="31" t="s">
        <v>4530</v>
      </c>
      <c r="E567" s="30" t="s">
        <v>49</v>
      </c>
      <c r="F567" s="30" t="s">
        <v>50</v>
      </c>
      <c r="G567" s="30" t="s">
        <v>51</v>
      </c>
      <c r="H567" s="28" t="s">
        <v>85</v>
      </c>
      <c r="I567" s="30"/>
      <c r="J567" s="30" t="s">
        <v>53</v>
      </c>
      <c r="K567" s="30" t="s">
        <v>4512</v>
      </c>
      <c r="L567" s="30" t="s">
        <v>55</v>
      </c>
      <c r="M567" s="30" t="s">
        <v>4513</v>
      </c>
      <c r="N567" s="30" t="s">
        <v>4531</v>
      </c>
      <c r="O567" s="30" t="s">
        <v>4515</v>
      </c>
      <c r="P567" s="30" t="s">
        <v>4532</v>
      </c>
      <c r="Q567" s="28" t="s">
        <v>4533</v>
      </c>
      <c r="R567" s="30" t="s">
        <v>4534</v>
      </c>
      <c r="S567" s="30" t="s">
        <v>53</v>
      </c>
      <c r="T567" s="30"/>
      <c r="U567" s="28" t="s">
        <v>255</v>
      </c>
      <c r="V567" s="30" t="s">
        <v>63</v>
      </c>
      <c r="W567" s="30" t="s">
        <v>64</v>
      </c>
      <c r="X567" s="32">
        <v>44197</v>
      </c>
      <c r="Y567" s="32">
        <v>45992</v>
      </c>
      <c r="Z567" s="30" t="s">
        <v>65</v>
      </c>
      <c r="AA567" s="28" t="s">
        <v>134</v>
      </c>
      <c r="AB567" s="28" t="s">
        <v>67</v>
      </c>
      <c r="AC567" s="29"/>
      <c r="AD567" s="28">
        <v>0</v>
      </c>
      <c r="AE567" s="29"/>
      <c r="AF567" s="31"/>
      <c r="AG567" s="30" t="s">
        <v>4519</v>
      </c>
      <c r="AH567" s="28"/>
      <c r="AI567" s="28" t="s">
        <v>53</v>
      </c>
      <c r="AJ567" s="33">
        <v>37554</v>
      </c>
      <c r="AK567" s="28">
        <v>6</v>
      </c>
      <c r="AL567" s="28">
        <v>25</v>
      </c>
      <c r="AM567" s="21"/>
      <c r="AN567" s="27"/>
      <c r="AO567" s="27"/>
      <c r="AP567" s="27"/>
      <c r="AQ567" s="27"/>
    </row>
    <row r="568" spans="1:43" ht="15.75" customHeight="1">
      <c r="A568" s="28">
        <v>4</v>
      </c>
      <c r="B568" s="29" t="s">
        <v>4535</v>
      </c>
      <c r="C568" s="30"/>
      <c r="D568" s="31" t="s">
        <v>4536</v>
      </c>
      <c r="E568" s="30" t="s">
        <v>72</v>
      </c>
      <c r="F568" s="30" t="s">
        <v>50</v>
      </c>
      <c r="G568" s="30" t="s">
        <v>51</v>
      </c>
      <c r="H568" s="28" t="s">
        <v>85</v>
      </c>
      <c r="I568" s="30"/>
      <c r="J568" s="30" t="s">
        <v>53</v>
      </c>
      <c r="K568" s="30" t="s">
        <v>4512</v>
      </c>
      <c r="L568" s="30" t="s">
        <v>55</v>
      </c>
      <c r="M568" s="30" t="s">
        <v>4513</v>
      </c>
      <c r="N568" s="30" t="s">
        <v>4537</v>
      </c>
      <c r="O568" s="30" t="s">
        <v>668</v>
      </c>
      <c r="P568" s="30" t="s">
        <v>4538</v>
      </c>
      <c r="Q568" s="28" t="s">
        <v>4539</v>
      </c>
      <c r="R568" s="30" t="s">
        <v>4540</v>
      </c>
      <c r="S568" s="30" t="s">
        <v>53</v>
      </c>
      <c r="T568" s="30"/>
      <c r="U568" s="28" t="s">
        <v>255</v>
      </c>
      <c r="V568" s="30" t="s">
        <v>63</v>
      </c>
      <c r="W568" s="30" t="s">
        <v>64</v>
      </c>
      <c r="X568" s="32">
        <v>44197</v>
      </c>
      <c r="Y568" s="32">
        <v>45992</v>
      </c>
      <c r="Z568" s="30" t="s">
        <v>65</v>
      </c>
      <c r="AA568" s="28" t="s">
        <v>134</v>
      </c>
      <c r="AB568" s="28" t="s">
        <v>67</v>
      </c>
      <c r="AC568" s="29"/>
      <c r="AD568" s="28">
        <v>0</v>
      </c>
      <c r="AE568" s="29"/>
      <c r="AF568" s="31"/>
      <c r="AG568" s="30" t="s">
        <v>4519</v>
      </c>
      <c r="AH568" s="28"/>
      <c r="AI568" s="28" t="s">
        <v>53</v>
      </c>
      <c r="AJ568" s="33">
        <v>37694</v>
      </c>
      <c r="AK568" s="28">
        <v>6</v>
      </c>
      <c r="AL568" s="28">
        <v>25</v>
      </c>
      <c r="AM568" s="21"/>
      <c r="AN568" s="27"/>
      <c r="AO568" s="27"/>
      <c r="AP568" s="27"/>
      <c r="AQ568" s="27"/>
    </row>
    <row r="569" spans="1:43" ht="15.75" customHeight="1">
      <c r="A569" s="28">
        <v>5</v>
      </c>
      <c r="B569" s="29" t="s">
        <v>4541</v>
      </c>
      <c r="C569" s="30"/>
      <c r="D569" s="31" t="s">
        <v>4542</v>
      </c>
      <c r="E569" s="30" t="s">
        <v>72</v>
      </c>
      <c r="F569" s="30" t="s">
        <v>50</v>
      </c>
      <c r="G569" s="30" t="s">
        <v>51</v>
      </c>
      <c r="H569" s="28" t="s">
        <v>52</v>
      </c>
      <c r="I569" s="30"/>
      <c r="J569" s="30" t="s">
        <v>53</v>
      </c>
      <c r="K569" s="30" t="s">
        <v>4512</v>
      </c>
      <c r="L569" s="30" t="s">
        <v>55</v>
      </c>
      <c r="M569" s="30" t="s">
        <v>4513</v>
      </c>
      <c r="N569" s="30" t="s">
        <v>4543</v>
      </c>
      <c r="O569" s="30" t="s">
        <v>4523</v>
      </c>
      <c r="P569" s="30" t="s">
        <v>4544</v>
      </c>
      <c r="Q569" s="28"/>
      <c r="R569" s="30" t="s">
        <v>4545</v>
      </c>
      <c r="S569" s="30" t="s">
        <v>53</v>
      </c>
      <c r="T569" s="30"/>
      <c r="U569" s="28" t="s">
        <v>4546</v>
      </c>
      <c r="V569" s="30" t="s">
        <v>63</v>
      </c>
      <c r="W569" s="30" t="s">
        <v>64</v>
      </c>
      <c r="X569" s="32">
        <v>44197</v>
      </c>
      <c r="Y569" s="32">
        <v>46023</v>
      </c>
      <c r="Z569" s="30" t="s">
        <v>65</v>
      </c>
      <c r="AA569" s="28" t="s">
        <v>134</v>
      </c>
      <c r="AB569" s="28" t="s">
        <v>67</v>
      </c>
      <c r="AC569" s="29"/>
      <c r="AD569" s="28">
        <v>0</v>
      </c>
      <c r="AE569" s="29"/>
      <c r="AF569" s="31"/>
      <c r="AG569" s="30" t="s">
        <v>4519</v>
      </c>
      <c r="AH569" s="28"/>
      <c r="AI569" s="28" t="s">
        <v>53</v>
      </c>
      <c r="AJ569" s="33">
        <v>37571</v>
      </c>
      <c r="AK569" s="28">
        <v>6</v>
      </c>
      <c r="AL569" s="28">
        <v>24</v>
      </c>
      <c r="AM569" s="21"/>
      <c r="AN569" s="27"/>
      <c r="AO569" s="27"/>
      <c r="AP569" s="27"/>
      <c r="AQ569" s="27"/>
    </row>
    <row r="570" spans="1:43" ht="15.75" customHeight="1">
      <c r="A570" s="28">
        <v>6</v>
      </c>
      <c r="B570" s="29" t="s">
        <v>4547</v>
      </c>
      <c r="C570" s="30"/>
      <c r="D570" s="31" t="s">
        <v>4548</v>
      </c>
      <c r="E570" s="30" t="s">
        <v>49</v>
      </c>
      <c r="F570" s="30" t="s">
        <v>50</v>
      </c>
      <c r="G570" s="30" t="s">
        <v>51</v>
      </c>
      <c r="H570" s="28" t="s">
        <v>52</v>
      </c>
      <c r="I570" s="30"/>
      <c r="J570" s="30" t="s">
        <v>53</v>
      </c>
      <c r="K570" s="30" t="s">
        <v>4512</v>
      </c>
      <c r="L570" s="30" t="s">
        <v>55</v>
      </c>
      <c r="M570" s="30" t="s">
        <v>4513</v>
      </c>
      <c r="N570" s="30" t="s">
        <v>4549</v>
      </c>
      <c r="O570" s="30" t="s">
        <v>4550</v>
      </c>
      <c r="P570" s="30" t="s">
        <v>4551</v>
      </c>
      <c r="Q570" s="28"/>
      <c r="R570" s="30" t="s">
        <v>4552</v>
      </c>
      <c r="S570" s="30" t="s">
        <v>53</v>
      </c>
      <c r="T570" s="30"/>
      <c r="U570" s="28" t="s">
        <v>4553</v>
      </c>
      <c r="V570" s="30" t="s">
        <v>63</v>
      </c>
      <c r="W570" s="30" t="s">
        <v>64</v>
      </c>
      <c r="X570" s="32">
        <v>44409</v>
      </c>
      <c r="Y570" s="32">
        <v>46204</v>
      </c>
      <c r="Z570" s="30" t="s">
        <v>65</v>
      </c>
      <c r="AA570" s="28" t="s">
        <v>134</v>
      </c>
      <c r="AB570" s="28" t="s">
        <v>67</v>
      </c>
      <c r="AC570" s="29"/>
      <c r="AD570" s="28">
        <v>0</v>
      </c>
      <c r="AE570" s="29"/>
      <c r="AF570" s="31"/>
      <c r="AG570" s="30" t="s">
        <v>4519</v>
      </c>
      <c r="AH570" s="28"/>
      <c r="AI570" s="28" t="s">
        <v>53</v>
      </c>
      <c r="AJ570" s="33">
        <v>34754</v>
      </c>
      <c r="AK570" s="28">
        <v>5</v>
      </c>
      <c r="AL570" s="28">
        <v>23</v>
      </c>
      <c r="AM570" s="21"/>
      <c r="AN570" s="27"/>
      <c r="AO570" s="27"/>
      <c r="AP570" s="27"/>
      <c r="AQ570" s="27"/>
    </row>
    <row r="571" spans="1:43" ht="15.75" customHeight="1">
      <c r="A571" s="28">
        <v>7</v>
      </c>
      <c r="B571" s="29" t="s">
        <v>4554</v>
      </c>
      <c r="C571" s="30"/>
      <c r="D571" s="31" t="s">
        <v>4555</v>
      </c>
      <c r="E571" s="30" t="s">
        <v>72</v>
      </c>
      <c r="F571" s="30" t="s">
        <v>50</v>
      </c>
      <c r="G571" s="30" t="s">
        <v>51</v>
      </c>
      <c r="H571" s="28" t="s">
        <v>85</v>
      </c>
      <c r="I571" s="30"/>
      <c r="J571" s="30" t="s">
        <v>53</v>
      </c>
      <c r="K571" s="30" t="s">
        <v>4512</v>
      </c>
      <c r="L571" s="30" t="s">
        <v>55</v>
      </c>
      <c r="M571" s="30" t="s">
        <v>4513</v>
      </c>
      <c r="N571" s="30" t="s">
        <v>4556</v>
      </c>
      <c r="O571" s="30" t="s">
        <v>58</v>
      </c>
      <c r="P571" s="30" t="s">
        <v>4557</v>
      </c>
      <c r="Q571" s="28"/>
      <c r="R571" s="30" t="s">
        <v>4558</v>
      </c>
      <c r="S571" s="30" t="s">
        <v>53</v>
      </c>
      <c r="T571" s="30"/>
      <c r="U571" s="28" t="s">
        <v>4559</v>
      </c>
      <c r="V571" s="30" t="s">
        <v>63</v>
      </c>
      <c r="W571" s="30" t="s">
        <v>64</v>
      </c>
      <c r="X571" s="32">
        <v>43891</v>
      </c>
      <c r="Y571" s="32">
        <v>45717</v>
      </c>
      <c r="Z571" s="30" t="s">
        <v>65</v>
      </c>
      <c r="AA571" s="28" t="s">
        <v>134</v>
      </c>
      <c r="AB571" s="28" t="s">
        <v>67</v>
      </c>
      <c r="AC571" s="29"/>
      <c r="AD571" s="28">
        <v>0</v>
      </c>
      <c r="AE571" s="29"/>
      <c r="AF571" s="31"/>
      <c r="AG571" s="30" t="s">
        <v>4519</v>
      </c>
      <c r="AH571" s="28"/>
      <c r="AI571" s="28" t="s">
        <v>53</v>
      </c>
      <c r="AJ571" s="33">
        <v>36894</v>
      </c>
      <c r="AK571" s="28">
        <v>8</v>
      </c>
      <c r="AL571" s="28">
        <v>22</v>
      </c>
      <c r="AM571" s="21"/>
      <c r="AN571" s="27"/>
      <c r="AO571" s="27"/>
      <c r="AP571" s="27"/>
      <c r="AQ571" s="27"/>
    </row>
    <row r="572" spans="1:43" ht="15.75" customHeight="1">
      <c r="A572" s="28">
        <v>8</v>
      </c>
      <c r="B572" s="29" t="s">
        <v>4560</v>
      </c>
      <c r="C572" s="30"/>
      <c r="D572" s="31" t="s">
        <v>4561</v>
      </c>
      <c r="E572" s="30" t="s">
        <v>72</v>
      </c>
      <c r="F572" s="30" t="s">
        <v>50</v>
      </c>
      <c r="G572" s="30" t="s">
        <v>51</v>
      </c>
      <c r="H572" s="28" t="s">
        <v>85</v>
      </c>
      <c r="I572" s="30"/>
      <c r="J572" s="30" t="s">
        <v>53</v>
      </c>
      <c r="K572" s="30" t="s">
        <v>4512</v>
      </c>
      <c r="L572" s="30" t="s">
        <v>55</v>
      </c>
      <c r="M572" s="30" t="s">
        <v>4513</v>
      </c>
      <c r="N572" s="30" t="s">
        <v>4562</v>
      </c>
      <c r="O572" s="30" t="s">
        <v>668</v>
      </c>
      <c r="P572" s="30" t="s">
        <v>4563</v>
      </c>
      <c r="Q572" s="28" t="s">
        <v>4564</v>
      </c>
      <c r="R572" s="30" t="s">
        <v>4565</v>
      </c>
      <c r="S572" s="30" t="s">
        <v>53</v>
      </c>
      <c r="T572" s="30"/>
      <c r="U572" s="28" t="s">
        <v>255</v>
      </c>
      <c r="V572" s="30" t="s">
        <v>63</v>
      </c>
      <c r="W572" s="30" t="s">
        <v>64</v>
      </c>
      <c r="X572" s="32">
        <v>44197</v>
      </c>
      <c r="Y572" s="32">
        <v>45689</v>
      </c>
      <c r="Z572" s="30" t="s">
        <v>65</v>
      </c>
      <c r="AA572" s="28" t="s">
        <v>134</v>
      </c>
      <c r="AB572" s="28" t="s">
        <v>67</v>
      </c>
      <c r="AC572" s="29"/>
      <c r="AD572" s="28">
        <v>0</v>
      </c>
      <c r="AE572" s="29"/>
      <c r="AF572" s="31"/>
      <c r="AG572" s="30" t="s">
        <v>4519</v>
      </c>
      <c r="AH572" s="28"/>
      <c r="AI572" s="28" t="s">
        <v>53</v>
      </c>
      <c r="AJ572" s="33">
        <v>37300</v>
      </c>
      <c r="AK572" s="28">
        <v>6</v>
      </c>
      <c r="AL572" s="28">
        <v>21</v>
      </c>
      <c r="AM572" s="21"/>
      <c r="AN572" s="27"/>
      <c r="AO572" s="27"/>
      <c r="AP572" s="27"/>
      <c r="AQ572" s="27"/>
    </row>
    <row r="573" spans="1:43" ht="15.75" customHeight="1">
      <c r="A573" s="28">
        <v>9</v>
      </c>
      <c r="B573" s="29" t="s">
        <v>4566</v>
      </c>
      <c r="C573" s="30"/>
      <c r="D573" s="31" t="s">
        <v>4567</v>
      </c>
      <c r="E573" s="30" t="s">
        <v>72</v>
      </c>
      <c r="F573" s="30" t="s">
        <v>50</v>
      </c>
      <c r="G573" s="30" t="s">
        <v>51</v>
      </c>
      <c r="H573" s="28" t="s">
        <v>52</v>
      </c>
      <c r="I573" s="30"/>
      <c r="J573" s="30" t="s">
        <v>53</v>
      </c>
      <c r="K573" s="30" t="s">
        <v>4512</v>
      </c>
      <c r="L573" s="30" t="s">
        <v>55</v>
      </c>
      <c r="M573" s="30" t="s">
        <v>4513</v>
      </c>
      <c r="N573" s="30" t="s">
        <v>4568</v>
      </c>
      <c r="O573" s="30" t="s">
        <v>4569</v>
      </c>
      <c r="P573" s="30" t="s">
        <v>4570</v>
      </c>
      <c r="Q573" s="28"/>
      <c r="R573" s="30" t="s">
        <v>4571</v>
      </c>
      <c r="S573" s="30" t="s">
        <v>53</v>
      </c>
      <c r="T573" s="30"/>
      <c r="U573" s="28" t="s">
        <v>4572</v>
      </c>
      <c r="V573" s="30" t="s">
        <v>63</v>
      </c>
      <c r="W573" s="30" t="s">
        <v>64</v>
      </c>
      <c r="X573" s="32">
        <v>44197</v>
      </c>
      <c r="Y573" s="32">
        <v>46357</v>
      </c>
      <c r="Z573" s="30" t="s">
        <v>65</v>
      </c>
      <c r="AA573" s="28" t="s">
        <v>66</v>
      </c>
      <c r="AB573" s="28" t="s">
        <v>67</v>
      </c>
      <c r="AC573" s="29"/>
      <c r="AD573" s="28">
        <v>0</v>
      </c>
      <c r="AE573" s="29"/>
      <c r="AF573" s="31"/>
      <c r="AG573" s="30" t="s">
        <v>4519</v>
      </c>
      <c r="AH573" s="28"/>
      <c r="AI573" s="28" t="s">
        <v>118</v>
      </c>
      <c r="AJ573" s="33">
        <v>37530</v>
      </c>
      <c r="AK573" s="28">
        <v>5</v>
      </c>
      <c r="AL573" s="28">
        <v>21</v>
      </c>
      <c r="AM573" s="21"/>
      <c r="AN573" s="27"/>
      <c r="AO573" s="27"/>
      <c r="AP573" s="27"/>
      <c r="AQ573" s="27"/>
    </row>
    <row r="574" spans="1:43" ht="15.75" customHeight="1">
      <c r="A574" s="28">
        <v>10</v>
      </c>
      <c r="B574" s="29" t="s">
        <v>4573</v>
      </c>
      <c r="C574" s="30"/>
      <c r="D574" s="31" t="s">
        <v>4574</v>
      </c>
      <c r="E574" s="30" t="s">
        <v>72</v>
      </c>
      <c r="F574" s="30" t="s">
        <v>50</v>
      </c>
      <c r="G574" s="30" t="s">
        <v>51</v>
      </c>
      <c r="H574" s="28" t="s">
        <v>52</v>
      </c>
      <c r="I574" s="30"/>
      <c r="J574" s="30" t="s">
        <v>53</v>
      </c>
      <c r="K574" s="30" t="s">
        <v>4512</v>
      </c>
      <c r="L574" s="30" t="s">
        <v>55</v>
      </c>
      <c r="M574" s="30" t="s">
        <v>4513</v>
      </c>
      <c r="N574" s="30" t="s">
        <v>4575</v>
      </c>
      <c r="O574" s="30" t="s">
        <v>668</v>
      </c>
      <c r="P574" s="30" t="s">
        <v>4576</v>
      </c>
      <c r="Q574" s="28" t="s">
        <v>4577</v>
      </c>
      <c r="R574" s="30" t="s">
        <v>4578</v>
      </c>
      <c r="S574" s="30" t="s">
        <v>53</v>
      </c>
      <c r="T574" s="30"/>
      <c r="U574" s="28" t="s">
        <v>255</v>
      </c>
      <c r="V574" s="30" t="s">
        <v>63</v>
      </c>
      <c r="W574" s="30" t="s">
        <v>64</v>
      </c>
      <c r="X574" s="32">
        <v>44197</v>
      </c>
      <c r="Y574" s="32">
        <v>45992</v>
      </c>
      <c r="Z574" s="30" t="s">
        <v>65</v>
      </c>
      <c r="AA574" s="28" t="s">
        <v>134</v>
      </c>
      <c r="AB574" s="28" t="s">
        <v>67</v>
      </c>
      <c r="AC574" s="29"/>
      <c r="AD574" s="28">
        <v>0</v>
      </c>
      <c r="AE574" s="29"/>
      <c r="AF574" s="31"/>
      <c r="AG574" s="30" t="s">
        <v>4519</v>
      </c>
      <c r="AH574" s="28"/>
      <c r="AI574" s="28" t="s">
        <v>53</v>
      </c>
      <c r="AJ574" s="33">
        <v>37731</v>
      </c>
      <c r="AK574" s="28">
        <v>6</v>
      </c>
      <c r="AL574" s="28">
        <v>20</v>
      </c>
      <c r="AM574" s="21"/>
      <c r="AN574" s="27"/>
      <c r="AO574" s="27"/>
      <c r="AP574" s="27"/>
      <c r="AQ574" s="27"/>
    </row>
    <row r="575" spans="1:43" ht="15.75" customHeight="1">
      <c r="A575" s="28">
        <v>11</v>
      </c>
      <c r="B575" s="29" t="s">
        <v>4579</v>
      </c>
      <c r="C575" s="30"/>
      <c r="D575" s="31" t="s">
        <v>4580</v>
      </c>
      <c r="E575" s="30" t="s">
        <v>72</v>
      </c>
      <c r="F575" s="30" t="s">
        <v>50</v>
      </c>
      <c r="G575" s="30" t="s">
        <v>51</v>
      </c>
      <c r="H575" s="28" t="s">
        <v>85</v>
      </c>
      <c r="I575" s="30"/>
      <c r="J575" s="30" t="s">
        <v>53</v>
      </c>
      <c r="K575" s="30" t="s">
        <v>4512</v>
      </c>
      <c r="L575" s="30" t="s">
        <v>55</v>
      </c>
      <c r="M575" s="30" t="s">
        <v>4513</v>
      </c>
      <c r="N575" s="30" t="s">
        <v>4581</v>
      </c>
      <c r="O575" s="30" t="s">
        <v>4550</v>
      </c>
      <c r="P575" s="30" t="s">
        <v>4582</v>
      </c>
      <c r="Q575" s="28"/>
      <c r="R575" s="30" t="s">
        <v>4583</v>
      </c>
      <c r="S575" s="30" t="s">
        <v>53</v>
      </c>
      <c r="T575" s="30"/>
      <c r="U575" s="28" t="s">
        <v>4584</v>
      </c>
      <c r="V575" s="30" t="s">
        <v>63</v>
      </c>
      <c r="W575" s="30" t="s">
        <v>64</v>
      </c>
      <c r="X575" s="32">
        <v>44562</v>
      </c>
      <c r="Y575" s="32">
        <v>46388</v>
      </c>
      <c r="Z575" s="30" t="s">
        <v>65</v>
      </c>
      <c r="AA575" s="28" t="s">
        <v>66</v>
      </c>
      <c r="AB575" s="28" t="s">
        <v>67</v>
      </c>
      <c r="AC575" s="29"/>
      <c r="AD575" s="28">
        <v>0</v>
      </c>
      <c r="AE575" s="29"/>
      <c r="AF575" s="31"/>
      <c r="AG575" s="30" t="s">
        <v>4519</v>
      </c>
      <c r="AH575" s="28"/>
      <c r="AI575" s="28" t="s">
        <v>118</v>
      </c>
      <c r="AJ575" s="33">
        <v>38047</v>
      </c>
      <c r="AK575" s="28">
        <v>5</v>
      </c>
      <c r="AL575" s="28">
        <v>15</v>
      </c>
      <c r="AM575" s="21"/>
      <c r="AN575" s="27"/>
      <c r="AO575" s="27"/>
      <c r="AP575" s="27"/>
      <c r="AQ575" s="27"/>
    </row>
    <row r="576" spans="1:43" ht="15.75" customHeight="1">
      <c r="A576" s="28">
        <v>1</v>
      </c>
      <c r="B576" s="29" t="s">
        <v>4585</v>
      </c>
      <c r="C576" s="30"/>
      <c r="D576" s="31" t="s">
        <v>4586</v>
      </c>
      <c r="E576" s="30" t="s">
        <v>49</v>
      </c>
      <c r="F576" s="30" t="s">
        <v>50</v>
      </c>
      <c r="G576" s="30" t="s">
        <v>51</v>
      </c>
      <c r="H576" s="28" t="s">
        <v>85</v>
      </c>
      <c r="I576" s="30"/>
      <c r="J576" s="30" t="s">
        <v>53</v>
      </c>
      <c r="K576" s="30" t="s">
        <v>4512</v>
      </c>
      <c r="L576" s="30" t="s">
        <v>55</v>
      </c>
      <c r="M576" s="30" t="s">
        <v>4513</v>
      </c>
      <c r="N576" s="30" t="s">
        <v>4587</v>
      </c>
      <c r="O576" s="30" t="s">
        <v>4588</v>
      </c>
      <c r="P576" s="30" t="s">
        <v>4589</v>
      </c>
      <c r="Q576" s="28"/>
      <c r="R576" s="30" t="s">
        <v>4590</v>
      </c>
      <c r="S576" s="30" t="s">
        <v>118</v>
      </c>
      <c r="T576" s="30"/>
      <c r="U576" s="28" t="s">
        <v>255</v>
      </c>
      <c r="V576" s="30" t="s">
        <v>63</v>
      </c>
      <c r="W576" s="30" t="s">
        <v>64</v>
      </c>
      <c r="X576" s="32">
        <v>44228</v>
      </c>
      <c r="Y576" s="32">
        <v>45962</v>
      </c>
      <c r="Z576" s="30" t="s">
        <v>65</v>
      </c>
      <c r="AA576" s="28" t="s">
        <v>134</v>
      </c>
      <c r="AB576" s="28" t="s">
        <v>67</v>
      </c>
      <c r="AC576" s="29"/>
      <c r="AD576" s="28">
        <v>0</v>
      </c>
      <c r="AE576" s="29"/>
      <c r="AF576" s="31"/>
      <c r="AG576" s="30" t="s">
        <v>4591</v>
      </c>
      <c r="AH576" s="28"/>
      <c r="AI576" s="28" t="s">
        <v>53</v>
      </c>
      <c r="AJ576" s="33">
        <v>36308</v>
      </c>
      <c r="AK576" s="28">
        <v>6</v>
      </c>
      <c r="AL576" s="28">
        <v>18</v>
      </c>
      <c r="AM576" s="21"/>
      <c r="AN576" s="27"/>
      <c r="AO576" s="27"/>
      <c r="AP576" s="27"/>
      <c r="AQ576" s="27"/>
    </row>
    <row r="577" spans="1:43" ht="15.75" customHeight="1">
      <c r="A577" s="28">
        <v>1</v>
      </c>
      <c r="B577" s="29" t="s">
        <v>4592</v>
      </c>
      <c r="C577" s="30"/>
      <c r="D577" s="31" t="s">
        <v>4593</v>
      </c>
      <c r="E577" s="30" t="s">
        <v>72</v>
      </c>
      <c r="F577" s="30" t="s">
        <v>50</v>
      </c>
      <c r="G577" s="30" t="s">
        <v>51</v>
      </c>
      <c r="H577" s="28" t="s">
        <v>85</v>
      </c>
      <c r="I577" s="30"/>
      <c r="J577" s="30" t="s">
        <v>53</v>
      </c>
      <c r="K577" s="30" t="s">
        <v>4594</v>
      </c>
      <c r="L577" s="30" t="s">
        <v>55</v>
      </c>
      <c r="M577" s="30" t="s">
        <v>4595</v>
      </c>
      <c r="N577" s="30" t="s">
        <v>4596</v>
      </c>
      <c r="O577" s="30" t="s">
        <v>4597</v>
      </c>
      <c r="P577" s="30" t="s">
        <v>4598</v>
      </c>
      <c r="Q577" s="28"/>
      <c r="R577" s="30" t="s">
        <v>4599</v>
      </c>
      <c r="S577" s="30" t="s">
        <v>53</v>
      </c>
      <c r="T577" s="30"/>
      <c r="U577" s="28" t="s">
        <v>4600</v>
      </c>
      <c r="V577" s="30" t="s">
        <v>63</v>
      </c>
      <c r="W577" s="30" t="s">
        <v>80</v>
      </c>
      <c r="X577" s="32">
        <v>44682</v>
      </c>
      <c r="Y577" s="32">
        <v>46143</v>
      </c>
      <c r="Z577" s="30" t="s">
        <v>65</v>
      </c>
      <c r="AA577" s="28" t="s">
        <v>66</v>
      </c>
      <c r="AB577" s="28" t="s">
        <v>67</v>
      </c>
      <c r="AC577" s="29"/>
      <c r="AD577" s="28">
        <v>0</v>
      </c>
      <c r="AE577" s="29"/>
      <c r="AF577" s="31"/>
      <c r="AG577" s="30" t="s">
        <v>4601</v>
      </c>
      <c r="AH577" s="28"/>
      <c r="AI577" s="28" t="s">
        <v>53</v>
      </c>
      <c r="AJ577" s="33">
        <v>38200</v>
      </c>
      <c r="AK577" s="28">
        <v>3</v>
      </c>
      <c r="AL577" s="28">
        <v>24</v>
      </c>
      <c r="AM577" s="21"/>
      <c r="AN577" s="27"/>
      <c r="AO577" s="27"/>
      <c r="AP577" s="27"/>
      <c r="AQ577" s="27"/>
    </row>
    <row r="578" spans="1:43" ht="15.75" customHeight="1">
      <c r="A578" s="28">
        <v>1</v>
      </c>
      <c r="B578" s="29" t="s">
        <v>4602</v>
      </c>
      <c r="C578" s="30" t="s">
        <v>4603</v>
      </c>
      <c r="D578" s="31" t="s">
        <v>4604</v>
      </c>
      <c r="E578" s="30" t="s">
        <v>49</v>
      </c>
      <c r="F578" s="30" t="s">
        <v>50</v>
      </c>
      <c r="G578" s="30" t="s">
        <v>51</v>
      </c>
      <c r="H578" s="28" t="s">
        <v>601</v>
      </c>
      <c r="I578" s="30"/>
      <c r="J578" s="30" t="s">
        <v>53</v>
      </c>
      <c r="K578" s="30" t="s">
        <v>4594</v>
      </c>
      <c r="L578" s="30" t="s">
        <v>55</v>
      </c>
      <c r="M578" s="30" t="s">
        <v>4595</v>
      </c>
      <c r="N578" s="30" t="s">
        <v>4605</v>
      </c>
      <c r="O578" s="30" t="s">
        <v>4606</v>
      </c>
      <c r="P578" s="30" t="s">
        <v>4607</v>
      </c>
      <c r="Q578" s="28"/>
      <c r="R578" s="30" t="s">
        <v>4608</v>
      </c>
      <c r="S578" s="30" t="s">
        <v>53</v>
      </c>
      <c r="T578" s="30"/>
      <c r="U578" s="28" t="s">
        <v>3250</v>
      </c>
      <c r="V578" s="30" t="s">
        <v>63</v>
      </c>
      <c r="W578" s="30" t="s">
        <v>64</v>
      </c>
      <c r="X578" s="32">
        <v>44197</v>
      </c>
      <c r="Y578" s="32">
        <v>45992</v>
      </c>
      <c r="Z578" s="30" t="s">
        <v>65</v>
      </c>
      <c r="AA578" s="28" t="s">
        <v>66</v>
      </c>
      <c r="AB578" s="28" t="s">
        <v>67</v>
      </c>
      <c r="AC578" s="29"/>
      <c r="AD578" s="28">
        <v>0</v>
      </c>
      <c r="AE578" s="29"/>
      <c r="AF578" s="31"/>
      <c r="AG578" s="30" t="s">
        <v>4601</v>
      </c>
      <c r="AH578" s="28"/>
      <c r="AI578" s="28" t="s">
        <v>118</v>
      </c>
      <c r="AJ578" s="33">
        <v>37564</v>
      </c>
      <c r="AK578" s="28">
        <v>6</v>
      </c>
      <c r="AL578" s="28">
        <v>23</v>
      </c>
      <c r="AM578" s="21"/>
      <c r="AN578" s="27"/>
      <c r="AO578" s="27"/>
      <c r="AP578" s="27"/>
      <c r="AQ578" s="27"/>
    </row>
    <row r="579" spans="1:43" ht="15.75" customHeight="1">
      <c r="A579" s="28">
        <v>2</v>
      </c>
      <c r="B579" s="29" t="s">
        <v>4609</v>
      </c>
      <c r="C579" s="30"/>
      <c r="D579" s="31" t="s">
        <v>4610</v>
      </c>
      <c r="E579" s="30" t="s">
        <v>49</v>
      </c>
      <c r="F579" s="30" t="s">
        <v>50</v>
      </c>
      <c r="G579" s="30" t="s">
        <v>51</v>
      </c>
      <c r="H579" s="28" t="s">
        <v>52</v>
      </c>
      <c r="I579" s="30"/>
      <c r="J579" s="30" t="s">
        <v>53</v>
      </c>
      <c r="K579" s="30" t="s">
        <v>4594</v>
      </c>
      <c r="L579" s="30" t="s">
        <v>55</v>
      </c>
      <c r="M579" s="30" t="s">
        <v>4595</v>
      </c>
      <c r="N579" s="30" t="s">
        <v>4611</v>
      </c>
      <c r="O579" s="30" t="s">
        <v>1470</v>
      </c>
      <c r="P579" s="30" t="s">
        <v>4612</v>
      </c>
      <c r="Q579" s="28"/>
      <c r="R579" s="30" t="s">
        <v>4613</v>
      </c>
      <c r="S579" s="30" t="s">
        <v>53</v>
      </c>
      <c r="T579" s="30"/>
      <c r="U579" s="28" t="s">
        <v>4614</v>
      </c>
      <c r="V579" s="30" t="s">
        <v>63</v>
      </c>
      <c r="W579" s="30" t="s">
        <v>64</v>
      </c>
      <c r="X579" s="32">
        <v>44197</v>
      </c>
      <c r="Y579" s="32">
        <v>46357</v>
      </c>
      <c r="Z579" s="30" t="s">
        <v>65</v>
      </c>
      <c r="AA579" s="28" t="s">
        <v>66</v>
      </c>
      <c r="AB579" s="28" t="s">
        <v>67</v>
      </c>
      <c r="AC579" s="29"/>
      <c r="AD579" s="28">
        <v>0</v>
      </c>
      <c r="AE579" s="29"/>
      <c r="AF579" s="31"/>
      <c r="AG579" s="30" t="s">
        <v>4601</v>
      </c>
      <c r="AH579" s="28"/>
      <c r="AI579" s="28" t="s">
        <v>53</v>
      </c>
      <c r="AJ579" s="33">
        <v>38062</v>
      </c>
      <c r="AK579" s="28">
        <v>5</v>
      </c>
      <c r="AL579" s="28">
        <v>18</v>
      </c>
      <c r="AM579" s="21"/>
      <c r="AN579" s="27"/>
      <c r="AO579" s="27"/>
      <c r="AP579" s="27"/>
      <c r="AQ579" s="27"/>
    </row>
    <row r="580" spans="1:43" ht="15.75" customHeight="1">
      <c r="A580" s="28">
        <v>1</v>
      </c>
      <c r="B580" s="29" t="s">
        <v>4615</v>
      </c>
      <c r="C580" s="30"/>
      <c r="D580" s="31" t="s">
        <v>4616</v>
      </c>
      <c r="E580" s="30" t="s">
        <v>72</v>
      </c>
      <c r="F580" s="30" t="s">
        <v>50</v>
      </c>
      <c r="G580" s="30" t="s">
        <v>51</v>
      </c>
      <c r="H580" s="28" t="s">
        <v>85</v>
      </c>
      <c r="I580" s="30"/>
      <c r="J580" s="30" t="s">
        <v>53</v>
      </c>
      <c r="K580" s="30" t="s">
        <v>4617</v>
      </c>
      <c r="L580" s="30" t="s">
        <v>55</v>
      </c>
      <c r="M580" s="30" t="s">
        <v>4618</v>
      </c>
      <c r="N580" s="30" t="s">
        <v>4619</v>
      </c>
      <c r="O580" s="30" t="s">
        <v>58</v>
      </c>
      <c r="P580" s="30" t="s">
        <v>4620</v>
      </c>
      <c r="Q580" s="28" t="s">
        <v>4621</v>
      </c>
      <c r="R580" s="30" t="s">
        <v>4622</v>
      </c>
      <c r="S580" s="30" t="s">
        <v>53</v>
      </c>
      <c r="T580" s="30"/>
      <c r="U580" s="28" t="s">
        <v>308</v>
      </c>
      <c r="V580" s="30" t="s">
        <v>63</v>
      </c>
      <c r="W580" s="30" t="s">
        <v>64</v>
      </c>
      <c r="X580" s="32">
        <v>44562</v>
      </c>
      <c r="Y580" s="32">
        <v>46357</v>
      </c>
      <c r="Z580" s="30" t="s">
        <v>65</v>
      </c>
      <c r="AA580" s="28" t="s">
        <v>66</v>
      </c>
      <c r="AB580" s="28" t="s">
        <v>67</v>
      </c>
      <c r="AC580" s="29"/>
      <c r="AD580" s="28">
        <v>0</v>
      </c>
      <c r="AE580" s="29"/>
      <c r="AF580" s="31"/>
      <c r="AG580" s="30" t="s">
        <v>4623</v>
      </c>
      <c r="AH580" s="28"/>
      <c r="AI580" s="28" t="s">
        <v>53</v>
      </c>
      <c r="AJ580" s="33">
        <v>38076</v>
      </c>
      <c r="AK580" s="28">
        <v>5</v>
      </c>
      <c r="AL580" s="28">
        <v>23</v>
      </c>
      <c r="AM580" s="21"/>
      <c r="AN580" s="27"/>
      <c r="AO580" s="27"/>
      <c r="AP580" s="27"/>
      <c r="AQ580" s="27"/>
    </row>
    <row r="581" spans="1:43" ht="15.75" customHeight="1">
      <c r="A581" s="28">
        <v>1</v>
      </c>
      <c r="B581" s="29" t="s">
        <v>4624</v>
      </c>
      <c r="C581" s="30"/>
      <c r="D581" s="31" t="s">
        <v>4625</v>
      </c>
      <c r="E581" s="30" t="s">
        <v>72</v>
      </c>
      <c r="F581" s="30" t="s">
        <v>50</v>
      </c>
      <c r="G581" s="30" t="s">
        <v>51</v>
      </c>
      <c r="H581" s="28" t="s">
        <v>52</v>
      </c>
      <c r="I581" s="30"/>
      <c r="J581" s="30" t="s">
        <v>53</v>
      </c>
      <c r="K581" s="30" t="s">
        <v>4626</v>
      </c>
      <c r="L581" s="30" t="s">
        <v>55</v>
      </c>
      <c r="M581" s="30" t="s">
        <v>4627</v>
      </c>
      <c r="N581" s="30" t="s">
        <v>4628</v>
      </c>
      <c r="O581" s="30" t="s">
        <v>4629</v>
      </c>
      <c r="P581" s="30" t="s">
        <v>4630</v>
      </c>
      <c r="Q581" s="28" t="s">
        <v>4631</v>
      </c>
      <c r="R581" s="30" t="s">
        <v>4632</v>
      </c>
      <c r="S581" s="30" t="s">
        <v>53</v>
      </c>
      <c r="T581" s="30"/>
      <c r="U581" s="28" t="s">
        <v>1183</v>
      </c>
      <c r="V581" s="30" t="s">
        <v>63</v>
      </c>
      <c r="W581" s="30" t="s">
        <v>80</v>
      </c>
      <c r="X581" s="32">
        <v>44774</v>
      </c>
      <c r="Y581" s="32">
        <v>46204</v>
      </c>
      <c r="Z581" s="30" t="s">
        <v>65</v>
      </c>
      <c r="AA581" s="28" t="s">
        <v>66</v>
      </c>
      <c r="AB581" s="28" t="s">
        <v>67</v>
      </c>
      <c r="AC581" s="29"/>
      <c r="AD581" s="28">
        <v>0</v>
      </c>
      <c r="AE581" s="29"/>
      <c r="AF581" s="31"/>
      <c r="AG581" s="30" t="s">
        <v>4633</v>
      </c>
      <c r="AH581" s="28"/>
      <c r="AI581" s="28" t="s">
        <v>118</v>
      </c>
      <c r="AJ581" s="33">
        <v>38304</v>
      </c>
      <c r="AK581" s="28">
        <v>3</v>
      </c>
      <c r="AL581" s="28">
        <v>15</v>
      </c>
      <c r="AM581" s="21"/>
      <c r="AN581" s="27"/>
      <c r="AO581" s="27"/>
      <c r="AP581" s="27"/>
      <c r="AQ581" s="27"/>
    </row>
    <row r="582" spans="1:43" ht="15.75" customHeight="1">
      <c r="A582" s="28">
        <v>1</v>
      </c>
      <c r="B582" s="29" t="s">
        <v>4634</v>
      </c>
      <c r="C582" s="30"/>
      <c r="D582" s="31" t="s">
        <v>4635</v>
      </c>
      <c r="E582" s="30" t="s">
        <v>72</v>
      </c>
      <c r="F582" s="30" t="s">
        <v>50</v>
      </c>
      <c r="G582" s="30" t="s">
        <v>51</v>
      </c>
      <c r="H582" s="28" t="s">
        <v>85</v>
      </c>
      <c r="I582" s="30"/>
      <c r="J582" s="30" t="s">
        <v>53</v>
      </c>
      <c r="K582" s="30" t="s">
        <v>4626</v>
      </c>
      <c r="L582" s="30" t="s">
        <v>55</v>
      </c>
      <c r="M582" s="30" t="s">
        <v>4627</v>
      </c>
      <c r="N582" s="30" t="s">
        <v>4636</v>
      </c>
      <c r="O582" s="30" t="s">
        <v>4637</v>
      </c>
      <c r="P582" s="30" t="s">
        <v>4638</v>
      </c>
      <c r="Q582" s="28" t="s">
        <v>4639</v>
      </c>
      <c r="R582" s="30" t="s">
        <v>4640</v>
      </c>
      <c r="S582" s="30" t="s">
        <v>53</v>
      </c>
      <c r="T582" s="30"/>
      <c r="U582" s="28" t="s">
        <v>1329</v>
      </c>
      <c r="V582" s="30" t="s">
        <v>63</v>
      </c>
      <c r="W582" s="30" t="s">
        <v>64</v>
      </c>
      <c r="X582" s="32">
        <v>44228</v>
      </c>
      <c r="Y582" s="32">
        <v>45992</v>
      </c>
      <c r="Z582" s="30" t="s">
        <v>65</v>
      </c>
      <c r="AA582" s="28" t="s">
        <v>66</v>
      </c>
      <c r="AB582" s="28" t="s">
        <v>67</v>
      </c>
      <c r="AC582" s="29"/>
      <c r="AD582" s="28">
        <v>0</v>
      </c>
      <c r="AE582" s="29"/>
      <c r="AF582" s="31"/>
      <c r="AG582" s="30" t="s">
        <v>4633</v>
      </c>
      <c r="AH582" s="28"/>
      <c r="AI582" s="28" t="s">
        <v>53</v>
      </c>
      <c r="AJ582" s="33">
        <v>37202</v>
      </c>
      <c r="AK582" s="28">
        <v>6</v>
      </c>
      <c r="AL582" s="28">
        <v>23</v>
      </c>
      <c r="AM582" s="21"/>
      <c r="AN582" s="27"/>
      <c r="AO582" s="27"/>
      <c r="AP582" s="27"/>
      <c r="AQ582" s="27"/>
    </row>
    <row r="583" spans="1:43" ht="15.75" customHeight="1">
      <c r="A583" s="28">
        <v>2</v>
      </c>
      <c r="B583" s="29" t="s">
        <v>4641</v>
      </c>
      <c r="C583" s="30"/>
      <c r="D583" s="31" t="s">
        <v>4642</v>
      </c>
      <c r="E583" s="30" t="s">
        <v>72</v>
      </c>
      <c r="F583" s="30" t="s">
        <v>50</v>
      </c>
      <c r="G583" s="30" t="s">
        <v>51</v>
      </c>
      <c r="H583" s="28" t="s">
        <v>52</v>
      </c>
      <c r="I583" s="30"/>
      <c r="J583" s="30" t="s">
        <v>53</v>
      </c>
      <c r="K583" s="30" t="s">
        <v>4643</v>
      </c>
      <c r="L583" s="30" t="s">
        <v>55</v>
      </c>
      <c r="M583" s="30" t="s">
        <v>4644</v>
      </c>
      <c r="N583" s="30" t="s">
        <v>4645</v>
      </c>
      <c r="O583" s="30" t="s">
        <v>4646</v>
      </c>
      <c r="P583" s="30" t="s">
        <v>4647</v>
      </c>
      <c r="Q583" s="28"/>
      <c r="R583" s="30" t="s">
        <v>4648</v>
      </c>
      <c r="S583" s="30" t="s">
        <v>53</v>
      </c>
      <c r="T583" s="30"/>
      <c r="U583" s="28" t="s">
        <v>4649</v>
      </c>
      <c r="V583" s="30" t="s">
        <v>63</v>
      </c>
      <c r="W583" s="30" t="s">
        <v>64</v>
      </c>
      <c r="X583" s="32">
        <v>43862</v>
      </c>
      <c r="Y583" s="32">
        <v>45809</v>
      </c>
      <c r="Z583" s="30" t="s">
        <v>65</v>
      </c>
      <c r="AA583" s="28" t="s">
        <v>66</v>
      </c>
      <c r="AB583" s="28" t="s">
        <v>67</v>
      </c>
      <c r="AC583" s="29"/>
      <c r="AD583" s="28">
        <v>0</v>
      </c>
      <c r="AE583" s="29"/>
      <c r="AF583" s="31"/>
      <c r="AG583" s="30" t="s">
        <v>4633</v>
      </c>
      <c r="AH583" s="28"/>
      <c r="AI583" s="28" t="s">
        <v>53</v>
      </c>
      <c r="AJ583" s="33">
        <v>36159</v>
      </c>
      <c r="AK583" s="28">
        <v>8</v>
      </c>
      <c r="AL583" s="28">
        <v>22</v>
      </c>
      <c r="AM583" s="21"/>
      <c r="AN583" s="27"/>
      <c r="AO583" s="27"/>
      <c r="AP583" s="27"/>
      <c r="AQ583" s="27"/>
    </row>
    <row r="584" spans="1:43" ht="15.75" customHeight="1">
      <c r="A584" s="28">
        <v>3</v>
      </c>
      <c r="B584" s="29" t="s">
        <v>4650</v>
      </c>
      <c r="C584" s="30"/>
      <c r="D584" s="31" t="s">
        <v>4651</v>
      </c>
      <c r="E584" s="30" t="s">
        <v>72</v>
      </c>
      <c r="F584" s="30" t="s">
        <v>50</v>
      </c>
      <c r="G584" s="30" t="s">
        <v>51</v>
      </c>
      <c r="H584" s="28" t="s">
        <v>85</v>
      </c>
      <c r="I584" s="30"/>
      <c r="J584" s="30" t="s">
        <v>53</v>
      </c>
      <c r="K584" s="30" t="s">
        <v>4626</v>
      </c>
      <c r="L584" s="30" t="s">
        <v>55</v>
      </c>
      <c r="M584" s="30" t="s">
        <v>4627</v>
      </c>
      <c r="N584" s="30" t="s">
        <v>4652</v>
      </c>
      <c r="O584" s="30" t="s">
        <v>4653</v>
      </c>
      <c r="P584" s="30" t="s">
        <v>4654</v>
      </c>
      <c r="Q584" s="28"/>
      <c r="R584" s="30" t="s">
        <v>4655</v>
      </c>
      <c r="S584" s="30" t="s">
        <v>53</v>
      </c>
      <c r="T584" s="30"/>
      <c r="U584" s="28" t="s">
        <v>4656</v>
      </c>
      <c r="V584" s="30" t="s">
        <v>63</v>
      </c>
      <c r="W584" s="30" t="s">
        <v>64</v>
      </c>
      <c r="X584" s="32">
        <v>45139</v>
      </c>
      <c r="Y584" s="32">
        <v>46569</v>
      </c>
      <c r="Z584" s="30" t="s">
        <v>65</v>
      </c>
      <c r="AA584" s="28" t="s">
        <v>66</v>
      </c>
      <c r="AB584" s="28" t="s">
        <v>67</v>
      </c>
      <c r="AC584" s="29"/>
      <c r="AD584" s="28">
        <v>0</v>
      </c>
      <c r="AE584" s="29"/>
      <c r="AF584" s="31"/>
      <c r="AG584" s="30" t="s">
        <v>4633</v>
      </c>
      <c r="AH584" s="28"/>
      <c r="AI584" s="28" t="s">
        <v>118</v>
      </c>
      <c r="AJ584" s="33">
        <v>37036</v>
      </c>
      <c r="AK584" s="28">
        <v>5</v>
      </c>
      <c r="AL584" s="28">
        <v>21</v>
      </c>
      <c r="AM584" s="21"/>
      <c r="AN584" s="27"/>
      <c r="AO584" s="27"/>
      <c r="AP584" s="27"/>
      <c r="AQ584" s="27"/>
    </row>
    <row r="585" spans="1:43" ht="15.75" customHeight="1">
      <c r="A585" s="28">
        <v>4</v>
      </c>
      <c r="B585" s="29" t="s">
        <v>4657</v>
      </c>
      <c r="C585" s="30"/>
      <c r="D585" s="31" t="s">
        <v>4658</v>
      </c>
      <c r="E585" s="30" t="s">
        <v>49</v>
      </c>
      <c r="F585" s="30" t="s">
        <v>50</v>
      </c>
      <c r="G585" s="30" t="s">
        <v>51</v>
      </c>
      <c r="H585" s="28" t="s">
        <v>52</v>
      </c>
      <c r="I585" s="30"/>
      <c r="J585" s="30" t="s">
        <v>53</v>
      </c>
      <c r="K585" s="30" t="s">
        <v>4626</v>
      </c>
      <c r="L585" s="30" t="s">
        <v>55</v>
      </c>
      <c r="M585" s="30" t="s">
        <v>4627</v>
      </c>
      <c r="N585" s="30" t="s">
        <v>4659</v>
      </c>
      <c r="O585" s="30" t="s">
        <v>4660</v>
      </c>
      <c r="P585" s="30" t="s">
        <v>4661</v>
      </c>
      <c r="Q585" s="28"/>
      <c r="R585" s="30" t="s">
        <v>4662</v>
      </c>
      <c r="S585" s="30" t="s">
        <v>53</v>
      </c>
      <c r="T585" s="30"/>
      <c r="U585" s="28" t="s">
        <v>612</v>
      </c>
      <c r="V585" s="30" t="s">
        <v>63</v>
      </c>
      <c r="W585" s="30" t="s">
        <v>64</v>
      </c>
      <c r="X585" s="32">
        <v>43891</v>
      </c>
      <c r="Y585" s="32">
        <v>45627</v>
      </c>
      <c r="Z585" s="30" t="s">
        <v>65</v>
      </c>
      <c r="AA585" s="28" t="s">
        <v>66</v>
      </c>
      <c r="AB585" s="28" t="s">
        <v>67</v>
      </c>
      <c r="AC585" s="29"/>
      <c r="AD585" s="28">
        <v>0</v>
      </c>
      <c r="AE585" s="29"/>
      <c r="AF585" s="31"/>
      <c r="AG585" s="30" t="s">
        <v>4633</v>
      </c>
      <c r="AH585" s="28"/>
      <c r="AI585" s="28" t="s">
        <v>53</v>
      </c>
      <c r="AJ585" s="33">
        <v>32151</v>
      </c>
      <c r="AK585" s="28">
        <v>8</v>
      </c>
      <c r="AL585" s="28">
        <v>18</v>
      </c>
      <c r="AM585" s="21"/>
      <c r="AN585" s="27"/>
      <c r="AO585" s="27"/>
      <c r="AP585" s="27"/>
      <c r="AQ585" s="27"/>
    </row>
    <row r="586" spans="1:43" ht="15.75" customHeight="1">
      <c r="A586" s="28">
        <v>5</v>
      </c>
      <c r="B586" s="29" t="s">
        <v>4663</v>
      </c>
      <c r="C586" s="30"/>
      <c r="D586" s="31" t="s">
        <v>4664</v>
      </c>
      <c r="E586" s="30" t="s">
        <v>72</v>
      </c>
      <c r="F586" s="30" t="s">
        <v>50</v>
      </c>
      <c r="G586" s="30" t="s">
        <v>51</v>
      </c>
      <c r="H586" s="28" t="s">
        <v>52</v>
      </c>
      <c r="I586" s="30"/>
      <c r="J586" s="30" t="s">
        <v>53</v>
      </c>
      <c r="K586" s="30" t="s">
        <v>4626</v>
      </c>
      <c r="L586" s="30" t="s">
        <v>55</v>
      </c>
      <c r="M586" s="30" t="s">
        <v>4627</v>
      </c>
      <c r="N586" s="30" t="s">
        <v>4665</v>
      </c>
      <c r="O586" s="30" t="s">
        <v>4666</v>
      </c>
      <c r="P586" s="30" t="s">
        <v>4667</v>
      </c>
      <c r="Q586" s="28"/>
      <c r="R586" s="30" t="s">
        <v>4668</v>
      </c>
      <c r="S586" s="30" t="s">
        <v>53</v>
      </c>
      <c r="T586" s="30"/>
      <c r="U586" s="28" t="s">
        <v>1162</v>
      </c>
      <c r="V586" s="30" t="s">
        <v>63</v>
      </c>
      <c r="W586" s="30" t="s">
        <v>64</v>
      </c>
      <c r="X586" s="32">
        <v>43831</v>
      </c>
      <c r="Y586" s="32">
        <v>45992</v>
      </c>
      <c r="Z586" s="30" t="s">
        <v>65</v>
      </c>
      <c r="AA586" s="28" t="s">
        <v>66</v>
      </c>
      <c r="AB586" s="28" t="s">
        <v>67</v>
      </c>
      <c r="AC586" s="29"/>
      <c r="AD586" s="28">
        <v>0</v>
      </c>
      <c r="AE586" s="29"/>
      <c r="AF586" s="31"/>
      <c r="AG586" s="30" t="s">
        <v>4633</v>
      </c>
      <c r="AH586" s="28"/>
      <c r="AI586" s="28" t="s">
        <v>53</v>
      </c>
      <c r="AJ586" s="33">
        <v>37706</v>
      </c>
      <c r="AK586" s="28">
        <v>6</v>
      </c>
      <c r="AL586" s="28">
        <v>18</v>
      </c>
      <c r="AM586" s="21"/>
      <c r="AN586" s="27"/>
      <c r="AO586" s="27"/>
      <c r="AP586" s="27"/>
      <c r="AQ586" s="27"/>
    </row>
    <row r="587" spans="1:43" ht="15.75" customHeight="1">
      <c r="A587" s="28">
        <v>1</v>
      </c>
      <c r="B587" s="29" t="s">
        <v>4669</v>
      </c>
      <c r="C587" s="30"/>
      <c r="D587" s="31" t="s">
        <v>4670</v>
      </c>
      <c r="E587" s="30" t="s">
        <v>49</v>
      </c>
      <c r="F587" s="30" t="s">
        <v>50</v>
      </c>
      <c r="G587" s="30" t="s">
        <v>51</v>
      </c>
      <c r="H587" s="28" t="s">
        <v>52</v>
      </c>
      <c r="I587" s="30"/>
      <c r="J587" s="30" t="s">
        <v>53</v>
      </c>
      <c r="K587" s="30" t="s">
        <v>4671</v>
      </c>
      <c r="L587" s="30" t="s">
        <v>55</v>
      </c>
      <c r="M587" s="30" t="s">
        <v>4672</v>
      </c>
      <c r="N587" s="30" t="s">
        <v>4673</v>
      </c>
      <c r="O587" s="30" t="s">
        <v>58</v>
      </c>
      <c r="P587" s="30" t="s">
        <v>4674</v>
      </c>
      <c r="Q587" s="28"/>
      <c r="R587" s="30" t="s">
        <v>4675</v>
      </c>
      <c r="S587" s="30" t="s">
        <v>53</v>
      </c>
      <c r="T587" s="30"/>
      <c r="U587" s="28" t="s">
        <v>4676</v>
      </c>
      <c r="V587" s="30" t="s">
        <v>63</v>
      </c>
      <c r="W587" s="30" t="s">
        <v>64</v>
      </c>
      <c r="X587" s="32">
        <v>44228</v>
      </c>
      <c r="Y587" s="32">
        <v>45992</v>
      </c>
      <c r="Z587" s="30" t="s">
        <v>65</v>
      </c>
      <c r="AA587" s="28" t="s">
        <v>66</v>
      </c>
      <c r="AB587" s="28" t="s">
        <v>67</v>
      </c>
      <c r="AC587" s="29"/>
      <c r="AD587" s="28">
        <v>0</v>
      </c>
      <c r="AE587" s="29"/>
      <c r="AF587" s="31"/>
      <c r="AG587" s="30" t="s">
        <v>4677</v>
      </c>
      <c r="AH587" s="28"/>
      <c r="AI587" s="28" t="s">
        <v>53</v>
      </c>
      <c r="AJ587" s="33">
        <v>37672</v>
      </c>
      <c r="AK587" s="28">
        <v>6</v>
      </c>
      <c r="AL587" s="28">
        <v>15</v>
      </c>
      <c r="AM587" s="21"/>
      <c r="AN587" s="27"/>
      <c r="AO587" s="27"/>
      <c r="AP587" s="27"/>
      <c r="AQ587" s="27"/>
    </row>
    <row r="588" spans="1:43" ht="15.75" customHeight="1">
      <c r="A588" s="28">
        <v>1</v>
      </c>
      <c r="B588" s="29" t="s">
        <v>4678</v>
      </c>
      <c r="C588" s="30" t="s">
        <v>4679</v>
      </c>
      <c r="D588" s="31" t="s">
        <v>4680</v>
      </c>
      <c r="E588" s="30" t="s">
        <v>49</v>
      </c>
      <c r="F588" s="30" t="s">
        <v>50</v>
      </c>
      <c r="G588" s="30" t="s">
        <v>51</v>
      </c>
      <c r="H588" s="28" t="s">
        <v>85</v>
      </c>
      <c r="I588" s="30"/>
      <c r="J588" s="30" t="s">
        <v>53</v>
      </c>
      <c r="K588" s="30" t="s">
        <v>4681</v>
      </c>
      <c r="L588" s="30" t="s">
        <v>55</v>
      </c>
      <c r="M588" s="30" t="s">
        <v>4682</v>
      </c>
      <c r="N588" s="30" t="s">
        <v>4683</v>
      </c>
      <c r="O588" s="30" t="s">
        <v>4684</v>
      </c>
      <c r="P588" s="30" t="s">
        <v>4685</v>
      </c>
      <c r="Q588" s="28"/>
      <c r="R588" s="30" t="s">
        <v>4686</v>
      </c>
      <c r="S588" s="30" t="s">
        <v>53</v>
      </c>
      <c r="T588" s="30"/>
      <c r="U588" s="28" t="s">
        <v>1329</v>
      </c>
      <c r="V588" s="30" t="s">
        <v>63</v>
      </c>
      <c r="W588" s="30" t="s">
        <v>64</v>
      </c>
      <c r="X588" s="32">
        <v>44927</v>
      </c>
      <c r="Y588" s="32">
        <v>46722</v>
      </c>
      <c r="Z588" s="30" t="s">
        <v>65</v>
      </c>
      <c r="AA588" s="28" t="s">
        <v>66</v>
      </c>
      <c r="AB588" s="28" t="s">
        <v>67</v>
      </c>
      <c r="AC588" s="29"/>
      <c r="AD588" s="28">
        <v>0</v>
      </c>
      <c r="AE588" s="29"/>
      <c r="AF588" s="31"/>
      <c r="AG588" s="30" t="s">
        <v>4687</v>
      </c>
      <c r="AH588" s="28"/>
      <c r="AI588" s="28" t="s">
        <v>53</v>
      </c>
      <c r="AJ588" s="33">
        <v>38352</v>
      </c>
      <c r="AK588" s="28">
        <v>5</v>
      </c>
      <c r="AL588" s="28">
        <v>26</v>
      </c>
      <c r="AM588" s="21"/>
      <c r="AN588" s="27"/>
      <c r="AO588" s="27"/>
      <c r="AP588" s="27"/>
      <c r="AQ588" s="27"/>
    </row>
    <row r="589" spans="1:43" ht="15.75" customHeight="1">
      <c r="A589" s="28">
        <v>2</v>
      </c>
      <c r="B589" s="29" t="s">
        <v>4688</v>
      </c>
      <c r="C589" s="30"/>
      <c r="D589" s="31" t="s">
        <v>4689</v>
      </c>
      <c r="E589" s="30" t="s">
        <v>72</v>
      </c>
      <c r="F589" s="30" t="s">
        <v>50</v>
      </c>
      <c r="G589" s="30" t="s">
        <v>51</v>
      </c>
      <c r="H589" s="28" t="s">
        <v>52</v>
      </c>
      <c r="I589" s="30"/>
      <c r="J589" s="30" t="s">
        <v>53</v>
      </c>
      <c r="K589" s="30" t="s">
        <v>4681</v>
      </c>
      <c r="L589" s="30" t="s">
        <v>55</v>
      </c>
      <c r="M589" s="30" t="s">
        <v>4682</v>
      </c>
      <c r="N589" s="30" t="s">
        <v>4690</v>
      </c>
      <c r="O589" s="30" t="s">
        <v>58</v>
      </c>
      <c r="P589" s="30" t="s">
        <v>4691</v>
      </c>
      <c r="Q589" s="28" t="s">
        <v>4692</v>
      </c>
      <c r="R589" s="30" t="s">
        <v>4693</v>
      </c>
      <c r="S589" s="30" t="s">
        <v>53</v>
      </c>
      <c r="T589" s="30"/>
      <c r="U589" s="28" t="s">
        <v>4694</v>
      </c>
      <c r="V589" s="30" t="s">
        <v>63</v>
      </c>
      <c r="W589" s="30" t="s">
        <v>64</v>
      </c>
      <c r="X589" s="32">
        <v>43862</v>
      </c>
      <c r="Y589" s="32">
        <v>45627</v>
      </c>
      <c r="Z589" s="30" t="s">
        <v>65</v>
      </c>
      <c r="AA589" s="28" t="s">
        <v>66</v>
      </c>
      <c r="AB589" s="28" t="s">
        <v>67</v>
      </c>
      <c r="AC589" s="29"/>
      <c r="AD589" s="28">
        <v>0</v>
      </c>
      <c r="AE589" s="29"/>
      <c r="AF589" s="31"/>
      <c r="AG589" s="30" t="s">
        <v>4687</v>
      </c>
      <c r="AH589" s="28"/>
      <c r="AI589" s="28" t="s">
        <v>118</v>
      </c>
      <c r="AJ589" s="33">
        <v>37358</v>
      </c>
      <c r="AK589" s="28">
        <v>8</v>
      </c>
      <c r="AL589" s="28">
        <v>24</v>
      </c>
      <c r="AM589" s="21"/>
      <c r="AN589" s="27"/>
      <c r="AO589" s="27"/>
      <c r="AP589" s="27"/>
      <c r="AQ589" s="27"/>
    </row>
    <row r="590" spans="1:43" ht="15.75" customHeight="1">
      <c r="A590" s="28">
        <v>3</v>
      </c>
      <c r="B590" s="29" t="s">
        <v>4695</v>
      </c>
      <c r="C590" s="30"/>
      <c r="D590" s="31" t="s">
        <v>4696</v>
      </c>
      <c r="E590" s="30" t="s">
        <v>72</v>
      </c>
      <c r="F590" s="30" t="s">
        <v>50</v>
      </c>
      <c r="G590" s="30" t="s">
        <v>51</v>
      </c>
      <c r="H590" s="28" t="s">
        <v>85</v>
      </c>
      <c r="I590" s="30"/>
      <c r="J590" s="30" t="s">
        <v>53</v>
      </c>
      <c r="K590" s="30" t="s">
        <v>4681</v>
      </c>
      <c r="L590" s="30" t="s">
        <v>55</v>
      </c>
      <c r="M590" s="30" t="s">
        <v>4682</v>
      </c>
      <c r="N590" s="30" t="s">
        <v>4697</v>
      </c>
      <c r="O590" s="30" t="s">
        <v>4698</v>
      </c>
      <c r="P590" s="30" t="s">
        <v>4699</v>
      </c>
      <c r="Q590" s="28"/>
      <c r="R590" s="30" t="s">
        <v>4700</v>
      </c>
      <c r="S590" s="30" t="s">
        <v>53</v>
      </c>
      <c r="T590" s="30"/>
      <c r="U590" s="28" t="s">
        <v>62</v>
      </c>
      <c r="V590" s="30" t="s">
        <v>63</v>
      </c>
      <c r="W590" s="30" t="s">
        <v>64</v>
      </c>
      <c r="X590" s="32">
        <v>44197</v>
      </c>
      <c r="Y590" s="32">
        <v>45992</v>
      </c>
      <c r="Z590" s="30" t="s">
        <v>65</v>
      </c>
      <c r="AA590" s="28" t="s">
        <v>66</v>
      </c>
      <c r="AB590" s="28" t="s">
        <v>67</v>
      </c>
      <c r="AC590" s="29"/>
      <c r="AD590" s="28">
        <v>0</v>
      </c>
      <c r="AE590" s="29"/>
      <c r="AF590" s="31"/>
      <c r="AG590" s="30" t="s">
        <v>4687</v>
      </c>
      <c r="AH590" s="28"/>
      <c r="AI590" s="28" t="s">
        <v>53</v>
      </c>
      <c r="AJ590" s="33">
        <v>37817</v>
      </c>
      <c r="AK590" s="28">
        <v>6</v>
      </c>
      <c r="AL590" s="28">
        <v>23</v>
      </c>
      <c r="AM590" s="21"/>
      <c r="AN590" s="27"/>
      <c r="AO590" s="27"/>
      <c r="AP590" s="27"/>
      <c r="AQ590" s="27"/>
    </row>
    <row r="591" spans="1:43" ht="15.75" customHeight="1">
      <c r="A591" s="28">
        <v>4</v>
      </c>
      <c r="B591" s="29" t="s">
        <v>4701</v>
      </c>
      <c r="C591" s="30" t="s">
        <v>4702</v>
      </c>
      <c r="D591" s="31" t="s">
        <v>4703</v>
      </c>
      <c r="E591" s="30" t="s">
        <v>49</v>
      </c>
      <c r="F591" s="30" t="s">
        <v>50</v>
      </c>
      <c r="G591" s="30" t="s">
        <v>51</v>
      </c>
      <c r="H591" s="28" t="s">
        <v>52</v>
      </c>
      <c r="I591" s="30"/>
      <c r="J591" s="30" t="s">
        <v>53</v>
      </c>
      <c r="K591" s="30" t="s">
        <v>4681</v>
      </c>
      <c r="L591" s="30" t="s">
        <v>55</v>
      </c>
      <c r="M591" s="30" t="s">
        <v>4682</v>
      </c>
      <c r="N591" s="30" t="s">
        <v>4704</v>
      </c>
      <c r="O591" s="30" t="s">
        <v>58</v>
      </c>
      <c r="P591" s="30" t="s">
        <v>4705</v>
      </c>
      <c r="Q591" s="28"/>
      <c r="R591" s="30" t="s">
        <v>4706</v>
      </c>
      <c r="S591" s="30" t="s">
        <v>53</v>
      </c>
      <c r="T591" s="30"/>
      <c r="U591" s="28" t="s">
        <v>4707</v>
      </c>
      <c r="V591" s="30" t="s">
        <v>63</v>
      </c>
      <c r="W591" s="30" t="s">
        <v>64</v>
      </c>
      <c r="X591" s="32">
        <v>44197</v>
      </c>
      <c r="Y591" s="32">
        <v>45992</v>
      </c>
      <c r="Z591" s="30" t="s">
        <v>65</v>
      </c>
      <c r="AA591" s="28" t="s">
        <v>66</v>
      </c>
      <c r="AB591" s="28" t="s">
        <v>67</v>
      </c>
      <c r="AC591" s="29"/>
      <c r="AD591" s="28">
        <v>0</v>
      </c>
      <c r="AE591" s="29"/>
      <c r="AF591" s="31"/>
      <c r="AG591" s="30" t="s">
        <v>4687</v>
      </c>
      <c r="AH591" s="28"/>
      <c r="AI591" s="28" t="s">
        <v>118</v>
      </c>
      <c r="AJ591" s="33">
        <v>37616</v>
      </c>
      <c r="AK591" s="28">
        <v>6</v>
      </c>
      <c r="AL591" s="28">
        <v>23</v>
      </c>
      <c r="AM591" s="21"/>
      <c r="AN591" s="27"/>
      <c r="AO591" s="27"/>
      <c r="AP591" s="27"/>
      <c r="AQ591" s="27"/>
    </row>
    <row r="592" spans="1:43" ht="15.75" customHeight="1">
      <c r="A592" s="28">
        <v>1</v>
      </c>
      <c r="B592" s="29" t="s">
        <v>4708</v>
      </c>
      <c r="C592" s="30"/>
      <c r="D592" s="31" t="s">
        <v>4709</v>
      </c>
      <c r="E592" s="30" t="s">
        <v>72</v>
      </c>
      <c r="F592" s="30" t="s">
        <v>50</v>
      </c>
      <c r="G592" s="30" t="s">
        <v>51</v>
      </c>
      <c r="H592" s="28" t="s">
        <v>1121</v>
      </c>
      <c r="I592" s="30"/>
      <c r="J592" s="30" t="s">
        <v>53</v>
      </c>
      <c r="K592" s="30" t="s">
        <v>4710</v>
      </c>
      <c r="L592" s="30" t="s">
        <v>55</v>
      </c>
      <c r="M592" s="30" t="s">
        <v>4711</v>
      </c>
      <c r="N592" s="30" t="s">
        <v>4712</v>
      </c>
      <c r="O592" s="30" t="s">
        <v>4713</v>
      </c>
      <c r="P592" s="30" t="s">
        <v>4714</v>
      </c>
      <c r="Q592" s="28" t="s">
        <v>4715</v>
      </c>
      <c r="R592" s="30" t="s">
        <v>4716</v>
      </c>
      <c r="S592" s="30" t="s">
        <v>53</v>
      </c>
      <c r="T592" s="30"/>
      <c r="U592" s="28" t="s">
        <v>4717</v>
      </c>
      <c r="V592" s="30" t="s">
        <v>63</v>
      </c>
      <c r="W592" s="30" t="s">
        <v>64</v>
      </c>
      <c r="X592" s="32">
        <v>44256</v>
      </c>
      <c r="Y592" s="32">
        <v>45992</v>
      </c>
      <c r="Z592" s="30" t="s">
        <v>65</v>
      </c>
      <c r="AA592" s="28" t="s">
        <v>66</v>
      </c>
      <c r="AB592" s="28" t="s">
        <v>67</v>
      </c>
      <c r="AC592" s="29"/>
      <c r="AD592" s="28">
        <v>0</v>
      </c>
      <c r="AE592" s="29"/>
      <c r="AF592" s="31"/>
      <c r="AG592" s="30" t="s">
        <v>4718</v>
      </c>
      <c r="AH592" s="28"/>
      <c r="AI592" s="28" t="s">
        <v>53</v>
      </c>
      <c r="AJ592" s="33">
        <v>36983</v>
      </c>
      <c r="AK592" s="28">
        <v>6</v>
      </c>
      <c r="AL592" s="28">
        <v>19</v>
      </c>
      <c r="AM592" s="21"/>
      <c r="AN592" s="27"/>
      <c r="AO592" s="27"/>
      <c r="AP592" s="27"/>
      <c r="AQ592" s="27"/>
    </row>
    <row r="593" spans="1:43" ht="15.75" customHeight="1">
      <c r="A593" s="28">
        <v>2</v>
      </c>
      <c r="B593" s="29" t="s">
        <v>4719</v>
      </c>
      <c r="C593" s="30"/>
      <c r="D593" s="31" t="s">
        <v>4720</v>
      </c>
      <c r="E593" s="30" t="s">
        <v>72</v>
      </c>
      <c r="F593" s="30" t="s">
        <v>50</v>
      </c>
      <c r="G593" s="30" t="s">
        <v>51</v>
      </c>
      <c r="H593" s="28" t="s">
        <v>52</v>
      </c>
      <c r="I593" s="30"/>
      <c r="J593" s="30" t="s">
        <v>53</v>
      </c>
      <c r="K593" s="30" t="s">
        <v>4721</v>
      </c>
      <c r="L593" s="30" t="s">
        <v>55</v>
      </c>
      <c r="M593" s="30" t="s">
        <v>4711</v>
      </c>
      <c r="N593" s="30" t="s">
        <v>4722</v>
      </c>
      <c r="O593" s="30" t="s">
        <v>4723</v>
      </c>
      <c r="P593" s="30" t="s">
        <v>4724</v>
      </c>
      <c r="Q593" s="28"/>
      <c r="R593" s="30" t="s">
        <v>4725</v>
      </c>
      <c r="S593" s="30" t="s">
        <v>53</v>
      </c>
      <c r="T593" s="30"/>
      <c r="U593" s="28" t="s">
        <v>4726</v>
      </c>
      <c r="V593" s="30" t="s">
        <v>63</v>
      </c>
      <c r="W593" s="30" t="s">
        <v>64</v>
      </c>
      <c r="X593" s="32">
        <v>44562</v>
      </c>
      <c r="Y593" s="32">
        <v>46357</v>
      </c>
      <c r="Z593" s="30" t="s">
        <v>65</v>
      </c>
      <c r="AA593" s="28" t="s">
        <v>66</v>
      </c>
      <c r="AB593" s="28" t="s">
        <v>67</v>
      </c>
      <c r="AC593" s="29"/>
      <c r="AD593" s="28">
        <v>0</v>
      </c>
      <c r="AE593" s="29"/>
      <c r="AF593" s="31"/>
      <c r="AG593" s="30" t="s">
        <v>4718</v>
      </c>
      <c r="AH593" s="28"/>
      <c r="AI593" s="28" t="s">
        <v>53</v>
      </c>
      <c r="AJ593" s="33">
        <v>37896</v>
      </c>
      <c r="AK593" s="28">
        <v>5</v>
      </c>
      <c r="AL593" s="28">
        <v>17</v>
      </c>
      <c r="AM593" s="21"/>
      <c r="AN593" s="27"/>
      <c r="AO593" s="27"/>
      <c r="AP593" s="27"/>
      <c r="AQ593" s="27"/>
    </row>
    <row r="594" spans="1:43" ht="15.75" customHeight="1">
      <c r="A594" s="28">
        <v>3</v>
      </c>
      <c r="B594" s="29" t="s">
        <v>4727</v>
      </c>
      <c r="C594" s="30"/>
      <c r="D594" s="31" t="s">
        <v>4728</v>
      </c>
      <c r="E594" s="30" t="s">
        <v>49</v>
      </c>
      <c r="F594" s="30" t="s">
        <v>50</v>
      </c>
      <c r="G594" s="30" t="s">
        <v>51</v>
      </c>
      <c r="H594" s="28" t="s">
        <v>191</v>
      </c>
      <c r="I594" s="30"/>
      <c r="J594" s="30" t="s">
        <v>53</v>
      </c>
      <c r="K594" s="30" t="s">
        <v>4729</v>
      </c>
      <c r="L594" s="30" t="s">
        <v>55</v>
      </c>
      <c r="M594" s="30" t="s">
        <v>4711</v>
      </c>
      <c r="N594" s="30" t="s">
        <v>4730</v>
      </c>
      <c r="O594" s="30" t="s">
        <v>4731</v>
      </c>
      <c r="P594" s="30" t="s">
        <v>4732</v>
      </c>
      <c r="Q594" s="28"/>
      <c r="R594" s="30" t="s">
        <v>4733</v>
      </c>
      <c r="S594" s="30" t="s">
        <v>53</v>
      </c>
      <c r="T594" s="30"/>
      <c r="U594" s="28" t="s">
        <v>4717</v>
      </c>
      <c r="V594" s="30" t="s">
        <v>63</v>
      </c>
      <c r="W594" s="30" t="s">
        <v>64</v>
      </c>
      <c r="X594" s="32">
        <v>44409</v>
      </c>
      <c r="Y594" s="32">
        <v>46174</v>
      </c>
      <c r="Z594" s="30" t="s">
        <v>65</v>
      </c>
      <c r="AA594" s="28" t="s">
        <v>66</v>
      </c>
      <c r="AB594" s="28" t="s">
        <v>67</v>
      </c>
      <c r="AC594" s="29"/>
      <c r="AD594" s="28">
        <v>0</v>
      </c>
      <c r="AE594" s="29"/>
      <c r="AF594" s="31"/>
      <c r="AG594" s="30" t="s">
        <v>4718</v>
      </c>
      <c r="AH594" s="28" t="s">
        <v>431</v>
      </c>
      <c r="AI594" s="28" t="s">
        <v>53</v>
      </c>
      <c r="AJ594" s="33">
        <v>36596</v>
      </c>
      <c r="AK594" s="28">
        <v>5</v>
      </c>
      <c r="AL594" s="28">
        <v>15</v>
      </c>
      <c r="AM594" s="21"/>
      <c r="AN594" s="27"/>
      <c r="AO594" s="27"/>
      <c r="AP594" s="27"/>
      <c r="AQ594" s="27"/>
    </row>
    <row r="595" spans="1:43" ht="15.75" customHeight="1">
      <c r="A595" s="28">
        <v>1</v>
      </c>
      <c r="B595" s="29" t="s">
        <v>4734</v>
      </c>
      <c r="C595" s="30"/>
      <c r="D595" s="31" t="s">
        <v>4735</v>
      </c>
      <c r="E595" s="30" t="s">
        <v>72</v>
      </c>
      <c r="F595" s="30" t="s">
        <v>50</v>
      </c>
      <c r="G595" s="30" t="s">
        <v>51</v>
      </c>
      <c r="H595" s="28" t="s">
        <v>52</v>
      </c>
      <c r="I595" s="30"/>
      <c r="J595" s="30" t="s">
        <v>53</v>
      </c>
      <c r="K595" s="30" t="s">
        <v>4736</v>
      </c>
      <c r="L595" s="30" t="s">
        <v>55</v>
      </c>
      <c r="M595" s="30" t="s">
        <v>4711</v>
      </c>
      <c r="N595" s="30" t="s">
        <v>4737</v>
      </c>
      <c r="O595" s="30" t="s">
        <v>4713</v>
      </c>
      <c r="P595" s="30" t="s">
        <v>4738</v>
      </c>
      <c r="Q595" s="28"/>
      <c r="R595" s="30" t="s">
        <v>4739</v>
      </c>
      <c r="S595" s="30" t="s">
        <v>53</v>
      </c>
      <c r="T595" s="30"/>
      <c r="U595" s="28" t="s">
        <v>4740</v>
      </c>
      <c r="V595" s="30" t="s">
        <v>63</v>
      </c>
      <c r="W595" s="30" t="s">
        <v>204</v>
      </c>
      <c r="X595" s="32">
        <v>44409</v>
      </c>
      <c r="Y595" s="32">
        <v>46204</v>
      </c>
      <c r="Z595" s="30" t="s">
        <v>65</v>
      </c>
      <c r="AA595" s="28" t="s">
        <v>66</v>
      </c>
      <c r="AB595" s="28" t="s">
        <v>67</v>
      </c>
      <c r="AC595" s="29"/>
      <c r="AD595" s="28">
        <v>0</v>
      </c>
      <c r="AE595" s="29"/>
      <c r="AF595" s="31"/>
      <c r="AG595" s="30" t="s">
        <v>4718</v>
      </c>
      <c r="AH595" s="28"/>
      <c r="AI595" s="28" t="s">
        <v>118</v>
      </c>
      <c r="AJ595" s="33">
        <v>37367</v>
      </c>
      <c r="AK595" s="28">
        <v>5</v>
      </c>
      <c r="AL595" s="28">
        <v>16</v>
      </c>
      <c r="AM595" s="21"/>
      <c r="AN595" s="27"/>
      <c r="AO595" s="27"/>
      <c r="AP595" s="27"/>
      <c r="AQ595" s="27"/>
    </row>
    <row r="596" spans="1:43" ht="15.75" customHeight="1">
      <c r="A596" s="28">
        <v>1</v>
      </c>
      <c r="B596" s="29" t="s">
        <v>4741</v>
      </c>
      <c r="C596" s="30" t="s">
        <v>4742</v>
      </c>
      <c r="D596" s="31" t="s">
        <v>4743</v>
      </c>
      <c r="E596" s="30" t="s">
        <v>72</v>
      </c>
      <c r="F596" s="30" t="s">
        <v>616</v>
      </c>
      <c r="G596" s="30" t="s">
        <v>51</v>
      </c>
      <c r="H596" s="28" t="s">
        <v>52</v>
      </c>
      <c r="I596" s="30"/>
      <c r="J596" s="30" t="s">
        <v>53</v>
      </c>
      <c r="K596" s="30" t="s">
        <v>4744</v>
      </c>
      <c r="L596" s="30" t="s">
        <v>55</v>
      </c>
      <c r="M596" s="30" t="s">
        <v>4711</v>
      </c>
      <c r="N596" s="30" t="s">
        <v>4745</v>
      </c>
      <c r="O596" s="30" t="s">
        <v>4746</v>
      </c>
      <c r="P596" s="30" t="s">
        <v>4747</v>
      </c>
      <c r="Q596" s="28"/>
      <c r="R596" s="30" t="s">
        <v>4748</v>
      </c>
      <c r="S596" s="30" t="s">
        <v>53</v>
      </c>
      <c r="T596" s="30"/>
      <c r="U596" s="28" t="s">
        <v>4749</v>
      </c>
      <c r="V596" s="30" t="s">
        <v>63</v>
      </c>
      <c r="W596" s="30" t="s">
        <v>4235</v>
      </c>
      <c r="X596" s="32">
        <v>44044</v>
      </c>
      <c r="Y596" s="32">
        <v>45292</v>
      </c>
      <c r="Z596" s="30" t="s">
        <v>65</v>
      </c>
      <c r="AA596" s="28" t="s">
        <v>66</v>
      </c>
      <c r="AB596" s="28" t="s">
        <v>67</v>
      </c>
      <c r="AC596" s="29"/>
      <c r="AD596" s="28">
        <v>0</v>
      </c>
      <c r="AE596" s="29"/>
      <c r="AF596" s="31"/>
      <c r="AG596" s="30" t="s">
        <v>4718</v>
      </c>
      <c r="AH596" s="28"/>
      <c r="AI596" s="28" t="s">
        <v>53</v>
      </c>
      <c r="AJ596" s="33">
        <v>29322</v>
      </c>
      <c r="AK596" s="28">
        <v>5</v>
      </c>
      <c r="AL596" s="28">
        <v>15</v>
      </c>
      <c r="AM596" s="21"/>
      <c r="AN596" s="27"/>
      <c r="AO596" s="27"/>
      <c r="AP596" s="27"/>
      <c r="AQ596" s="27"/>
    </row>
    <row r="597" spans="1:43" ht="15.75" customHeight="1">
      <c r="A597" s="28">
        <v>1</v>
      </c>
      <c r="B597" s="29" t="s">
        <v>4750</v>
      </c>
      <c r="C597" s="30"/>
      <c r="D597" s="31" t="s">
        <v>4751</v>
      </c>
      <c r="E597" s="30" t="s">
        <v>72</v>
      </c>
      <c r="F597" s="30" t="s">
        <v>50</v>
      </c>
      <c r="G597" s="30" t="s">
        <v>51</v>
      </c>
      <c r="H597" s="28" t="s">
        <v>85</v>
      </c>
      <c r="I597" s="30"/>
      <c r="J597" s="30" t="s">
        <v>53</v>
      </c>
      <c r="K597" s="30" t="s">
        <v>407</v>
      </c>
      <c r="L597" s="30" t="s">
        <v>55</v>
      </c>
      <c r="M597" s="30" t="s">
        <v>408</v>
      </c>
      <c r="N597" s="30" t="s">
        <v>4752</v>
      </c>
      <c r="O597" s="30" t="s">
        <v>4753</v>
      </c>
      <c r="P597" s="30" t="s">
        <v>4754</v>
      </c>
      <c r="Q597" s="28"/>
      <c r="R597" s="30" t="s">
        <v>4755</v>
      </c>
      <c r="S597" s="30" t="s">
        <v>53</v>
      </c>
      <c r="T597" s="30"/>
      <c r="U597" s="28" t="s">
        <v>4756</v>
      </c>
      <c r="V597" s="30" t="s">
        <v>63</v>
      </c>
      <c r="W597" s="30" t="s">
        <v>64</v>
      </c>
      <c r="X597" s="32">
        <v>44409</v>
      </c>
      <c r="Y597" s="32">
        <v>46174</v>
      </c>
      <c r="Z597" s="30" t="s">
        <v>65</v>
      </c>
      <c r="AA597" s="28" t="s">
        <v>66</v>
      </c>
      <c r="AB597" s="28" t="s">
        <v>67</v>
      </c>
      <c r="AC597" s="29"/>
      <c r="AD597" s="28">
        <v>0</v>
      </c>
      <c r="AE597" s="29"/>
      <c r="AF597" s="31"/>
      <c r="AG597" s="30" t="s">
        <v>4757</v>
      </c>
      <c r="AH597" s="28"/>
      <c r="AI597" s="28" t="s">
        <v>53</v>
      </c>
      <c r="AJ597" s="33">
        <v>37595</v>
      </c>
      <c r="AK597" s="28">
        <v>5</v>
      </c>
      <c r="AL597" s="28">
        <v>22</v>
      </c>
      <c r="AM597" s="21"/>
      <c r="AN597" s="27"/>
      <c r="AO597" s="27"/>
      <c r="AP597" s="27"/>
      <c r="AQ597" s="27"/>
    </row>
    <row r="598" spans="1:43" ht="15.75" customHeight="1">
      <c r="A598" s="28">
        <v>2</v>
      </c>
      <c r="B598" s="29" t="s">
        <v>4758</v>
      </c>
      <c r="C598" s="30"/>
      <c r="D598" s="31" t="s">
        <v>4759</v>
      </c>
      <c r="E598" s="30" t="s">
        <v>49</v>
      </c>
      <c r="F598" s="30" t="s">
        <v>50</v>
      </c>
      <c r="G598" s="30" t="s">
        <v>51</v>
      </c>
      <c r="H598" s="28" t="s">
        <v>85</v>
      </c>
      <c r="I598" s="30"/>
      <c r="J598" s="30" t="s">
        <v>53</v>
      </c>
      <c r="K598" s="30" t="s">
        <v>407</v>
      </c>
      <c r="L598" s="30" t="s">
        <v>55</v>
      </c>
      <c r="M598" s="30" t="s">
        <v>408</v>
      </c>
      <c r="N598" s="30" t="s">
        <v>4760</v>
      </c>
      <c r="O598" s="30" t="s">
        <v>4761</v>
      </c>
      <c r="P598" s="30" t="s">
        <v>4762</v>
      </c>
      <c r="Q598" s="28"/>
      <c r="R598" s="30" t="s">
        <v>4763</v>
      </c>
      <c r="S598" s="30" t="s">
        <v>53</v>
      </c>
      <c r="T598" s="30"/>
      <c r="U598" s="28" t="s">
        <v>1512</v>
      </c>
      <c r="V598" s="30" t="s">
        <v>63</v>
      </c>
      <c r="W598" s="30" t="s">
        <v>64</v>
      </c>
      <c r="X598" s="32">
        <v>44197</v>
      </c>
      <c r="Y598" s="32">
        <v>45992</v>
      </c>
      <c r="Z598" s="30" t="s">
        <v>65</v>
      </c>
      <c r="AA598" s="28" t="s">
        <v>66</v>
      </c>
      <c r="AB598" s="28" t="s">
        <v>67</v>
      </c>
      <c r="AC598" s="29"/>
      <c r="AD598" s="28">
        <v>0</v>
      </c>
      <c r="AE598" s="29"/>
      <c r="AF598" s="31"/>
      <c r="AG598" s="30" t="s">
        <v>4757</v>
      </c>
      <c r="AH598" s="28"/>
      <c r="AI598" s="28" t="s">
        <v>118</v>
      </c>
      <c r="AJ598" s="33">
        <v>37652</v>
      </c>
      <c r="AK598" s="28">
        <v>6</v>
      </c>
      <c r="AL598" s="28">
        <v>21</v>
      </c>
      <c r="AM598" s="21"/>
      <c r="AN598" s="27"/>
      <c r="AO598" s="27"/>
      <c r="AP598" s="27"/>
      <c r="AQ598" s="27"/>
    </row>
    <row r="599" spans="1:43" ht="15.75" customHeight="1">
      <c r="A599" s="28">
        <v>3</v>
      </c>
      <c r="B599" s="29" t="s">
        <v>4764</v>
      </c>
      <c r="C599" s="30"/>
      <c r="D599" s="31" t="s">
        <v>4765</v>
      </c>
      <c r="E599" s="30" t="s">
        <v>72</v>
      </c>
      <c r="F599" s="30" t="s">
        <v>50</v>
      </c>
      <c r="G599" s="30" t="s">
        <v>51</v>
      </c>
      <c r="H599" s="28" t="s">
        <v>85</v>
      </c>
      <c r="I599" s="30"/>
      <c r="J599" s="30" t="s">
        <v>53</v>
      </c>
      <c r="K599" s="30" t="s">
        <v>407</v>
      </c>
      <c r="L599" s="30" t="s">
        <v>55</v>
      </c>
      <c r="M599" s="30" t="s">
        <v>408</v>
      </c>
      <c r="N599" s="30" t="s">
        <v>4766</v>
      </c>
      <c r="O599" s="30" t="s">
        <v>4767</v>
      </c>
      <c r="P599" s="30" t="s">
        <v>4768</v>
      </c>
      <c r="Q599" s="28"/>
      <c r="R599" s="30" t="s">
        <v>4769</v>
      </c>
      <c r="S599" s="30" t="s">
        <v>53</v>
      </c>
      <c r="T599" s="30"/>
      <c r="U599" s="28" t="s">
        <v>62</v>
      </c>
      <c r="V599" s="30" t="s">
        <v>63</v>
      </c>
      <c r="W599" s="30" t="s">
        <v>64</v>
      </c>
      <c r="X599" s="32">
        <v>44593</v>
      </c>
      <c r="Y599" s="32">
        <v>46357</v>
      </c>
      <c r="Z599" s="30" t="s">
        <v>65</v>
      </c>
      <c r="AA599" s="28" t="s">
        <v>134</v>
      </c>
      <c r="AB599" s="28" t="s">
        <v>67</v>
      </c>
      <c r="AC599" s="29"/>
      <c r="AD599" s="28">
        <v>0</v>
      </c>
      <c r="AE599" s="29"/>
      <c r="AF599" s="31"/>
      <c r="AG599" s="30" t="s">
        <v>4757</v>
      </c>
      <c r="AH599" s="28"/>
      <c r="AI599" s="28" t="s">
        <v>53</v>
      </c>
      <c r="AJ599" s="33">
        <v>37939</v>
      </c>
      <c r="AK599" s="28">
        <v>5</v>
      </c>
      <c r="AL599" s="28">
        <v>18</v>
      </c>
      <c r="AM599" s="21"/>
      <c r="AN599" s="27"/>
      <c r="AO599" s="27"/>
      <c r="AP599" s="27"/>
      <c r="AQ599" s="27"/>
    </row>
    <row r="600" spans="1:43" ht="15.75" customHeight="1">
      <c r="A600" s="28">
        <v>4</v>
      </c>
      <c r="B600" s="29" t="s">
        <v>4770</v>
      </c>
      <c r="C600" s="30"/>
      <c r="D600" s="31" t="s">
        <v>4771</v>
      </c>
      <c r="E600" s="30" t="s">
        <v>72</v>
      </c>
      <c r="F600" s="30" t="s">
        <v>50</v>
      </c>
      <c r="G600" s="30" t="s">
        <v>51</v>
      </c>
      <c r="H600" s="28" t="s">
        <v>601</v>
      </c>
      <c r="I600" s="30"/>
      <c r="J600" s="30" t="s">
        <v>53</v>
      </c>
      <c r="K600" s="30" t="s">
        <v>407</v>
      </c>
      <c r="L600" s="30" t="s">
        <v>55</v>
      </c>
      <c r="M600" s="30" t="s">
        <v>408</v>
      </c>
      <c r="N600" s="30" t="s">
        <v>4772</v>
      </c>
      <c r="O600" s="30" t="s">
        <v>58</v>
      </c>
      <c r="P600" s="30" t="s">
        <v>4773</v>
      </c>
      <c r="Q600" s="28"/>
      <c r="R600" s="30" t="s">
        <v>4774</v>
      </c>
      <c r="S600" s="30" t="s">
        <v>53</v>
      </c>
      <c r="T600" s="30"/>
      <c r="U600" s="28" t="s">
        <v>547</v>
      </c>
      <c r="V600" s="30" t="s">
        <v>63</v>
      </c>
      <c r="W600" s="30" t="s">
        <v>64</v>
      </c>
      <c r="X600" s="32">
        <v>42795</v>
      </c>
      <c r="Y600" s="32">
        <v>44652</v>
      </c>
      <c r="Z600" s="30" t="s">
        <v>65</v>
      </c>
      <c r="AA600" s="28" t="s">
        <v>66</v>
      </c>
      <c r="AB600" s="28" t="s">
        <v>67</v>
      </c>
      <c r="AC600" s="29"/>
      <c r="AD600" s="28">
        <v>0</v>
      </c>
      <c r="AE600" s="29"/>
      <c r="AF600" s="31"/>
      <c r="AG600" s="30" t="s">
        <v>4757</v>
      </c>
      <c r="AH600" s="28"/>
      <c r="AI600" s="28" t="s">
        <v>53</v>
      </c>
      <c r="AJ600" s="33">
        <v>36209</v>
      </c>
      <c r="AK600" s="28">
        <v>9</v>
      </c>
      <c r="AL600" s="28">
        <v>16</v>
      </c>
      <c r="AM600" s="21"/>
      <c r="AN600" s="27"/>
      <c r="AO600" s="27"/>
      <c r="AP600" s="27"/>
      <c r="AQ600" s="27"/>
    </row>
    <row r="601" spans="1:43" ht="15.75" customHeight="1">
      <c r="A601" s="28">
        <v>1</v>
      </c>
      <c r="B601" s="29" t="s">
        <v>4775</v>
      </c>
      <c r="C601" s="30"/>
      <c r="D601" s="31" t="s">
        <v>4776</v>
      </c>
      <c r="E601" s="30" t="s">
        <v>72</v>
      </c>
      <c r="F601" s="30" t="s">
        <v>50</v>
      </c>
      <c r="G601" s="30" t="s">
        <v>51</v>
      </c>
      <c r="H601" s="28" t="s">
        <v>85</v>
      </c>
      <c r="I601" s="30"/>
      <c r="J601" s="30" t="s">
        <v>53</v>
      </c>
      <c r="K601" s="30" t="s">
        <v>4777</v>
      </c>
      <c r="L601" s="30" t="s">
        <v>55</v>
      </c>
      <c r="M601" s="30" t="s">
        <v>4778</v>
      </c>
      <c r="N601" s="30" t="s">
        <v>4779</v>
      </c>
      <c r="O601" s="30" t="s">
        <v>4780</v>
      </c>
      <c r="P601" s="30" t="s">
        <v>4781</v>
      </c>
      <c r="Q601" s="28"/>
      <c r="R601" s="30" t="s">
        <v>4782</v>
      </c>
      <c r="S601" s="30" t="s">
        <v>53</v>
      </c>
      <c r="T601" s="30"/>
      <c r="U601" s="28" t="s">
        <v>4783</v>
      </c>
      <c r="V601" s="30" t="s">
        <v>63</v>
      </c>
      <c r="W601" s="30" t="s">
        <v>64</v>
      </c>
      <c r="X601" s="32">
        <v>44470</v>
      </c>
      <c r="Y601" s="32">
        <v>46357</v>
      </c>
      <c r="Z601" s="30" t="s">
        <v>65</v>
      </c>
      <c r="AA601" s="28" t="s">
        <v>66</v>
      </c>
      <c r="AB601" s="28" t="s">
        <v>67</v>
      </c>
      <c r="AC601" s="29"/>
      <c r="AD601" s="28">
        <v>0</v>
      </c>
      <c r="AE601" s="29"/>
      <c r="AF601" s="31"/>
      <c r="AG601" s="30" t="s">
        <v>4784</v>
      </c>
      <c r="AH601" s="28"/>
      <c r="AI601" s="28" t="s">
        <v>53</v>
      </c>
      <c r="AJ601" s="33">
        <v>37794</v>
      </c>
      <c r="AK601" s="28">
        <v>5</v>
      </c>
      <c r="AL601" s="28">
        <v>29</v>
      </c>
      <c r="AM601" s="21"/>
      <c r="AN601" s="27"/>
      <c r="AO601" s="27"/>
      <c r="AP601" s="27"/>
      <c r="AQ601" s="27"/>
    </row>
    <row r="602" spans="1:43" ht="15.75" customHeight="1">
      <c r="A602" s="28">
        <v>2</v>
      </c>
      <c r="B602" s="29" t="s">
        <v>4785</v>
      </c>
      <c r="C602" s="30"/>
      <c r="D602" s="31" t="s">
        <v>4786</v>
      </c>
      <c r="E602" s="30" t="s">
        <v>72</v>
      </c>
      <c r="F602" s="30" t="s">
        <v>50</v>
      </c>
      <c r="G602" s="30" t="s">
        <v>51</v>
      </c>
      <c r="H602" s="28" t="s">
        <v>85</v>
      </c>
      <c r="I602" s="30"/>
      <c r="J602" s="30" t="s">
        <v>53</v>
      </c>
      <c r="K602" s="30" t="s">
        <v>4787</v>
      </c>
      <c r="L602" s="30" t="s">
        <v>55</v>
      </c>
      <c r="M602" s="30" t="s">
        <v>4778</v>
      </c>
      <c r="N602" s="30" t="s">
        <v>4788</v>
      </c>
      <c r="O602" s="30" t="s">
        <v>4780</v>
      </c>
      <c r="P602" s="30" t="s">
        <v>4789</v>
      </c>
      <c r="Q602" s="28"/>
      <c r="R602" s="30" t="s">
        <v>4790</v>
      </c>
      <c r="S602" s="30" t="s">
        <v>53</v>
      </c>
      <c r="T602" s="30"/>
      <c r="U602" s="28" t="s">
        <v>4783</v>
      </c>
      <c r="V602" s="30" t="s">
        <v>63</v>
      </c>
      <c r="W602" s="30" t="s">
        <v>64</v>
      </c>
      <c r="X602" s="32">
        <v>44409</v>
      </c>
      <c r="Y602" s="32">
        <v>45992</v>
      </c>
      <c r="Z602" s="30" t="s">
        <v>65</v>
      </c>
      <c r="AA602" s="28" t="s">
        <v>66</v>
      </c>
      <c r="AB602" s="28" t="s">
        <v>67</v>
      </c>
      <c r="AC602" s="29"/>
      <c r="AD602" s="28">
        <v>0</v>
      </c>
      <c r="AE602" s="29"/>
      <c r="AF602" s="31"/>
      <c r="AG602" s="30" t="s">
        <v>4784</v>
      </c>
      <c r="AH602" s="28"/>
      <c r="AI602" s="28" t="s">
        <v>53</v>
      </c>
      <c r="AJ602" s="33">
        <v>37808</v>
      </c>
      <c r="AK602" s="28">
        <v>5</v>
      </c>
      <c r="AL602" s="28">
        <v>29</v>
      </c>
      <c r="AM602" s="21"/>
      <c r="AN602" s="27"/>
      <c r="AO602" s="27"/>
      <c r="AP602" s="27"/>
      <c r="AQ602" s="27"/>
    </row>
    <row r="603" spans="1:43" ht="15.75" customHeight="1">
      <c r="A603" s="28">
        <v>3</v>
      </c>
      <c r="B603" s="29" t="s">
        <v>4791</v>
      </c>
      <c r="C603" s="30" t="s">
        <v>4792</v>
      </c>
      <c r="D603" s="31" t="s">
        <v>4793</v>
      </c>
      <c r="E603" s="30" t="s">
        <v>72</v>
      </c>
      <c r="F603" s="30" t="s">
        <v>50</v>
      </c>
      <c r="G603" s="30" t="s">
        <v>51</v>
      </c>
      <c r="H603" s="28" t="s">
        <v>85</v>
      </c>
      <c r="I603" s="30"/>
      <c r="J603" s="30" t="s">
        <v>53</v>
      </c>
      <c r="K603" s="30" t="s">
        <v>4794</v>
      </c>
      <c r="L603" s="30" t="s">
        <v>55</v>
      </c>
      <c r="M603" s="30" t="s">
        <v>4778</v>
      </c>
      <c r="N603" s="30" t="s">
        <v>4795</v>
      </c>
      <c r="O603" s="30" t="s">
        <v>4796</v>
      </c>
      <c r="P603" s="30" t="s">
        <v>4797</v>
      </c>
      <c r="Q603" s="28"/>
      <c r="R603" s="30" t="s">
        <v>4798</v>
      </c>
      <c r="S603" s="30" t="s">
        <v>53</v>
      </c>
      <c r="T603" s="30"/>
      <c r="U603" s="28" t="s">
        <v>4783</v>
      </c>
      <c r="V603" s="30" t="s">
        <v>63</v>
      </c>
      <c r="W603" s="30" t="s">
        <v>64</v>
      </c>
      <c r="X603" s="32">
        <v>44317</v>
      </c>
      <c r="Y603" s="32">
        <v>45992</v>
      </c>
      <c r="Z603" s="30" t="s">
        <v>65</v>
      </c>
      <c r="AA603" s="28" t="s">
        <v>66</v>
      </c>
      <c r="AB603" s="28" t="s">
        <v>67</v>
      </c>
      <c r="AC603" s="29"/>
      <c r="AD603" s="28">
        <v>0</v>
      </c>
      <c r="AE603" s="29"/>
      <c r="AF603" s="31"/>
      <c r="AG603" s="30" t="s">
        <v>4784</v>
      </c>
      <c r="AH603" s="28"/>
      <c r="AI603" s="28" t="s">
        <v>53</v>
      </c>
      <c r="AJ603" s="33">
        <v>36091</v>
      </c>
      <c r="AK603" s="28">
        <v>5</v>
      </c>
      <c r="AL603" s="28">
        <v>28</v>
      </c>
      <c r="AM603" s="21"/>
      <c r="AN603" s="27"/>
      <c r="AO603" s="27"/>
      <c r="AP603" s="27"/>
      <c r="AQ603" s="27"/>
    </row>
    <row r="604" spans="1:43" ht="15.75" customHeight="1">
      <c r="A604" s="28">
        <v>4</v>
      </c>
      <c r="B604" s="29" t="s">
        <v>4799</v>
      </c>
      <c r="C604" s="30" t="s">
        <v>4800</v>
      </c>
      <c r="D604" s="31" t="s">
        <v>4801</v>
      </c>
      <c r="E604" s="30" t="s">
        <v>72</v>
      </c>
      <c r="F604" s="30" t="s">
        <v>50</v>
      </c>
      <c r="G604" s="30" t="s">
        <v>51</v>
      </c>
      <c r="H604" s="28" t="s">
        <v>52</v>
      </c>
      <c r="I604" s="30"/>
      <c r="J604" s="30" t="s">
        <v>53</v>
      </c>
      <c r="K604" s="30" t="s">
        <v>4794</v>
      </c>
      <c r="L604" s="30" t="s">
        <v>55</v>
      </c>
      <c r="M604" s="30" t="s">
        <v>4778</v>
      </c>
      <c r="N604" s="30" t="s">
        <v>4802</v>
      </c>
      <c r="O604" s="30" t="s">
        <v>4796</v>
      </c>
      <c r="P604" s="30" t="s">
        <v>4803</v>
      </c>
      <c r="Q604" s="28" t="s">
        <v>4804</v>
      </c>
      <c r="R604" s="30" t="s">
        <v>4805</v>
      </c>
      <c r="S604" s="30" t="s">
        <v>53</v>
      </c>
      <c r="T604" s="30"/>
      <c r="U604" s="28" t="s">
        <v>4806</v>
      </c>
      <c r="V604" s="30" t="s">
        <v>63</v>
      </c>
      <c r="W604" s="30" t="s">
        <v>64</v>
      </c>
      <c r="X604" s="32">
        <v>44409</v>
      </c>
      <c r="Y604" s="32">
        <v>46327</v>
      </c>
      <c r="Z604" s="30" t="s">
        <v>65</v>
      </c>
      <c r="AA604" s="28" t="s">
        <v>66</v>
      </c>
      <c r="AB604" s="28" t="s">
        <v>67</v>
      </c>
      <c r="AC604" s="29"/>
      <c r="AD604" s="28">
        <v>0</v>
      </c>
      <c r="AE604" s="29"/>
      <c r="AF604" s="31"/>
      <c r="AG604" s="30" t="s">
        <v>4784</v>
      </c>
      <c r="AH604" s="28"/>
      <c r="AI604" s="28" t="s">
        <v>53</v>
      </c>
      <c r="AJ604" s="33">
        <v>37691</v>
      </c>
      <c r="AK604" s="28">
        <v>5</v>
      </c>
      <c r="AL604" s="28">
        <v>27</v>
      </c>
      <c r="AM604" s="21"/>
      <c r="AN604" s="27"/>
      <c r="AO604" s="27"/>
      <c r="AP604" s="27"/>
      <c r="AQ604" s="27"/>
    </row>
    <row r="605" spans="1:43" ht="15.75" customHeight="1">
      <c r="A605" s="28">
        <v>5</v>
      </c>
      <c r="B605" s="29" t="s">
        <v>4807</v>
      </c>
      <c r="C605" s="30"/>
      <c r="D605" s="31" t="s">
        <v>4808</v>
      </c>
      <c r="E605" s="30" t="s">
        <v>72</v>
      </c>
      <c r="F605" s="30" t="s">
        <v>50</v>
      </c>
      <c r="G605" s="30" t="s">
        <v>51</v>
      </c>
      <c r="H605" s="28" t="s">
        <v>85</v>
      </c>
      <c r="I605" s="30"/>
      <c r="J605" s="30" t="s">
        <v>53</v>
      </c>
      <c r="K605" s="30" t="s">
        <v>4809</v>
      </c>
      <c r="L605" s="30" t="s">
        <v>55</v>
      </c>
      <c r="M605" s="30" t="s">
        <v>4778</v>
      </c>
      <c r="N605" s="30" t="s">
        <v>4810</v>
      </c>
      <c r="O605" s="30" t="s">
        <v>4811</v>
      </c>
      <c r="P605" s="30" t="s">
        <v>4812</v>
      </c>
      <c r="Q605" s="28"/>
      <c r="R605" s="30" t="s">
        <v>4813</v>
      </c>
      <c r="S605" s="30" t="s">
        <v>53</v>
      </c>
      <c r="T605" s="30"/>
      <c r="U605" s="28" t="s">
        <v>4783</v>
      </c>
      <c r="V605" s="30" t="s">
        <v>63</v>
      </c>
      <c r="W605" s="30" t="s">
        <v>64</v>
      </c>
      <c r="X605" s="32">
        <v>44470</v>
      </c>
      <c r="Y605" s="32">
        <v>46296</v>
      </c>
      <c r="Z605" s="30" t="s">
        <v>65</v>
      </c>
      <c r="AA605" s="28" t="s">
        <v>66</v>
      </c>
      <c r="AB605" s="28" t="s">
        <v>67</v>
      </c>
      <c r="AC605" s="29"/>
      <c r="AD605" s="28">
        <v>0</v>
      </c>
      <c r="AE605" s="29"/>
      <c r="AF605" s="31"/>
      <c r="AG605" s="30" t="s">
        <v>4784</v>
      </c>
      <c r="AH605" s="28"/>
      <c r="AI605" s="28" t="s">
        <v>53</v>
      </c>
      <c r="AJ605" s="33">
        <v>37601</v>
      </c>
      <c r="AK605" s="28">
        <v>5</v>
      </c>
      <c r="AL605" s="28">
        <v>26</v>
      </c>
      <c r="AM605" s="21"/>
      <c r="AN605" s="27"/>
      <c r="AO605" s="27"/>
      <c r="AP605" s="27"/>
      <c r="AQ605" s="27"/>
    </row>
    <row r="606" spans="1:43" ht="15.75" customHeight="1">
      <c r="A606" s="28">
        <v>6</v>
      </c>
      <c r="B606" s="29" t="s">
        <v>4814</v>
      </c>
      <c r="C606" s="30" t="s">
        <v>4815</v>
      </c>
      <c r="D606" s="31" t="s">
        <v>4816</v>
      </c>
      <c r="E606" s="30" t="s">
        <v>72</v>
      </c>
      <c r="F606" s="30" t="s">
        <v>50</v>
      </c>
      <c r="G606" s="30" t="s">
        <v>51</v>
      </c>
      <c r="H606" s="28" t="s">
        <v>85</v>
      </c>
      <c r="I606" s="30"/>
      <c r="J606" s="30" t="s">
        <v>53</v>
      </c>
      <c r="K606" s="30" t="s">
        <v>4817</v>
      </c>
      <c r="L606" s="30" t="s">
        <v>55</v>
      </c>
      <c r="M606" s="30" t="s">
        <v>4778</v>
      </c>
      <c r="N606" s="30" t="s">
        <v>4818</v>
      </c>
      <c r="O606" s="30" t="s">
        <v>4819</v>
      </c>
      <c r="P606" s="30" t="s">
        <v>4820</v>
      </c>
      <c r="Q606" s="28" t="s">
        <v>4821</v>
      </c>
      <c r="R606" s="30" t="s">
        <v>4822</v>
      </c>
      <c r="S606" s="30" t="s">
        <v>53</v>
      </c>
      <c r="T606" s="30"/>
      <c r="U606" s="28" t="s">
        <v>4783</v>
      </c>
      <c r="V606" s="30" t="s">
        <v>63</v>
      </c>
      <c r="W606" s="30" t="s">
        <v>64</v>
      </c>
      <c r="X606" s="32">
        <v>44166</v>
      </c>
      <c r="Y606" s="32">
        <v>45992</v>
      </c>
      <c r="Z606" s="30" t="s">
        <v>65</v>
      </c>
      <c r="AA606" s="28" t="s">
        <v>66</v>
      </c>
      <c r="AB606" s="28" t="s">
        <v>67</v>
      </c>
      <c r="AC606" s="29"/>
      <c r="AD606" s="28">
        <v>0</v>
      </c>
      <c r="AE606" s="29"/>
      <c r="AF606" s="31"/>
      <c r="AG606" s="30" t="s">
        <v>4784</v>
      </c>
      <c r="AH606" s="28"/>
      <c r="AI606" s="28" t="s">
        <v>53</v>
      </c>
      <c r="AJ606" s="33">
        <v>37048</v>
      </c>
      <c r="AK606" s="28">
        <v>7</v>
      </c>
      <c r="AL606" s="28">
        <v>24</v>
      </c>
      <c r="AM606" s="21"/>
      <c r="AN606" s="27"/>
      <c r="AO606" s="27"/>
      <c r="AP606" s="27"/>
      <c r="AQ606" s="27"/>
    </row>
    <row r="607" spans="1:43" ht="15.75" customHeight="1">
      <c r="A607" s="28">
        <v>7</v>
      </c>
      <c r="B607" s="29" t="s">
        <v>4823</v>
      </c>
      <c r="C607" s="30"/>
      <c r="D607" s="31" t="s">
        <v>4824</v>
      </c>
      <c r="E607" s="30" t="s">
        <v>72</v>
      </c>
      <c r="F607" s="30" t="s">
        <v>50</v>
      </c>
      <c r="G607" s="30" t="s">
        <v>51</v>
      </c>
      <c r="H607" s="28" t="s">
        <v>52</v>
      </c>
      <c r="I607" s="30"/>
      <c r="J607" s="30" t="s">
        <v>53</v>
      </c>
      <c r="K607" s="30" t="s">
        <v>4825</v>
      </c>
      <c r="L607" s="30" t="s">
        <v>55</v>
      </c>
      <c r="M607" s="30" t="s">
        <v>4778</v>
      </c>
      <c r="N607" s="30" t="s">
        <v>4826</v>
      </c>
      <c r="O607" s="30" t="s">
        <v>4827</v>
      </c>
      <c r="P607" s="30" t="s">
        <v>4828</v>
      </c>
      <c r="Q607" s="28"/>
      <c r="R607" s="30" t="s">
        <v>4829</v>
      </c>
      <c r="S607" s="30" t="s">
        <v>53</v>
      </c>
      <c r="T607" s="30"/>
      <c r="U607" s="28" t="s">
        <v>4783</v>
      </c>
      <c r="V607" s="30" t="s">
        <v>63</v>
      </c>
      <c r="W607" s="30" t="s">
        <v>64</v>
      </c>
      <c r="X607" s="32">
        <v>44470</v>
      </c>
      <c r="Y607" s="32">
        <v>45992</v>
      </c>
      <c r="Z607" s="30" t="s">
        <v>65</v>
      </c>
      <c r="AA607" s="28" t="s">
        <v>66</v>
      </c>
      <c r="AB607" s="28" t="s">
        <v>67</v>
      </c>
      <c r="AC607" s="29"/>
      <c r="AD607" s="28">
        <v>0</v>
      </c>
      <c r="AE607" s="29"/>
      <c r="AF607" s="31"/>
      <c r="AG607" s="30" t="s">
        <v>4784</v>
      </c>
      <c r="AH607" s="28"/>
      <c r="AI607" s="28" t="s">
        <v>53</v>
      </c>
      <c r="AJ607" s="33">
        <v>37607</v>
      </c>
      <c r="AK607" s="28">
        <v>5</v>
      </c>
      <c r="AL607" s="28">
        <v>23</v>
      </c>
      <c r="AM607" s="21"/>
      <c r="AN607" s="27"/>
      <c r="AO607" s="27"/>
      <c r="AP607" s="27"/>
      <c r="AQ607" s="27"/>
    </row>
    <row r="608" spans="1:43" ht="15.75" customHeight="1">
      <c r="A608" s="28">
        <v>8</v>
      </c>
      <c r="B608" s="29" t="s">
        <v>4830</v>
      </c>
      <c r="C608" s="30"/>
      <c r="D608" s="31" t="s">
        <v>4831</v>
      </c>
      <c r="E608" s="30" t="s">
        <v>49</v>
      </c>
      <c r="F608" s="30" t="s">
        <v>50</v>
      </c>
      <c r="G608" s="30" t="s">
        <v>51</v>
      </c>
      <c r="H608" s="28" t="s">
        <v>85</v>
      </c>
      <c r="I608" s="30"/>
      <c r="J608" s="30" t="s">
        <v>53</v>
      </c>
      <c r="K608" s="30" t="s">
        <v>4832</v>
      </c>
      <c r="L608" s="30" t="s">
        <v>55</v>
      </c>
      <c r="M608" s="30" t="s">
        <v>4778</v>
      </c>
      <c r="N608" s="30" t="s">
        <v>4833</v>
      </c>
      <c r="O608" s="30" t="s">
        <v>58</v>
      </c>
      <c r="P608" s="30" t="s">
        <v>4834</v>
      </c>
      <c r="Q608" s="28"/>
      <c r="R608" s="30" t="s">
        <v>4835</v>
      </c>
      <c r="S608" s="30" t="s">
        <v>53</v>
      </c>
      <c r="T608" s="30"/>
      <c r="U608" s="28" t="s">
        <v>4836</v>
      </c>
      <c r="V608" s="30" t="s">
        <v>63</v>
      </c>
      <c r="W608" s="30" t="s">
        <v>64</v>
      </c>
      <c r="X608" s="32">
        <v>43831</v>
      </c>
      <c r="Y608" s="32">
        <v>45597</v>
      </c>
      <c r="Z608" s="30" t="s">
        <v>65</v>
      </c>
      <c r="AA608" s="28" t="s">
        <v>66</v>
      </c>
      <c r="AB608" s="28" t="s">
        <v>67</v>
      </c>
      <c r="AC608" s="29"/>
      <c r="AD608" s="28">
        <v>0</v>
      </c>
      <c r="AE608" s="29"/>
      <c r="AF608" s="31"/>
      <c r="AG608" s="30" t="s">
        <v>4784</v>
      </c>
      <c r="AH608" s="28"/>
      <c r="AI608" s="28" t="s">
        <v>53</v>
      </c>
      <c r="AJ608" s="33">
        <v>37190</v>
      </c>
      <c r="AK608" s="28">
        <v>7</v>
      </c>
      <c r="AL608" s="28">
        <v>23</v>
      </c>
      <c r="AM608" s="21"/>
      <c r="AN608" s="27"/>
      <c r="AO608" s="27"/>
      <c r="AP608" s="27"/>
      <c r="AQ608" s="27"/>
    </row>
    <row r="609" spans="1:43" ht="15.75" customHeight="1">
      <c r="A609" s="28">
        <v>9</v>
      </c>
      <c r="B609" s="29" t="s">
        <v>4837</v>
      </c>
      <c r="C609" s="30"/>
      <c r="D609" s="31" t="s">
        <v>4838</v>
      </c>
      <c r="E609" s="30" t="s">
        <v>49</v>
      </c>
      <c r="F609" s="30" t="s">
        <v>50</v>
      </c>
      <c r="G609" s="30" t="s">
        <v>51</v>
      </c>
      <c r="H609" s="28" t="s">
        <v>191</v>
      </c>
      <c r="I609" s="30"/>
      <c r="J609" s="30" t="s">
        <v>53</v>
      </c>
      <c r="K609" s="30" t="s">
        <v>4839</v>
      </c>
      <c r="L609" s="30" t="s">
        <v>55</v>
      </c>
      <c r="M609" s="30" t="s">
        <v>4778</v>
      </c>
      <c r="N609" s="30" t="s">
        <v>4840</v>
      </c>
      <c r="O609" s="30" t="s">
        <v>58</v>
      </c>
      <c r="P609" s="30" t="s">
        <v>4841</v>
      </c>
      <c r="Q609" s="28"/>
      <c r="R609" s="30" t="s">
        <v>4842</v>
      </c>
      <c r="S609" s="30" t="s">
        <v>53</v>
      </c>
      <c r="T609" s="30"/>
      <c r="U609" s="28" t="s">
        <v>4783</v>
      </c>
      <c r="V609" s="30" t="s">
        <v>63</v>
      </c>
      <c r="W609" s="30" t="s">
        <v>64</v>
      </c>
      <c r="X609" s="32">
        <v>43891</v>
      </c>
      <c r="Y609" s="32">
        <v>45627</v>
      </c>
      <c r="Z609" s="30" t="s">
        <v>65</v>
      </c>
      <c r="AA609" s="28" t="s">
        <v>66</v>
      </c>
      <c r="AB609" s="28" t="s">
        <v>67</v>
      </c>
      <c r="AC609" s="29"/>
      <c r="AD609" s="28">
        <v>0</v>
      </c>
      <c r="AE609" s="29"/>
      <c r="AF609" s="31"/>
      <c r="AG609" s="30" t="s">
        <v>4784</v>
      </c>
      <c r="AH609" s="28"/>
      <c r="AI609" s="28" t="s">
        <v>53</v>
      </c>
      <c r="AJ609" s="33">
        <v>36071</v>
      </c>
      <c r="AK609" s="28">
        <v>7</v>
      </c>
      <c r="AL609" s="28">
        <v>23</v>
      </c>
      <c r="AM609" s="21"/>
      <c r="AN609" s="27"/>
      <c r="AO609" s="27"/>
      <c r="AP609" s="27"/>
      <c r="AQ609" s="27"/>
    </row>
    <row r="610" spans="1:43" ht="15.75" customHeight="1">
      <c r="A610" s="28">
        <v>10</v>
      </c>
      <c r="B610" s="29" t="s">
        <v>4843</v>
      </c>
      <c r="C610" s="30"/>
      <c r="D610" s="31" t="s">
        <v>4844</v>
      </c>
      <c r="E610" s="30" t="s">
        <v>49</v>
      </c>
      <c r="F610" s="30" t="s">
        <v>50</v>
      </c>
      <c r="G610" s="30" t="s">
        <v>51</v>
      </c>
      <c r="H610" s="28" t="s">
        <v>85</v>
      </c>
      <c r="I610" s="30"/>
      <c r="J610" s="30" t="s">
        <v>53</v>
      </c>
      <c r="K610" s="30" t="s">
        <v>4809</v>
      </c>
      <c r="L610" s="30" t="s">
        <v>55</v>
      </c>
      <c r="M610" s="30" t="s">
        <v>4778</v>
      </c>
      <c r="N610" s="30" t="s">
        <v>4845</v>
      </c>
      <c r="O610" s="30" t="s">
        <v>4811</v>
      </c>
      <c r="P610" s="30" t="s">
        <v>4846</v>
      </c>
      <c r="Q610" s="28" t="s">
        <v>4847</v>
      </c>
      <c r="R610" s="30" t="s">
        <v>4848</v>
      </c>
      <c r="S610" s="30" t="s">
        <v>53</v>
      </c>
      <c r="T610" s="30"/>
      <c r="U610" s="28" t="s">
        <v>4783</v>
      </c>
      <c r="V610" s="30" t="s">
        <v>63</v>
      </c>
      <c r="W610" s="30" t="s">
        <v>64</v>
      </c>
      <c r="X610" s="32">
        <v>44470</v>
      </c>
      <c r="Y610" s="32">
        <v>45992</v>
      </c>
      <c r="Z610" s="30" t="s">
        <v>65</v>
      </c>
      <c r="AA610" s="28" t="s">
        <v>66</v>
      </c>
      <c r="AB610" s="28" t="s">
        <v>67</v>
      </c>
      <c r="AC610" s="29"/>
      <c r="AD610" s="28">
        <v>0</v>
      </c>
      <c r="AE610" s="29"/>
      <c r="AF610" s="31"/>
      <c r="AG610" s="30" t="s">
        <v>4784</v>
      </c>
      <c r="AH610" s="28"/>
      <c r="AI610" s="28" t="s">
        <v>53</v>
      </c>
      <c r="AJ610" s="33">
        <v>37823</v>
      </c>
      <c r="AK610" s="28">
        <v>5</v>
      </c>
      <c r="AL610" s="28">
        <v>22</v>
      </c>
      <c r="AM610" s="21"/>
      <c r="AN610" s="27"/>
      <c r="AO610" s="27"/>
      <c r="AP610" s="27"/>
      <c r="AQ610" s="27"/>
    </row>
    <row r="611" spans="1:43" ht="15.75" customHeight="1">
      <c r="A611" s="28">
        <v>11</v>
      </c>
      <c r="B611" s="29" t="s">
        <v>4849</v>
      </c>
      <c r="C611" s="30"/>
      <c r="D611" s="31" t="s">
        <v>4850</v>
      </c>
      <c r="E611" s="30" t="s">
        <v>72</v>
      </c>
      <c r="F611" s="30" t="s">
        <v>50</v>
      </c>
      <c r="G611" s="30" t="s">
        <v>51</v>
      </c>
      <c r="H611" s="28" t="s">
        <v>52</v>
      </c>
      <c r="I611" s="30"/>
      <c r="J611" s="30" t="s">
        <v>53</v>
      </c>
      <c r="K611" s="30" t="s">
        <v>4851</v>
      </c>
      <c r="L611" s="30" t="s">
        <v>55</v>
      </c>
      <c r="M611" s="30" t="s">
        <v>4778</v>
      </c>
      <c r="N611" s="30" t="s">
        <v>4852</v>
      </c>
      <c r="O611" s="30" t="s">
        <v>4853</v>
      </c>
      <c r="P611" s="30" t="s">
        <v>4854</v>
      </c>
      <c r="Q611" s="28"/>
      <c r="R611" s="30" t="s">
        <v>4855</v>
      </c>
      <c r="S611" s="30" t="s">
        <v>53</v>
      </c>
      <c r="T611" s="30"/>
      <c r="U611" s="28" t="s">
        <v>4836</v>
      </c>
      <c r="V611" s="30" t="s">
        <v>63</v>
      </c>
      <c r="W611" s="30" t="s">
        <v>64</v>
      </c>
      <c r="X611" s="32">
        <v>44470</v>
      </c>
      <c r="Y611" s="32">
        <v>45717</v>
      </c>
      <c r="Z611" s="30" t="s">
        <v>65</v>
      </c>
      <c r="AA611" s="28" t="s">
        <v>66</v>
      </c>
      <c r="AB611" s="28" t="s">
        <v>67</v>
      </c>
      <c r="AC611" s="29"/>
      <c r="AD611" s="28">
        <v>0</v>
      </c>
      <c r="AE611" s="29"/>
      <c r="AF611" s="31"/>
      <c r="AG611" s="30" t="s">
        <v>4784</v>
      </c>
      <c r="AH611" s="28"/>
      <c r="AI611" s="28" t="s">
        <v>53</v>
      </c>
      <c r="AJ611" s="33">
        <v>37478</v>
      </c>
      <c r="AK611" s="28">
        <v>5</v>
      </c>
      <c r="AL611" s="28">
        <v>21</v>
      </c>
      <c r="AM611" s="21"/>
      <c r="AN611" s="27"/>
      <c r="AO611" s="27"/>
      <c r="AP611" s="27"/>
      <c r="AQ611" s="27"/>
    </row>
    <row r="612" spans="1:43" ht="15.75" customHeight="1">
      <c r="A612" s="28">
        <v>12</v>
      </c>
      <c r="B612" s="29" t="s">
        <v>4856</v>
      </c>
      <c r="C612" s="30"/>
      <c r="D612" s="31" t="s">
        <v>4857</v>
      </c>
      <c r="E612" s="30" t="s">
        <v>49</v>
      </c>
      <c r="F612" s="30" t="s">
        <v>50</v>
      </c>
      <c r="G612" s="30" t="s">
        <v>51</v>
      </c>
      <c r="H612" s="28" t="s">
        <v>85</v>
      </c>
      <c r="I612" s="30"/>
      <c r="J612" s="30" t="s">
        <v>53</v>
      </c>
      <c r="K612" s="30" t="s">
        <v>4858</v>
      </c>
      <c r="L612" s="30" t="s">
        <v>55</v>
      </c>
      <c r="M612" s="30" t="s">
        <v>4778</v>
      </c>
      <c r="N612" s="30" t="s">
        <v>4859</v>
      </c>
      <c r="O612" s="30" t="s">
        <v>4860</v>
      </c>
      <c r="P612" s="30" t="s">
        <v>4861</v>
      </c>
      <c r="Q612" s="28"/>
      <c r="R612" s="30" t="s">
        <v>4862</v>
      </c>
      <c r="S612" s="30" t="s">
        <v>53</v>
      </c>
      <c r="T612" s="30"/>
      <c r="U612" s="28" t="s">
        <v>4806</v>
      </c>
      <c r="V612" s="30" t="s">
        <v>63</v>
      </c>
      <c r="W612" s="30" t="s">
        <v>64</v>
      </c>
      <c r="X612" s="32">
        <v>44562</v>
      </c>
      <c r="Y612" s="32">
        <v>46388</v>
      </c>
      <c r="Z612" s="30" t="s">
        <v>65</v>
      </c>
      <c r="AA612" s="28" t="s">
        <v>66</v>
      </c>
      <c r="AB612" s="28" t="s">
        <v>67</v>
      </c>
      <c r="AC612" s="29"/>
      <c r="AD612" s="28">
        <v>0</v>
      </c>
      <c r="AE612" s="29"/>
      <c r="AF612" s="31"/>
      <c r="AG612" s="30" t="s">
        <v>4784</v>
      </c>
      <c r="AH612" s="28"/>
      <c r="AI612" s="28" t="s">
        <v>53</v>
      </c>
      <c r="AJ612" s="33">
        <v>38062</v>
      </c>
      <c r="AK612" s="28">
        <v>5</v>
      </c>
      <c r="AL612" s="28">
        <v>21</v>
      </c>
      <c r="AM612" s="21"/>
      <c r="AN612" s="27"/>
      <c r="AO612" s="27"/>
      <c r="AP612" s="27"/>
      <c r="AQ612" s="27"/>
    </row>
    <row r="613" spans="1:43" ht="15.75" customHeight="1">
      <c r="A613" s="28">
        <v>13</v>
      </c>
      <c r="B613" s="29" t="s">
        <v>4863</v>
      </c>
      <c r="C613" s="30"/>
      <c r="D613" s="31" t="s">
        <v>4864</v>
      </c>
      <c r="E613" s="30" t="s">
        <v>72</v>
      </c>
      <c r="F613" s="30" t="s">
        <v>50</v>
      </c>
      <c r="G613" s="30" t="s">
        <v>51</v>
      </c>
      <c r="H613" s="28" t="s">
        <v>52</v>
      </c>
      <c r="I613" s="30"/>
      <c r="J613" s="30" t="s">
        <v>53</v>
      </c>
      <c r="K613" s="30" t="s">
        <v>4865</v>
      </c>
      <c r="L613" s="30" t="s">
        <v>55</v>
      </c>
      <c r="M613" s="30" t="s">
        <v>4778</v>
      </c>
      <c r="N613" s="30" t="s">
        <v>4866</v>
      </c>
      <c r="O613" s="30" t="s">
        <v>4853</v>
      </c>
      <c r="P613" s="30" t="s">
        <v>4867</v>
      </c>
      <c r="Q613" s="28"/>
      <c r="R613" s="30" t="s">
        <v>4868</v>
      </c>
      <c r="S613" s="30" t="s">
        <v>53</v>
      </c>
      <c r="T613" s="30"/>
      <c r="U613" s="28" t="s">
        <v>4806</v>
      </c>
      <c r="V613" s="30" t="s">
        <v>63</v>
      </c>
      <c r="W613" s="30" t="s">
        <v>64</v>
      </c>
      <c r="X613" s="32">
        <v>44562</v>
      </c>
      <c r="Y613" s="32">
        <v>46388</v>
      </c>
      <c r="Z613" s="30" t="s">
        <v>65</v>
      </c>
      <c r="AA613" s="28" t="s">
        <v>66</v>
      </c>
      <c r="AB613" s="28" t="s">
        <v>67</v>
      </c>
      <c r="AC613" s="29"/>
      <c r="AD613" s="28">
        <v>0</v>
      </c>
      <c r="AE613" s="29"/>
      <c r="AF613" s="31"/>
      <c r="AG613" s="30" t="s">
        <v>4784</v>
      </c>
      <c r="AH613" s="28"/>
      <c r="AI613" s="28" t="s">
        <v>53</v>
      </c>
      <c r="AJ613" s="33">
        <v>37379</v>
      </c>
      <c r="AK613" s="28">
        <v>5</v>
      </c>
      <c r="AL613" s="28">
        <v>21</v>
      </c>
      <c r="AM613" s="21"/>
      <c r="AN613" s="27"/>
      <c r="AO613" s="27"/>
      <c r="AP613" s="27"/>
      <c r="AQ613" s="27"/>
    </row>
    <row r="614" spans="1:43" ht="15.75" customHeight="1">
      <c r="A614" s="28">
        <v>14</v>
      </c>
      <c r="B614" s="29" t="s">
        <v>4869</v>
      </c>
      <c r="C614" s="30"/>
      <c r="D614" s="31" t="s">
        <v>4870</v>
      </c>
      <c r="E614" s="30" t="s">
        <v>72</v>
      </c>
      <c r="F614" s="30" t="s">
        <v>50</v>
      </c>
      <c r="G614" s="30" t="s">
        <v>51</v>
      </c>
      <c r="H614" s="28" t="s">
        <v>85</v>
      </c>
      <c r="I614" s="30"/>
      <c r="J614" s="30" t="s">
        <v>53</v>
      </c>
      <c r="K614" s="30" t="s">
        <v>4871</v>
      </c>
      <c r="L614" s="30" t="s">
        <v>55</v>
      </c>
      <c r="M614" s="30" t="s">
        <v>4778</v>
      </c>
      <c r="N614" s="30" t="s">
        <v>4872</v>
      </c>
      <c r="O614" s="30" t="s">
        <v>4873</v>
      </c>
      <c r="P614" s="30" t="s">
        <v>4874</v>
      </c>
      <c r="Q614" s="28"/>
      <c r="R614" s="30" t="s">
        <v>4875</v>
      </c>
      <c r="S614" s="30" t="s">
        <v>53</v>
      </c>
      <c r="T614" s="30"/>
      <c r="U614" s="28" t="s">
        <v>4806</v>
      </c>
      <c r="V614" s="30" t="s">
        <v>63</v>
      </c>
      <c r="W614" s="30" t="s">
        <v>64</v>
      </c>
      <c r="X614" s="32">
        <v>44593</v>
      </c>
      <c r="Y614" s="32">
        <v>46023</v>
      </c>
      <c r="Z614" s="30" t="s">
        <v>65</v>
      </c>
      <c r="AA614" s="28" t="s">
        <v>66</v>
      </c>
      <c r="AB614" s="28" t="s">
        <v>67</v>
      </c>
      <c r="AC614" s="29"/>
      <c r="AD614" s="28">
        <v>0</v>
      </c>
      <c r="AE614" s="29"/>
      <c r="AF614" s="31"/>
      <c r="AG614" s="30" t="s">
        <v>4784</v>
      </c>
      <c r="AH614" s="28"/>
      <c r="AI614" s="28" t="s">
        <v>53</v>
      </c>
      <c r="AJ614" s="33">
        <v>37948</v>
      </c>
      <c r="AK614" s="28">
        <v>5</v>
      </c>
      <c r="AL614" s="28">
        <v>20</v>
      </c>
      <c r="AM614" s="21"/>
      <c r="AN614" s="27"/>
      <c r="AO614" s="27"/>
      <c r="AP614" s="27"/>
      <c r="AQ614" s="27"/>
    </row>
    <row r="615" spans="1:43" ht="15.75" customHeight="1">
      <c r="A615" s="28">
        <v>15</v>
      </c>
      <c r="B615" s="29" t="s">
        <v>4876</v>
      </c>
      <c r="C615" s="30"/>
      <c r="D615" s="31" t="s">
        <v>4877</v>
      </c>
      <c r="E615" s="30" t="s">
        <v>72</v>
      </c>
      <c r="F615" s="30" t="s">
        <v>50</v>
      </c>
      <c r="G615" s="30" t="s">
        <v>51</v>
      </c>
      <c r="H615" s="28" t="s">
        <v>52</v>
      </c>
      <c r="I615" s="30"/>
      <c r="J615" s="30" t="s">
        <v>53</v>
      </c>
      <c r="K615" s="30" t="s">
        <v>4865</v>
      </c>
      <c r="L615" s="30" t="s">
        <v>55</v>
      </c>
      <c r="M615" s="30" t="s">
        <v>4778</v>
      </c>
      <c r="N615" s="30" t="s">
        <v>4878</v>
      </c>
      <c r="O615" s="30" t="s">
        <v>4853</v>
      </c>
      <c r="P615" s="30" t="s">
        <v>4879</v>
      </c>
      <c r="Q615" s="28" t="s">
        <v>4880</v>
      </c>
      <c r="R615" s="30" t="s">
        <v>4881</v>
      </c>
      <c r="S615" s="30" t="s">
        <v>53</v>
      </c>
      <c r="T615" s="30"/>
      <c r="U615" s="28" t="s">
        <v>4882</v>
      </c>
      <c r="V615" s="30" t="s">
        <v>63</v>
      </c>
      <c r="W615" s="30" t="s">
        <v>64</v>
      </c>
      <c r="X615" s="32">
        <v>44470</v>
      </c>
      <c r="Y615" s="32">
        <v>46296</v>
      </c>
      <c r="Z615" s="30" t="s">
        <v>65</v>
      </c>
      <c r="AA615" s="28" t="s">
        <v>246</v>
      </c>
      <c r="AB615" s="28" t="s">
        <v>67</v>
      </c>
      <c r="AC615" s="29"/>
      <c r="AD615" s="28">
        <v>0</v>
      </c>
      <c r="AE615" s="29"/>
      <c r="AF615" s="31"/>
      <c r="AG615" s="30" t="s">
        <v>4784</v>
      </c>
      <c r="AH615" s="28"/>
      <c r="AI615" s="28" t="s">
        <v>53</v>
      </c>
      <c r="AJ615" s="33">
        <v>37283</v>
      </c>
      <c r="AK615" s="28">
        <v>5</v>
      </c>
      <c r="AL615" s="28">
        <v>19</v>
      </c>
      <c r="AM615" s="21"/>
      <c r="AN615" s="27"/>
      <c r="AO615" s="27"/>
      <c r="AP615" s="27"/>
      <c r="AQ615" s="27"/>
    </row>
    <row r="616" spans="1:43" ht="15.75" customHeight="1">
      <c r="A616" s="28">
        <v>16</v>
      </c>
      <c r="B616" s="29" t="s">
        <v>4883</v>
      </c>
      <c r="C616" s="30"/>
      <c r="D616" s="31" t="s">
        <v>4884</v>
      </c>
      <c r="E616" s="30" t="s">
        <v>49</v>
      </c>
      <c r="F616" s="30" t="s">
        <v>50</v>
      </c>
      <c r="G616" s="30" t="s">
        <v>51</v>
      </c>
      <c r="H616" s="28" t="s">
        <v>191</v>
      </c>
      <c r="I616" s="30"/>
      <c r="J616" s="30" t="s">
        <v>53</v>
      </c>
      <c r="K616" s="30" t="s">
        <v>4885</v>
      </c>
      <c r="L616" s="30" t="s">
        <v>55</v>
      </c>
      <c r="M616" s="30" t="s">
        <v>4778</v>
      </c>
      <c r="N616" s="30" t="s">
        <v>4886</v>
      </c>
      <c r="O616" s="30" t="s">
        <v>1055</v>
      </c>
      <c r="P616" s="30" t="s">
        <v>4887</v>
      </c>
      <c r="Q616" s="28"/>
      <c r="R616" s="30" t="s">
        <v>4888</v>
      </c>
      <c r="S616" s="30" t="s">
        <v>53</v>
      </c>
      <c r="T616" s="30"/>
      <c r="U616" s="28" t="s">
        <v>4783</v>
      </c>
      <c r="V616" s="30" t="s">
        <v>63</v>
      </c>
      <c r="W616" s="30" t="s">
        <v>64</v>
      </c>
      <c r="X616" s="32">
        <v>44470</v>
      </c>
      <c r="Y616" s="32">
        <v>45992</v>
      </c>
      <c r="Z616" s="30" t="s">
        <v>65</v>
      </c>
      <c r="AA616" s="28" t="s">
        <v>66</v>
      </c>
      <c r="AB616" s="28" t="s">
        <v>67</v>
      </c>
      <c r="AC616" s="29"/>
      <c r="AD616" s="28">
        <v>0</v>
      </c>
      <c r="AE616" s="29"/>
      <c r="AF616" s="31"/>
      <c r="AG616" s="30" t="s">
        <v>4784</v>
      </c>
      <c r="AH616" s="28"/>
      <c r="AI616" s="28" t="s">
        <v>53</v>
      </c>
      <c r="AJ616" s="33">
        <v>37273</v>
      </c>
      <c r="AK616" s="28">
        <v>5</v>
      </c>
      <c r="AL616" s="28">
        <v>19</v>
      </c>
      <c r="AM616" s="21"/>
      <c r="AN616" s="27"/>
      <c r="AO616" s="27"/>
      <c r="AP616" s="27"/>
      <c r="AQ616" s="27"/>
    </row>
    <row r="617" spans="1:43" ht="15.75" customHeight="1">
      <c r="A617" s="28">
        <v>17</v>
      </c>
      <c r="B617" s="29" t="s">
        <v>4889</v>
      </c>
      <c r="C617" s="30"/>
      <c r="D617" s="31" t="s">
        <v>4890</v>
      </c>
      <c r="E617" s="30" t="s">
        <v>72</v>
      </c>
      <c r="F617" s="30" t="s">
        <v>50</v>
      </c>
      <c r="G617" s="30" t="s">
        <v>51</v>
      </c>
      <c r="H617" s="28" t="s">
        <v>52</v>
      </c>
      <c r="I617" s="30"/>
      <c r="J617" s="30" t="s">
        <v>53</v>
      </c>
      <c r="K617" s="30" t="s">
        <v>4891</v>
      </c>
      <c r="L617" s="30" t="s">
        <v>55</v>
      </c>
      <c r="M617" s="30" t="s">
        <v>4778</v>
      </c>
      <c r="N617" s="30" t="s">
        <v>4892</v>
      </c>
      <c r="O617" s="30" t="s">
        <v>4893</v>
      </c>
      <c r="P617" s="30" t="s">
        <v>4894</v>
      </c>
      <c r="Q617" s="28" t="s">
        <v>4895</v>
      </c>
      <c r="R617" s="30" t="s">
        <v>4896</v>
      </c>
      <c r="S617" s="30" t="s">
        <v>53</v>
      </c>
      <c r="T617" s="30"/>
      <c r="U617" s="28" t="s">
        <v>4783</v>
      </c>
      <c r="V617" s="30" t="s">
        <v>63</v>
      </c>
      <c r="W617" s="30" t="s">
        <v>64</v>
      </c>
      <c r="X617" s="32">
        <v>45170</v>
      </c>
      <c r="Y617" s="32">
        <v>45992</v>
      </c>
      <c r="Z617" s="30" t="s">
        <v>65</v>
      </c>
      <c r="AA617" s="28" t="s">
        <v>66</v>
      </c>
      <c r="AB617" s="28" t="s">
        <v>67</v>
      </c>
      <c r="AC617" s="29"/>
      <c r="AD617" s="28">
        <v>0</v>
      </c>
      <c r="AE617" s="29"/>
      <c r="AF617" s="31"/>
      <c r="AG617" s="30" t="s">
        <v>4784</v>
      </c>
      <c r="AH617" s="28"/>
      <c r="AI617" s="28" t="s">
        <v>53</v>
      </c>
      <c r="AJ617" s="33">
        <v>36901</v>
      </c>
      <c r="AK617" s="28">
        <v>5</v>
      </c>
      <c r="AL617" s="28">
        <v>18</v>
      </c>
      <c r="AM617" s="21"/>
      <c r="AN617" s="27"/>
      <c r="AO617" s="27"/>
      <c r="AP617" s="27"/>
      <c r="AQ617" s="27"/>
    </row>
    <row r="618" spans="1:43" ht="15.75" customHeight="1">
      <c r="A618" s="28">
        <v>18</v>
      </c>
      <c r="B618" s="29" t="s">
        <v>4897</v>
      </c>
      <c r="C618" s="30"/>
      <c r="D618" s="31" t="s">
        <v>4898</v>
      </c>
      <c r="E618" s="30" t="s">
        <v>72</v>
      </c>
      <c r="F618" s="30" t="s">
        <v>50</v>
      </c>
      <c r="G618" s="30" t="s">
        <v>51</v>
      </c>
      <c r="H618" s="28" t="s">
        <v>52</v>
      </c>
      <c r="I618" s="30"/>
      <c r="J618" s="30" t="s">
        <v>53</v>
      </c>
      <c r="K618" s="30" t="s">
        <v>4899</v>
      </c>
      <c r="L618" s="30" t="s">
        <v>55</v>
      </c>
      <c r="M618" s="30" t="s">
        <v>4778</v>
      </c>
      <c r="N618" s="30" t="s">
        <v>4900</v>
      </c>
      <c r="O618" s="30" t="s">
        <v>4901</v>
      </c>
      <c r="P618" s="30" t="s">
        <v>4902</v>
      </c>
      <c r="Q618" s="28" t="s">
        <v>4903</v>
      </c>
      <c r="R618" s="30" t="s">
        <v>4904</v>
      </c>
      <c r="S618" s="30" t="s">
        <v>53</v>
      </c>
      <c r="T618" s="30"/>
      <c r="U618" s="28" t="s">
        <v>4783</v>
      </c>
      <c r="V618" s="30" t="s">
        <v>63</v>
      </c>
      <c r="W618" s="30" t="s">
        <v>64</v>
      </c>
      <c r="X618" s="32">
        <v>44470</v>
      </c>
      <c r="Y618" s="32">
        <v>46296</v>
      </c>
      <c r="Z618" s="30" t="s">
        <v>65</v>
      </c>
      <c r="AA618" s="28" t="s">
        <v>66</v>
      </c>
      <c r="AB618" s="28" t="s">
        <v>67</v>
      </c>
      <c r="AC618" s="29"/>
      <c r="AD618" s="28">
        <v>0</v>
      </c>
      <c r="AE618" s="29"/>
      <c r="AF618" s="31"/>
      <c r="AG618" s="30" t="s">
        <v>4784</v>
      </c>
      <c r="AH618" s="28"/>
      <c r="AI618" s="28" t="s">
        <v>53</v>
      </c>
      <c r="AJ618" s="33">
        <v>37977</v>
      </c>
      <c r="AK618" s="28">
        <v>5</v>
      </c>
      <c r="AL618" s="28">
        <v>17</v>
      </c>
      <c r="AM618" s="21"/>
      <c r="AN618" s="27"/>
      <c r="AO618" s="27"/>
      <c r="AP618" s="27"/>
      <c r="AQ618" s="27"/>
    </row>
    <row r="619" spans="1:43" ht="15.75" customHeight="1">
      <c r="A619" s="28">
        <v>19</v>
      </c>
      <c r="B619" s="29" t="s">
        <v>4905</v>
      </c>
      <c r="C619" s="30"/>
      <c r="D619" s="31" t="s">
        <v>4906</v>
      </c>
      <c r="E619" s="30" t="s">
        <v>49</v>
      </c>
      <c r="F619" s="30" t="s">
        <v>50</v>
      </c>
      <c r="G619" s="30" t="s">
        <v>51</v>
      </c>
      <c r="H619" s="28" t="s">
        <v>52</v>
      </c>
      <c r="I619" s="30"/>
      <c r="J619" s="30" t="s">
        <v>53</v>
      </c>
      <c r="K619" s="30" t="s">
        <v>4907</v>
      </c>
      <c r="L619" s="30" t="s">
        <v>55</v>
      </c>
      <c r="M619" s="30" t="s">
        <v>4778</v>
      </c>
      <c r="N619" s="30" t="s">
        <v>4908</v>
      </c>
      <c r="O619" s="30" t="s">
        <v>4909</v>
      </c>
      <c r="P619" s="30" t="s">
        <v>4910</v>
      </c>
      <c r="Q619" s="28" t="s">
        <v>4911</v>
      </c>
      <c r="R619" s="30" t="s">
        <v>4912</v>
      </c>
      <c r="S619" s="30" t="s">
        <v>53</v>
      </c>
      <c r="T619" s="30"/>
      <c r="U619" s="28" t="s">
        <v>4783</v>
      </c>
      <c r="V619" s="30" t="s">
        <v>63</v>
      </c>
      <c r="W619" s="30" t="s">
        <v>64</v>
      </c>
      <c r="X619" s="32">
        <v>45078</v>
      </c>
      <c r="Y619" s="32">
        <v>46722</v>
      </c>
      <c r="Z619" s="30" t="s">
        <v>65</v>
      </c>
      <c r="AA619" s="28" t="s">
        <v>66</v>
      </c>
      <c r="AB619" s="28" t="s">
        <v>67</v>
      </c>
      <c r="AC619" s="29"/>
      <c r="AD619" s="28">
        <v>0</v>
      </c>
      <c r="AE619" s="29"/>
      <c r="AF619" s="31"/>
      <c r="AG619" s="30" t="s">
        <v>4784</v>
      </c>
      <c r="AH619" s="28" t="s">
        <v>431</v>
      </c>
      <c r="AI619" s="28" t="s">
        <v>53</v>
      </c>
      <c r="AJ619" s="33">
        <v>37344</v>
      </c>
      <c r="AK619" s="28">
        <v>5</v>
      </c>
      <c r="AL619" s="28">
        <v>15</v>
      </c>
      <c r="AM619" s="21"/>
      <c r="AN619" s="27"/>
      <c r="AO619" s="27"/>
      <c r="AP619" s="27"/>
      <c r="AQ619" s="27"/>
    </row>
    <row r="620" spans="1:43" ht="15.75" customHeight="1">
      <c r="A620" s="28">
        <v>1</v>
      </c>
      <c r="B620" s="29" t="s">
        <v>4913</v>
      </c>
      <c r="C620" s="30"/>
      <c r="D620" s="31" t="s">
        <v>4914</v>
      </c>
      <c r="E620" s="30" t="s">
        <v>72</v>
      </c>
      <c r="F620" s="30" t="s">
        <v>50</v>
      </c>
      <c r="G620" s="30" t="s">
        <v>51</v>
      </c>
      <c r="H620" s="28" t="s">
        <v>52</v>
      </c>
      <c r="I620" s="30"/>
      <c r="J620" s="30" t="s">
        <v>53</v>
      </c>
      <c r="K620" s="30" t="s">
        <v>4915</v>
      </c>
      <c r="L620" s="30" t="s">
        <v>55</v>
      </c>
      <c r="M620" s="30" t="s">
        <v>4778</v>
      </c>
      <c r="N620" s="30" t="s">
        <v>4916</v>
      </c>
      <c r="O620" s="30" t="s">
        <v>4873</v>
      </c>
      <c r="P620" s="30" t="s">
        <v>4917</v>
      </c>
      <c r="Q620" s="28"/>
      <c r="R620" s="30" t="s">
        <v>4918</v>
      </c>
      <c r="S620" s="30" t="s">
        <v>53</v>
      </c>
      <c r="T620" s="30"/>
      <c r="U620" s="28" t="s">
        <v>4919</v>
      </c>
      <c r="V620" s="30" t="s">
        <v>63</v>
      </c>
      <c r="W620" s="30" t="s">
        <v>4235</v>
      </c>
      <c r="X620" s="32">
        <v>44197</v>
      </c>
      <c r="Y620" s="32">
        <v>45627</v>
      </c>
      <c r="Z620" s="30" t="s">
        <v>65</v>
      </c>
      <c r="AA620" s="28" t="s">
        <v>246</v>
      </c>
      <c r="AB620" s="28" t="s">
        <v>67</v>
      </c>
      <c r="AC620" s="29"/>
      <c r="AD620" s="28">
        <v>0</v>
      </c>
      <c r="AE620" s="29"/>
      <c r="AF620" s="31"/>
      <c r="AG620" s="30" t="s">
        <v>4784</v>
      </c>
      <c r="AH620" s="28"/>
      <c r="AI620" s="28" t="s">
        <v>53</v>
      </c>
      <c r="AJ620" s="33">
        <v>32823</v>
      </c>
      <c r="AK620" s="28">
        <v>5</v>
      </c>
      <c r="AL620" s="28">
        <v>17</v>
      </c>
      <c r="AM620" s="21"/>
      <c r="AN620" s="27"/>
      <c r="AO620" s="27"/>
      <c r="AP620" s="27"/>
      <c r="AQ620" s="27"/>
    </row>
    <row r="621" spans="1:43" ht="15.75" customHeight="1">
      <c r="A621" s="28">
        <v>1</v>
      </c>
      <c r="B621" s="29" t="s">
        <v>4920</v>
      </c>
      <c r="C621" s="30"/>
      <c r="D621" s="31" t="s">
        <v>4921</v>
      </c>
      <c r="E621" s="30" t="s">
        <v>72</v>
      </c>
      <c r="F621" s="30" t="s">
        <v>50</v>
      </c>
      <c r="G621" s="30" t="s">
        <v>51</v>
      </c>
      <c r="H621" s="28" t="s">
        <v>52</v>
      </c>
      <c r="I621" s="30"/>
      <c r="J621" s="30" t="s">
        <v>53</v>
      </c>
      <c r="K621" s="30" t="s">
        <v>4922</v>
      </c>
      <c r="L621" s="30" t="s">
        <v>55</v>
      </c>
      <c r="M621" s="30" t="s">
        <v>4923</v>
      </c>
      <c r="N621" s="30" t="s">
        <v>4924</v>
      </c>
      <c r="O621" s="30" t="s">
        <v>4925</v>
      </c>
      <c r="P621" s="30" t="s">
        <v>4926</v>
      </c>
      <c r="Q621" s="28" t="s">
        <v>4927</v>
      </c>
      <c r="R621" s="30" t="s">
        <v>4928</v>
      </c>
      <c r="S621" s="30" t="s">
        <v>53</v>
      </c>
      <c r="T621" s="30"/>
      <c r="U621" s="28" t="s">
        <v>896</v>
      </c>
      <c r="V621" s="30" t="s">
        <v>63</v>
      </c>
      <c r="W621" s="30" t="s">
        <v>64</v>
      </c>
      <c r="X621" s="32">
        <v>43831</v>
      </c>
      <c r="Y621" s="32">
        <v>45627</v>
      </c>
      <c r="Z621" s="30" t="s">
        <v>65</v>
      </c>
      <c r="AA621" s="28" t="s">
        <v>66</v>
      </c>
      <c r="AB621" s="28" t="s">
        <v>67</v>
      </c>
      <c r="AC621" s="29"/>
      <c r="AD621" s="28">
        <v>0</v>
      </c>
      <c r="AE621" s="29"/>
      <c r="AF621" s="31"/>
      <c r="AG621" s="30" t="s">
        <v>4929</v>
      </c>
      <c r="AH621" s="28"/>
      <c r="AI621" s="28" t="s">
        <v>53</v>
      </c>
      <c r="AJ621" s="33">
        <v>37280</v>
      </c>
      <c r="AK621" s="28">
        <v>8</v>
      </c>
      <c r="AL621" s="28">
        <v>18</v>
      </c>
      <c r="AM621" s="21"/>
      <c r="AN621" s="27"/>
      <c r="AO621" s="27"/>
      <c r="AP621" s="27"/>
      <c r="AQ621" s="27"/>
    </row>
    <row r="622" spans="1:43" ht="15.75" customHeight="1">
      <c r="A622" s="28">
        <v>1</v>
      </c>
      <c r="B622" s="29" t="s">
        <v>4930</v>
      </c>
      <c r="C622" s="30"/>
      <c r="D622" s="31" t="s">
        <v>4931</v>
      </c>
      <c r="E622" s="30" t="s">
        <v>72</v>
      </c>
      <c r="F622" s="30" t="s">
        <v>50</v>
      </c>
      <c r="G622" s="30" t="s">
        <v>51</v>
      </c>
      <c r="H622" s="28" t="s">
        <v>52</v>
      </c>
      <c r="I622" s="30"/>
      <c r="J622" s="30" t="s">
        <v>53</v>
      </c>
      <c r="K622" s="30" t="s">
        <v>4932</v>
      </c>
      <c r="L622" s="30" t="s">
        <v>55</v>
      </c>
      <c r="M622" s="30" t="s">
        <v>4933</v>
      </c>
      <c r="N622" s="30" t="s">
        <v>4934</v>
      </c>
      <c r="O622" s="30" t="s">
        <v>58</v>
      </c>
      <c r="P622" s="30" t="s">
        <v>4935</v>
      </c>
      <c r="Q622" s="28" t="s">
        <v>4936</v>
      </c>
      <c r="R622" s="30" t="s">
        <v>4937</v>
      </c>
      <c r="S622" s="30" t="s">
        <v>53</v>
      </c>
      <c r="T622" s="30"/>
      <c r="U622" s="28" t="s">
        <v>4938</v>
      </c>
      <c r="V622" s="30" t="s">
        <v>63</v>
      </c>
      <c r="W622" s="30" t="s">
        <v>64</v>
      </c>
      <c r="X622" s="32">
        <v>44593</v>
      </c>
      <c r="Y622" s="32">
        <v>46357</v>
      </c>
      <c r="Z622" s="30" t="s">
        <v>65</v>
      </c>
      <c r="AA622" s="28" t="s">
        <v>66</v>
      </c>
      <c r="AB622" s="28" t="s">
        <v>67</v>
      </c>
      <c r="AC622" s="29"/>
      <c r="AD622" s="28">
        <v>0</v>
      </c>
      <c r="AE622" s="29"/>
      <c r="AF622" s="31"/>
      <c r="AG622" s="30" t="s">
        <v>4939</v>
      </c>
      <c r="AH622" s="28"/>
      <c r="AI622" s="28" t="s">
        <v>53</v>
      </c>
      <c r="AJ622" s="33">
        <v>37975</v>
      </c>
      <c r="AK622" s="28">
        <v>5</v>
      </c>
      <c r="AL622" s="28">
        <v>21</v>
      </c>
      <c r="AM622" s="21"/>
      <c r="AN622" s="27"/>
      <c r="AO622" s="27"/>
      <c r="AP622" s="27"/>
      <c r="AQ622" s="27"/>
    </row>
    <row r="623" spans="1:43" ht="15.75" customHeight="1">
      <c r="A623" s="28">
        <v>2</v>
      </c>
      <c r="B623" s="29" t="s">
        <v>4940</v>
      </c>
      <c r="C623" s="30" t="s">
        <v>4941</v>
      </c>
      <c r="D623" s="31" t="s">
        <v>4942</v>
      </c>
      <c r="E623" s="30" t="s">
        <v>49</v>
      </c>
      <c r="F623" s="30" t="s">
        <v>50</v>
      </c>
      <c r="G623" s="30" t="s">
        <v>51</v>
      </c>
      <c r="H623" s="28" t="s">
        <v>85</v>
      </c>
      <c r="I623" s="30"/>
      <c r="J623" s="30" t="s">
        <v>53</v>
      </c>
      <c r="K623" s="30" t="s">
        <v>4932</v>
      </c>
      <c r="L623" s="30" t="s">
        <v>55</v>
      </c>
      <c r="M623" s="30" t="s">
        <v>4933</v>
      </c>
      <c r="N623" s="30" t="s">
        <v>4943</v>
      </c>
      <c r="O623" s="30" t="s">
        <v>4944</v>
      </c>
      <c r="P623" s="30" t="s">
        <v>4945</v>
      </c>
      <c r="Q623" s="28" t="s">
        <v>4946</v>
      </c>
      <c r="R623" s="30" t="s">
        <v>4947</v>
      </c>
      <c r="S623" s="30" t="s">
        <v>53</v>
      </c>
      <c r="T623" s="30"/>
      <c r="U623" s="28" t="s">
        <v>4938</v>
      </c>
      <c r="V623" s="30" t="s">
        <v>63</v>
      </c>
      <c r="W623" s="30" t="s">
        <v>64</v>
      </c>
      <c r="X623" s="32">
        <v>44409</v>
      </c>
      <c r="Y623" s="32">
        <v>46023</v>
      </c>
      <c r="Z623" s="30" t="s">
        <v>65</v>
      </c>
      <c r="AA623" s="28" t="s">
        <v>66</v>
      </c>
      <c r="AB623" s="28" t="s">
        <v>67</v>
      </c>
      <c r="AC623" s="29"/>
      <c r="AD623" s="28">
        <v>0</v>
      </c>
      <c r="AE623" s="29"/>
      <c r="AF623" s="31"/>
      <c r="AG623" s="30" t="s">
        <v>4939</v>
      </c>
      <c r="AH623" s="28"/>
      <c r="AI623" s="28" t="s">
        <v>53</v>
      </c>
      <c r="AJ623" s="33">
        <v>35643</v>
      </c>
      <c r="AK623" s="28">
        <v>6</v>
      </c>
      <c r="AL623" s="28">
        <v>21</v>
      </c>
      <c r="AM623" s="21"/>
      <c r="AN623" s="27"/>
      <c r="AO623" s="27"/>
      <c r="AP623" s="27"/>
      <c r="AQ623" s="27"/>
    </row>
    <row r="624" spans="1:43" ht="15.75" customHeight="1">
      <c r="A624" s="28">
        <v>3</v>
      </c>
      <c r="B624" s="29" t="s">
        <v>4948</v>
      </c>
      <c r="C624" s="30"/>
      <c r="D624" s="31" t="s">
        <v>4949</v>
      </c>
      <c r="E624" s="30" t="s">
        <v>72</v>
      </c>
      <c r="F624" s="30" t="s">
        <v>50</v>
      </c>
      <c r="G624" s="30" t="s">
        <v>51</v>
      </c>
      <c r="H624" s="28" t="s">
        <v>85</v>
      </c>
      <c r="I624" s="30"/>
      <c r="J624" s="30" t="s">
        <v>53</v>
      </c>
      <c r="K624" s="30" t="s">
        <v>4932</v>
      </c>
      <c r="L624" s="30" t="s">
        <v>55</v>
      </c>
      <c r="M624" s="30" t="s">
        <v>4933</v>
      </c>
      <c r="N624" s="30" t="s">
        <v>4950</v>
      </c>
      <c r="O624" s="30" t="s">
        <v>58</v>
      </c>
      <c r="P624" s="30" t="s">
        <v>4951</v>
      </c>
      <c r="Q624" s="28"/>
      <c r="R624" s="30" t="s">
        <v>4952</v>
      </c>
      <c r="S624" s="30" t="s">
        <v>53</v>
      </c>
      <c r="T624" s="30"/>
      <c r="U624" s="28" t="s">
        <v>4953</v>
      </c>
      <c r="V624" s="30" t="s">
        <v>63</v>
      </c>
      <c r="W624" s="30" t="s">
        <v>64</v>
      </c>
      <c r="X624" s="32">
        <v>44593</v>
      </c>
      <c r="Y624" s="32">
        <v>46357</v>
      </c>
      <c r="Z624" s="30" t="s">
        <v>65</v>
      </c>
      <c r="AA624" s="28" t="s">
        <v>66</v>
      </c>
      <c r="AB624" s="28" t="s">
        <v>67</v>
      </c>
      <c r="AC624" s="29"/>
      <c r="AD624" s="28">
        <v>0</v>
      </c>
      <c r="AE624" s="29"/>
      <c r="AF624" s="31"/>
      <c r="AG624" s="30" t="s">
        <v>4939</v>
      </c>
      <c r="AH624" s="28"/>
      <c r="AI624" s="28" t="s">
        <v>53</v>
      </c>
      <c r="AJ624" s="33">
        <v>37813</v>
      </c>
      <c r="AK624" s="28">
        <v>5</v>
      </c>
      <c r="AL624" s="28">
        <v>21</v>
      </c>
      <c r="AM624" s="21"/>
      <c r="AN624" s="27"/>
      <c r="AO624" s="27"/>
      <c r="AP624" s="27"/>
      <c r="AQ624" s="27"/>
    </row>
    <row r="625" spans="1:43" ht="15.75" customHeight="1">
      <c r="A625" s="28">
        <v>4</v>
      </c>
      <c r="B625" s="29" t="s">
        <v>4954</v>
      </c>
      <c r="C625" s="30" t="s">
        <v>4955</v>
      </c>
      <c r="D625" s="31" t="s">
        <v>4956</v>
      </c>
      <c r="E625" s="30" t="s">
        <v>72</v>
      </c>
      <c r="F625" s="30" t="s">
        <v>50</v>
      </c>
      <c r="G625" s="30" t="s">
        <v>51</v>
      </c>
      <c r="H625" s="28" t="s">
        <v>85</v>
      </c>
      <c r="I625" s="30"/>
      <c r="J625" s="30" t="s">
        <v>53</v>
      </c>
      <c r="K625" s="30" t="s">
        <v>4932</v>
      </c>
      <c r="L625" s="30" t="s">
        <v>55</v>
      </c>
      <c r="M625" s="30" t="s">
        <v>4933</v>
      </c>
      <c r="N625" s="30" t="s">
        <v>4957</v>
      </c>
      <c r="O625" s="30" t="s">
        <v>4958</v>
      </c>
      <c r="P625" s="30" t="s">
        <v>4959</v>
      </c>
      <c r="Q625" s="28" t="s">
        <v>4960</v>
      </c>
      <c r="R625" s="30" t="s">
        <v>4960</v>
      </c>
      <c r="S625" s="30" t="s">
        <v>53</v>
      </c>
      <c r="T625" s="30"/>
      <c r="U625" s="28" t="s">
        <v>4961</v>
      </c>
      <c r="V625" s="30" t="s">
        <v>63</v>
      </c>
      <c r="W625" s="30" t="s">
        <v>64</v>
      </c>
      <c r="X625" s="32">
        <v>44562</v>
      </c>
      <c r="Y625" s="32">
        <v>46388</v>
      </c>
      <c r="Z625" s="30" t="s">
        <v>65</v>
      </c>
      <c r="AA625" s="28" t="s">
        <v>66</v>
      </c>
      <c r="AB625" s="28" t="s">
        <v>67</v>
      </c>
      <c r="AC625" s="29"/>
      <c r="AD625" s="28">
        <v>0</v>
      </c>
      <c r="AE625" s="29"/>
      <c r="AF625" s="31"/>
      <c r="AG625" s="30" t="s">
        <v>4939</v>
      </c>
      <c r="AH625" s="28"/>
      <c r="AI625" s="28" t="s">
        <v>118</v>
      </c>
      <c r="AJ625" s="33">
        <v>38085</v>
      </c>
      <c r="AK625" s="28">
        <v>5</v>
      </c>
      <c r="AL625" s="28">
        <v>21</v>
      </c>
      <c r="AM625" s="21"/>
      <c r="AN625" s="27"/>
      <c r="AO625" s="27"/>
      <c r="AP625" s="27"/>
      <c r="AQ625" s="27"/>
    </row>
    <row r="626" spans="1:43" ht="15.75" customHeight="1">
      <c r="A626" s="28">
        <v>5</v>
      </c>
      <c r="B626" s="29" t="s">
        <v>4962</v>
      </c>
      <c r="C626" s="30"/>
      <c r="D626" s="31" t="s">
        <v>4963</v>
      </c>
      <c r="E626" s="30" t="s">
        <v>72</v>
      </c>
      <c r="F626" s="30" t="s">
        <v>50</v>
      </c>
      <c r="G626" s="30" t="s">
        <v>51</v>
      </c>
      <c r="H626" s="28" t="s">
        <v>52</v>
      </c>
      <c r="I626" s="30"/>
      <c r="J626" s="30" t="s">
        <v>53</v>
      </c>
      <c r="K626" s="30" t="s">
        <v>4932</v>
      </c>
      <c r="L626" s="30" t="s">
        <v>55</v>
      </c>
      <c r="M626" s="30" t="s">
        <v>4933</v>
      </c>
      <c r="N626" s="30" t="s">
        <v>4964</v>
      </c>
      <c r="O626" s="30" t="s">
        <v>58</v>
      </c>
      <c r="P626" s="30" t="s">
        <v>4965</v>
      </c>
      <c r="Q626" s="28"/>
      <c r="R626" s="30" t="s">
        <v>4966</v>
      </c>
      <c r="S626" s="30" t="s">
        <v>53</v>
      </c>
      <c r="T626" s="30"/>
      <c r="U626" s="28" t="s">
        <v>4967</v>
      </c>
      <c r="V626" s="30" t="s">
        <v>63</v>
      </c>
      <c r="W626" s="30" t="s">
        <v>64</v>
      </c>
      <c r="X626" s="32">
        <v>43497</v>
      </c>
      <c r="Y626" s="32">
        <v>45627</v>
      </c>
      <c r="Z626" s="30" t="s">
        <v>65</v>
      </c>
      <c r="AA626" s="28" t="s">
        <v>66</v>
      </c>
      <c r="AB626" s="28" t="s">
        <v>67</v>
      </c>
      <c r="AC626" s="29"/>
      <c r="AD626" s="28">
        <v>0</v>
      </c>
      <c r="AE626" s="29"/>
      <c r="AF626" s="31"/>
      <c r="AG626" s="30" t="s">
        <v>4939</v>
      </c>
      <c r="AH626" s="28"/>
      <c r="AI626" s="28" t="s">
        <v>53</v>
      </c>
      <c r="AJ626" s="33">
        <v>36859</v>
      </c>
      <c r="AK626" s="28">
        <v>8</v>
      </c>
      <c r="AL626" s="28">
        <v>20</v>
      </c>
      <c r="AM626" s="21"/>
      <c r="AN626" s="27"/>
      <c r="AO626" s="27"/>
      <c r="AP626" s="27"/>
      <c r="AQ626" s="27"/>
    </row>
    <row r="627" spans="1:43" ht="15.75" customHeight="1">
      <c r="A627" s="28">
        <v>6</v>
      </c>
      <c r="B627" s="29" t="s">
        <v>4968</v>
      </c>
      <c r="C627" s="30"/>
      <c r="D627" s="31" t="s">
        <v>4969</v>
      </c>
      <c r="E627" s="30" t="s">
        <v>49</v>
      </c>
      <c r="F627" s="30" t="s">
        <v>50</v>
      </c>
      <c r="G627" s="30" t="s">
        <v>51</v>
      </c>
      <c r="H627" s="28" t="s">
        <v>85</v>
      </c>
      <c r="I627" s="30"/>
      <c r="J627" s="30" t="s">
        <v>53</v>
      </c>
      <c r="K627" s="30" t="s">
        <v>4932</v>
      </c>
      <c r="L627" s="30" t="s">
        <v>55</v>
      </c>
      <c r="M627" s="30" t="s">
        <v>4933</v>
      </c>
      <c r="N627" s="30" t="s">
        <v>4970</v>
      </c>
      <c r="O627" s="30" t="s">
        <v>4971</v>
      </c>
      <c r="P627" s="30" t="s">
        <v>4972</v>
      </c>
      <c r="Q627" s="28" t="s">
        <v>4973</v>
      </c>
      <c r="R627" s="30" t="s">
        <v>4974</v>
      </c>
      <c r="S627" s="30" t="s">
        <v>53</v>
      </c>
      <c r="T627" s="30"/>
      <c r="U627" s="28" t="s">
        <v>1362</v>
      </c>
      <c r="V627" s="30" t="s">
        <v>63</v>
      </c>
      <c r="W627" s="30" t="s">
        <v>64</v>
      </c>
      <c r="X627" s="32">
        <v>43862</v>
      </c>
      <c r="Y627" s="32">
        <v>45627</v>
      </c>
      <c r="Z627" s="30" t="s">
        <v>65</v>
      </c>
      <c r="AA627" s="28" t="s">
        <v>134</v>
      </c>
      <c r="AB627" s="28" t="s">
        <v>67</v>
      </c>
      <c r="AC627" s="29"/>
      <c r="AD627" s="28">
        <v>0</v>
      </c>
      <c r="AE627" s="29"/>
      <c r="AF627" s="31"/>
      <c r="AG627" s="30" t="s">
        <v>4939</v>
      </c>
      <c r="AH627" s="28"/>
      <c r="AI627" s="28" t="s">
        <v>53</v>
      </c>
      <c r="AJ627" s="33">
        <v>37308</v>
      </c>
      <c r="AK627" s="28">
        <v>8</v>
      </c>
      <c r="AL627" s="28">
        <v>20</v>
      </c>
      <c r="AM627" s="21"/>
      <c r="AN627" s="27"/>
      <c r="AO627" s="27"/>
      <c r="AP627" s="27"/>
      <c r="AQ627" s="27"/>
    </row>
    <row r="628" spans="1:43" ht="15.75" customHeight="1">
      <c r="A628" s="28">
        <v>7</v>
      </c>
      <c r="B628" s="29" t="s">
        <v>4975</v>
      </c>
      <c r="C628" s="30"/>
      <c r="D628" s="31" t="s">
        <v>4976</v>
      </c>
      <c r="E628" s="30" t="s">
        <v>72</v>
      </c>
      <c r="F628" s="30" t="s">
        <v>50</v>
      </c>
      <c r="G628" s="30" t="s">
        <v>51</v>
      </c>
      <c r="H628" s="28" t="s">
        <v>52</v>
      </c>
      <c r="I628" s="30"/>
      <c r="J628" s="30" t="s">
        <v>53</v>
      </c>
      <c r="K628" s="30" t="s">
        <v>4932</v>
      </c>
      <c r="L628" s="30" t="s">
        <v>55</v>
      </c>
      <c r="M628" s="30" t="s">
        <v>4933</v>
      </c>
      <c r="N628" s="30" t="s">
        <v>4977</v>
      </c>
      <c r="O628" s="30" t="s">
        <v>1679</v>
      </c>
      <c r="P628" s="30" t="s">
        <v>4978</v>
      </c>
      <c r="Q628" s="28"/>
      <c r="R628" s="30" t="s">
        <v>4979</v>
      </c>
      <c r="S628" s="30" t="s">
        <v>53</v>
      </c>
      <c r="T628" s="30"/>
      <c r="U628" s="28" t="s">
        <v>4938</v>
      </c>
      <c r="V628" s="30" t="s">
        <v>63</v>
      </c>
      <c r="W628" s="30" t="s">
        <v>64</v>
      </c>
      <c r="X628" s="32">
        <v>44593</v>
      </c>
      <c r="Y628" s="32">
        <v>46357</v>
      </c>
      <c r="Z628" s="30" t="s">
        <v>65</v>
      </c>
      <c r="AA628" s="28" t="s">
        <v>66</v>
      </c>
      <c r="AB628" s="28" t="s">
        <v>67</v>
      </c>
      <c r="AC628" s="29"/>
      <c r="AD628" s="28">
        <v>0</v>
      </c>
      <c r="AE628" s="29"/>
      <c r="AF628" s="31"/>
      <c r="AG628" s="30" t="s">
        <v>4939</v>
      </c>
      <c r="AH628" s="28"/>
      <c r="AI628" s="28" t="s">
        <v>53</v>
      </c>
      <c r="AJ628" s="33">
        <v>37480</v>
      </c>
      <c r="AK628" s="28">
        <v>5</v>
      </c>
      <c r="AL628" s="28">
        <v>17</v>
      </c>
      <c r="AM628" s="21"/>
      <c r="AN628" s="27"/>
      <c r="AO628" s="27"/>
      <c r="AP628" s="27"/>
      <c r="AQ628" s="27"/>
    </row>
    <row r="629" spans="1:43" ht="15.75" customHeight="1">
      <c r="A629" s="28">
        <v>8</v>
      </c>
      <c r="B629" s="29" t="s">
        <v>4980</v>
      </c>
      <c r="C629" s="30"/>
      <c r="D629" s="31" t="s">
        <v>4981</v>
      </c>
      <c r="E629" s="30" t="s">
        <v>72</v>
      </c>
      <c r="F629" s="30" t="s">
        <v>50</v>
      </c>
      <c r="G629" s="30" t="s">
        <v>51</v>
      </c>
      <c r="H629" s="28" t="s">
        <v>52</v>
      </c>
      <c r="I629" s="30"/>
      <c r="J629" s="30" t="s">
        <v>53</v>
      </c>
      <c r="K629" s="30" t="s">
        <v>4932</v>
      </c>
      <c r="L629" s="30" t="s">
        <v>55</v>
      </c>
      <c r="M629" s="30" t="s">
        <v>4933</v>
      </c>
      <c r="N629" s="30" t="s">
        <v>4982</v>
      </c>
      <c r="O629" s="30" t="s">
        <v>58</v>
      </c>
      <c r="P629" s="30" t="s">
        <v>4983</v>
      </c>
      <c r="Q629" s="28"/>
      <c r="R629" s="30" t="s">
        <v>4984</v>
      </c>
      <c r="S629" s="30" t="s">
        <v>53</v>
      </c>
      <c r="T629" s="30"/>
      <c r="U629" s="28" t="s">
        <v>4938</v>
      </c>
      <c r="V629" s="30" t="s">
        <v>63</v>
      </c>
      <c r="W629" s="30" t="s">
        <v>64</v>
      </c>
      <c r="X629" s="32">
        <v>44593</v>
      </c>
      <c r="Y629" s="32">
        <v>46357</v>
      </c>
      <c r="Z629" s="30" t="s">
        <v>65</v>
      </c>
      <c r="AA629" s="28" t="s">
        <v>66</v>
      </c>
      <c r="AB629" s="28" t="s">
        <v>67</v>
      </c>
      <c r="AC629" s="29"/>
      <c r="AD629" s="28">
        <v>0</v>
      </c>
      <c r="AE629" s="29"/>
      <c r="AF629" s="31"/>
      <c r="AG629" s="30" t="s">
        <v>4939</v>
      </c>
      <c r="AH629" s="28"/>
      <c r="AI629" s="28" t="s">
        <v>53</v>
      </c>
      <c r="AJ629" s="33">
        <v>37975</v>
      </c>
      <c r="AK629" s="28">
        <v>5</v>
      </c>
      <c r="AL629" s="28">
        <v>16</v>
      </c>
      <c r="AM629" s="21"/>
      <c r="AN629" s="27"/>
      <c r="AO629" s="27"/>
      <c r="AP629" s="27"/>
      <c r="AQ629" s="27"/>
    </row>
    <row r="630" spans="1:43" ht="15.75" customHeight="1">
      <c r="A630" s="28">
        <v>1</v>
      </c>
      <c r="B630" s="29" t="s">
        <v>4985</v>
      </c>
      <c r="C630" s="30"/>
      <c r="D630" s="31" t="s">
        <v>4986</v>
      </c>
      <c r="E630" s="30" t="s">
        <v>72</v>
      </c>
      <c r="F630" s="30" t="s">
        <v>50</v>
      </c>
      <c r="G630" s="30" t="s">
        <v>51</v>
      </c>
      <c r="H630" s="28" t="s">
        <v>85</v>
      </c>
      <c r="I630" s="30"/>
      <c r="J630" s="30" t="s">
        <v>53</v>
      </c>
      <c r="K630" s="30" t="s">
        <v>4987</v>
      </c>
      <c r="L630" s="30" t="s">
        <v>55</v>
      </c>
      <c r="M630" s="30" t="s">
        <v>4988</v>
      </c>
      <c r="N630" s="30" t="s">
        <v>4989</v>
      </c>
      <c r="O630" s="30" t="s">
        <v>798</v>
      </c>
      <c r="P630" s="30" t="s">
        <v>4990</v>
      </c>
      <c r="Q630" s="28"/>
      <c r="R630" s="30" t="s">
        <v>4991</v>
      </c>
      <c r="S630" s="30" t="s">
        <v>53</v>
      </c>
      <c r="T630" s="30"/>
      <c r="U630" s="28" t="s">
        <v>245</v>
      </c>
      <c r="V630" s="30" t="s">
        <v>63</v>
      </c>
      <c r="W630" s="30" t="s">
        <v>64</v>
      </c>
      <c r="X630" s="32">
        <v>44713</v>
      </c>
      <c r="Y630" s="32">
        <v>46174</v>
      </c>
      <c r="Z630" s="30" t="s">
        <v>65</v>
      </c>
      <c r="AA630" s="28" t="s">
        <v>66</v>
      </c>
      <c r="AB630" s="28" t="s">
        <v>67</v>
      </c>
      <c r="AC630" s="29"/>
      <c r="AD630" s="28">
        <v>0</v>
      </c>
      <c r="AE630" s="29"/>
      <c r="AF630" s="31"/>
      <c r="AG630" s="30" t="s">
        <v>4992</v>
      </c>
      <c r="AH630" s="28"/>
      <c r="AI630" s="28" t="s">
        <v>53</v>
      </c>
      <c r="AJ630" s="33">
        <v>34868</v>
      </c>
      <c r="AK630" s="28">
        <v>5</v>
      </c>
      <c r="AL630" s="28">
        <v>16</v>
      </c>
      <c r="AM630" s="21"/>
      <c r="AN630" s="27"/>
      <c r="AO630" s="27"/>
      <c r="AP630" s="27"/>
      <c r="AQ630" s="27"/>
    </row>
    <row r="631" spans="1:43" ht="15.75" customHeight="1">
      <c r="A631" s="28">
        <v>1</v>
      </c>
      <c r="B631" s="29" t="s">
        <v>4993</v>
      </c>
      <c r="C631" s="30"/>
      <c r="D631" s="31" t="s">
        <v>4994</v>
      </c>
      <c r="E631" s="30" t="s">
        <v>72</v>
      </c>
      <c r="F631" s="30" t="s">
        <v>84</v>
      </c>
      <c r="G631" s="30" t="s">
        <v>51</v>
      </c>
      <c r="H631" s="28" t="s">
        <v>191</v>
      </c>
      <c r="I631" s="30"/>
      <c r="J631" s="30" t="s">
        <v>53</v>
      </c>
      <c r="K631" s="30" t="s">
        <v>4995</v>
      </c>
      <c r="L631" s="30" t="s">
        <v>55</v>
      </c>
      <c r="M631" s="30" t="s">
        <v>4996</v>
      </c>
      <c r="N631" s="30" t="s">
        <v>4997</v>
      </c>
      <c r="O631" s="30" t="s">
        <v>4998</v>
      </c>
      <c r="P631" s="30" t="s">
        <v>4999</v>
      </c>
      <c r="Q631" s="28" t="s">
        <v>5000</v>
      </c>
      <c r="R631" s="30" t="s">
        <v>5001</v>
      </c>
      <c r="S631" s="30" t="s">
        <v>53</v>
      </c>
      <c r="T631" s="30"/>
      <c r="U631" s="28" t="s">
        <v>5002</v>
      </c>
      <c r="V631" s="30" t="s">
        <v>63</v>
      </c>
      <c r="W631" s="30" t="s">
        <v>80</v>
      </c>
      <c r="X631" s="32">
        <v>44986</v>
      </c>
      <c r="Y631" s="32">
        <v>45717</v>
      </c>
      <c r="Z631" s="30" t="s">
        <v>65</v>
      </c>
      <c r="AA631" s="28" t="s">
        <v>246</v>
      </c>
      <c r="AB631" s="28" t="s">
        <v>67</v>
      </c>
      <c r="AC631" s="29"/>
      <c r="AD631" s="28">
        <v>0</v>
      </c>
      <c r="AE631" s="29"/>
      <c r="AF631" s="31"/>
      <c r="AG631" s="30" t="s">
        <v>5003</v>
      </c>
      <c r="AH631" s="28"/>
      <c r="AI631" s="28" t="s">
        <v>53</v>
      </c>
      <c r="AJ631" s="33">
        <v>35698</v>
      </c>
      <c r="AK631" s="28">
        <v>3</v>
      </c>
      <c r="AL631" s="28">
        <v>21</v>
      </c>
      <c r="AM631" s="21"/>
      <c r="AN631" s="27"/>
      <c r="AO631" s="27"/>
      <c r="AP631" s="27"/>
      <c r="AQ631" s="27"/>
    </row>
    <row r="632" spans="1:43" ht="15.75" customHeight="1">
      <c r="A632" s="28">
        <v>2</v>
      </c>
      <c r="B632" s="29" t="s">
        <v>5004</v>
      </c>
      <c r="C632" s="30"/>
      <c r="D632" s="31" t="s">
        <v>5005</v>
      </c>
      <c r="E632" s="30" t="s">
        <v>72</v>
      </c>
      <c r="F632" s="30" t="s">
        <v>50</v>
      </c>
      <c r="G632" s="30" t="s">
        <v>51</v>
      </c>
      <c r="H632" s="28" t="s">
        <v>52</v>
      </c>
      <c r="I632" s="30"/>
      <c r="J632" s="30" t="s">
        <v>53</v>
      </c>
      <c r="K632" s="30" t="s">
        <v>5006</v>
      </c>
      <c r="L632" s="30" t="s">
        <v>55</v>
      </c>
      <c r="M632" s="30" t="s">
        <v>4996</v>
      </c>
      <c r="N632" s="30" t="s">
        <v>5007</v>
      </c>
      <c r="O632" s="30" t="s">
        <v>58</v>
      </c>
      <c r="P632" s="30" t="s">
        <v>5008</v>
      </c>
      <c r="Q632" s="28"/>
      <c r="R632" s="30" t="s">
        <v>5009</v>
      </c>
      <c r="S632" s="30" t="s">
        <v>53</v>
      </c>
      <c r="T632" s="30"/>
      <c r="U632" s="28" t="s">
        <v>2924</v>
      </c>
      <c r="V632" s="30" t="s">
        <v>63</v>
      </c>
      <c r="W632" s="30" t="s">
        <v>80</v>
      </c>
      <c r="X632" s="32">
        <v>44197</v>
      </c>
      <c r="Y632" s="32">
        <v>45627</v>
      </c>
      <c r="Z632" s="30" t="s">
        <v>65</v>
      </c>
      <c r="AA632" s="28" t="s">
        <v>66</v>
      </c>
      <c r="AB632" s="28" t="s">
        <v>67</v>
      </c>
      <c r="AC632" s="29"/>
      <c r="AD632" s="28">
        <v>0</v>
      </c>
      <c r="AE632" s="29"/>
      <c r="AF632" s="31"/>
      <c r="AG632" s="30" t="s">
        <v>5003</v>
      </c>
      <c r="AH632" s="28"/>
      <c r="AI632" s="28" t="s">
        <v>53</v>
      </c>
      <c r="AJ632" s="33">
        <v>37020</v>
      </c>
      <c r="AK632" s="28">
        <v>6</v>
      </c>
      <c r="AL632" s="28">
        <v>16</v>
      </c>
      <c r="AM632" s="21"/>
      <c r="AN632" s="27"/>
      <c r="AO632" s="27"/>
      <c r="AP632" s="27"/>
      <c r="AQ632" s="27"/>
    </row>
    <row r="633" spans="1:43" ht="15.75" customHeight="1">
      <c r="A633" s="28">
        <v>1</v>
      </c>
      <c r="B633" s="29" t="s">
        <v>5010</v>
      </c>
      <c r="C633" s="30"/>
      <c r="D633" s="31" t="s">
        <v>5011</v>
      </c>
      <c r="E633" s="30" t="s">
        <v>49</v>
      </c>
      <c r="F633" s="30" t="s">
        <v>50</v>
      </c>
      <c r="G633" s="30" t="s">
        <v>51</v>
      </c>
      <c r="H633" s="28" t="s">
        <v>52</v>
      </c>
      <c r="I633" s="30"/>
      <c r="J633" s="30" t="s">
        <v>53</v>
      </c>
      <c r="K633" s="30" t="s">
        <v>5012</v>
      </c>
      <c r="L633" s="30" t="s">
        <v>55</v>
      </c>
      <c r="M633" s="30" t="s">
        <v>4996</v>
      </c>
      <c r="N633" s="30" t="s">
        <v>5013</v>
      </c>
      <c r="O633" s="30" t="s">
        <v>5014</v>
      </c>
      <c r="P633" s="30" t="s">
        <v>5015</v>
      </c>
      <c r="Q633" s="28"/>
      <c r="R633" s="30" t="s">
        <v>5016</v>
      </c>
      <c r="S633" s="30" t="s">
        <v>53</v>
      </c>
      <c r="T633" s="30"/>
      <c r="U633" s="28" t="s">
        <v>1221</v>
      </c>
      <c r="V633" s="30" t="s">
        <v>63</v>
      </c>
      <c r="W633" s="30" t="s">
        <v>64</v>
      </c>
      <c r="X633" s="32">
        <v>44774</v>
      </c>
      <c r="Y633" s="32">
        <v>46569</v>
      </c>
      <c r="Z633" s="30" t="s">
        <v>65</v>
      </c>
      <c r="AA633" s="28" t="s">
        <v>66</v>
      </c>
      <c r="AB633" s="28" t="s">
        <v>67</v>
      </c>
      <c r="AC633" s="29"/>
      <c r="AD633" s="28">
        <v>0</v>
      </c>
      <c r="AE633" s="29"/>
      <c r="AF633" s="31"/>
      <c r="AG633" s="30" t="s">
        <v>5003</v>
      </c>
      <c r="AH633" s="28"/>
      <c r="AI633" s="28" t="s">
        <v>53</v>
      </c>
      <c r="AJ633" s="33">
        <v>37413</v>
      </c>
      <c r="AK633" s="28">
        <v>5</v>
      </c>
      <c r="AL633" s="28">
        <v>28</v>
      </c>
      <c r="AM633" s="21"/>
      <c r="AN633" s="27"/>
      <c r="AO633" s="27"/>
      <c r="AP633" s="27"/>
      <c r="AQ633" s="27"/>
    </row>
    <row r="634" spans="1:43" ht="15.75" customHeight="1">
      <c r="A634" s="28">
        <v>2</v>
      </c>
      <c r="B634" s="29" t="s">
        <v>5017</v>
      </c>
      <c r="C634" s="30" t="s">
        <v>5018</v>
      </c>
      <c r="D634" s="31" t="s">
        <v>5019</v>
      </c>
      <c r="E634" s="30" t="s">
        <v>49</v>
      </c>
      <c r="F634" s="30" t="s">
        <v>50</v>
      </c>
      <c r="G634" s="30" t="s">
        <v>51</v>
      </c>
      <c r="H634" s="28" t="s">
        <v>1121</v>
      </c>
      <c r="I634" s="30"/>
      <c r="J634" s="30" t="s">
        <v>53</v>
      </c>
      <c r="K634" s="30" t="s">
        <v>5020</v>
      </c>
      <c r="L634" s="30" t="s">
        <v>55</v>
      </c>
      <c r="M634" s="30" t="s">
        <v>4996</v>
      </c>
      <c r="N634" s="30" t="s">
        <v>5021</v>
      </c>
      <c r="O634" s="30" t="s">
        <v>5022</v>
      </c>
      <c r="P634" s="30" t="s">
        <v>5023</v>
      </c>
      <c r="Q634" s="28"/>
      <c r="R634" s="30" t="s">
        <v>5024</v>
      </c>
      <c r="S634" s="30" t="s">
        <v>53</v>
      </c>
      <c r="T634" s="30"/>
      <c r="U634" s="28" t="s">
        <v>5025</v>
      </c>
      <c r="V634" s="30" t="s">
        <v>63</v>
      </c>
      <c r="W634" s="30" t="s">
        <v>64</v>
      </c>
      <c r="X634" s="32">
        <v>43466</v>
      </c>
      <c r="Y634" s="32">
        <v>45658</v>
      </c>
      <c r="Z634" s="30" t="s">
        <v>65</v>
      </c>
      <c r="AA634" s="28" t="s">
        <v>66</v>
      </c>
      <c r="AB634" s="28" t="s">
        <v>67</v>
      </c>
      <c r="AC634" s="29"/>
      <c r="AD634" s="28">
        <v>0</v>
      </c>
      <c r="AE634" s="29"/>
      <c r="AF634" s="31"/>
      <c r="AG634" s="30" t="s">
        <v>5003</v>
      </c>
      <c r="AH634" s="28"/>
      <c r="AI634" s="28" t="s">
        <v>53</v>
      </c>
      <c r="AJ634" s="33">
        <v>36997</v>
      </c>
      <c r="AK634" s="28">
        <v>8</v>
      </c>
      <c r="AL634" s="28">
        <v>28</v>
      </c>
      <c r="AM634" s="21"/>
      <c r="AN634" s="27"/>
      <c r="AO634" s="27"/>
      <c r="AP634" s="27"/>
      <c r="AQ634" s="27"/>
    </row>
    <row r="635" spans="1:43" ht="15.75" customHeight="1">
      <c r="A635" s="28">
        <v>3</v>
      </c>
      <c r="B635" s="29" t="s">
        <v>5026</v>
      </c>
      <c r="C635" s="30"/>
      <c r="D635" s="31" t="s">
        <v>5027</v>
      </c>
      <c r="E635" s="30" t="s">
        <v>49</v>
      </c>
      <c r="F635" s="30" t="s">
        <v>50</v>
      </c>
      <c r="G635" s="30" t="s">
        <v>51</v>
      </c>
      <c r="H635" s="28" t="s">
        <v>85</v>
      </c>
      <c r="I635" s="30"/>
      <c r="J635" s="30" t="s">
        <v>53</v>
      </c>
      <c r="K635" s="30" t="s">
        <v>5028</v>
      </c>
      <c r="L635" s="30" t="s">
        <v>55</v>
      </c>
      <c r="M635" s="30" t="s">
        <v>4996</v>
      </c>
      <c r="N635" s="30" t="s">
        <v>5029</v>
      </c>
      <c r="O635" s="30" t="s">
        <v>5030</v>
      </c>
      <c r="P635" s="30" t="s">
        <v>5031</v>
      </c>
      <c r="Q635" s="28"/>
      <c r="R635" s="30" t="s">
        <v>5032</v>
      </c>
      <c r="S635" s="30" t="s">
        <v>53</v>
      </c>
      <c r="T635" s="30"/>
      <c r="U635" s="28" t="s">
        <v>5033</v>
      </c>
      <c r="V635" s="30" t="s">
        <v>63</v>
      </c>
      <c r="W635" s="30" t="s">
        <v>64</v>
      </c>
      <c r="X635" s="32">
        <v>44774</v>
      </c>
      <c r="Y635" s="32">
        <v>46600</v>
      </c>
      <c r="Z635" s="30" t="s">
        <v>65</v>
      </c>
      <c r="AA635" s="28" t="s">
        <v>66</v>
      </c>
      <c r="AB635" s="28" t="s">
        <v>67</v>
      </c>
      <c r="AC635" s="29"/>
      <c r="AD635" s="28">
        <v>0</v>
      </c>
      <c r="AE635" s="29"/>
      <c r="AF635" s="31"/>
      <c r="AG635" s="30" t="s">
        <v>5003</v>
      </c>
      <c r="AH635" s="28"/>
      <c r="AI635" s="28" t="s">
        <v>53</v>
      </c>
      <c r="AJ635" s="33">
        <v>37115</v>
      </c>
      <c r="AK635" s="28">
        <v>5</v>
      </c>
      <c r="AL635" s="28">
        <v>25</v>
      </c>
      <c r="AM635" s="21"/>
      <c r="AN635" s="27"/>
      <c r="AO635" s="27"/>
      <c r="AP635" s="27"/>
      <c r="AQ635" s="27"/>
    </row>
    <row r="636" spans="1:43" ht="15.75" customHeight="1">
      <c r="A636" s="28">
        <v>4</v>
      </c>
      <c r="B636" s="29" t="s">
        <v>5034</v>
      </c>
      <c r="C636" s="30"/>
      <c r="D636" s="31" t="s">
        <v>5035</v>
      </c>
      <c r="E636" s="30" t="s">
        <v>72</v>
      </c>
      <c r="F636" s="30" t="s">
        <v>50</v>
      </c>
      <c r="G636" s="30" t="s">
        <v>51</v>
      </c>
      <c r="H636" s="28" t="s">
        <v>85</v>
      </c>
      <c r="I636" s="30"/>
      <c r="J636" s="30" t="s">
        <v>53</v>
      </c>
      <c r="K636" s="30" t="s">
        <v>5036</v>
      </c>
      <c r="L636" s="30" t="s">
        <v>55</v>
      </c>
      <c r="M636" s="30" t="s">
        <v>4996</v>
      </c>
      <c r="N636" s="30" t="s">
        <v>5037</v>
      </c>
      <c r="O636" s="30" t="s">
        <v>5038</v>
      </c>
      <c r="P636" s="30" t="s">
        <v>5039</v>
      </c>
      <c r="Q636" s="28" t="s">
        <v>5040</v>
      </c>
      <c r="R636" s="30" t="s">
        <v>5041</v>
      </c>
      <c r="S636" s="30" t="s">
        <v>53</v>
      </c>
      <c r="T636" s="30"/>
      <c r="U636" s="28" t="s">
        <v>1221</v>
      </c>
      <c r="V636" s="30" t="s">
        <v>63</v>
      </c>
      <c r="W636" s="30" t="s">
        <v>64</v>
      </c>
      <c r="X636" s="32">
        <v>44044</v>
      </c>
      <c r="Y636" s="32">
        <v>45627</v>
      </c>
      <c r="Z636" s="30" t="s">
        <v>65</v>
      </c>
      <c r="AA636" s="28" t="s">
        <v>66</v>
      </c>
      <c r="AB636" s="28" t="s">
        <v>67</v>
      </c>
      <c r="AC636" s="29"/>
      <c r="AD636" s="28">
        <v>0</v>
      </c>
      <c r="AE636" s="29"/>
      <c r="AF636" s="31"/>
      <c r="AG636" s="30" t="s">
        <v>5003</v>
      </c>
      <c r="AH636" s="28"/>
      <c r="AI636" s="28" t="s">
        <v>53</v>
      </c>
      <c r="AJ636" s="33">
        <v>37165</v>
      </c>
      <c r="AK636" s="28">
        <v>8</v>
      </c>
      <c r="AL636" s="28">
        <v>22</v>
      </c>
      <c r="AM636" s="21" t="s">
        <v>325</v>
      </c>
      <c r="AN636" s="27"/>
      <c r="AO636" s="27"/>
      <c r="AP636" s="27"/>
      <c r="AQ636" s="27"/>
    </row>
    <row r="637" spans="1:43" ht="15.75" customHeight="1">
      <c r="A637" s="28">
        <v>5</v>
      </c>
      <c r="B637" s="29" t="s">
        <v>5042</v>
      </c>
      <c r="C637" s="30"/>
      <c r="D637" s="31" t="s">
        <v>5043</v>
      </c>
      <c r="E637" s="30" t="s">
        <v>72</v>
      </c>
      <c r="F637" s="30" t="s">
        <v>50</v>
      </c>
      <c r="G637" s="30" t="s">
        <v>51</v>
      </c>
      <c r="H637" s="28" t="s">
        <v>85</v>
      </c>
      <c r="I637" s="30"/>
      <c r="J637" s="30" t="s">
        <v>53</v>
      </c>
      <c r="K637" s="30" t="s">
        <v>5044</v>
      </c>
      <c r="L637" s="30" t="s">
        <v>55</v>
      </c>
      <c r="M637" s="30" t="s">
        <v>4996</v>
      </c>
      <c r="N637" s="30" t="s">
        <v>5045</v>
      </c>
      <c r="O637" s="30" t="s">
        <v>1432</v>
      </c>
      <c r="P637" s="30" t="s">
        <v>5046</v>
      </c>
      <c r="Q637" s="28"/>
      <c r="R637" s="30" t="s">
        <v>5047</v>
      </c>
      <c r="S637" s="30" t="s">
        <v>53</v>
      </c>
      <c r="T637" s="30"/>
      <c r="U637" s="28" t="s">
        <v>5048</v>
      </c>
      <c r="V637" s="30" t="s">
        <v>63</v>
      </c>
      <c r="W637" s="30" t="s">
        <v>64</v>
      </c>
      <c r="X637" s="32">
        <v>44409</v>
      </c>
      <c r="Y637" s="32">
        <v>46235</v>
      </c>
      <c r="Z637" s="30" t="s">
        <v>65</v>
      </c>
      <c r="AA637" s="28" t="s">
        <v>66</v>
      </c>
      <c r="AB637" s="28" t="s">
        <v>67</v>
      </c>
      <c r="AC637" s="29"/>
      <c r="AD637" s="28">
        <v>0</v>
      </c>
      <c r="AE637" s="29"/>
      <c r="AF637" s="31"/>
      <c r="AG637" s="30" t="s">
        <v>5003</v>
      </c>
      <c r="AH637" s="28"/>
      <c r="AI637" s="28" t="s">
        <v>53</v>
      </c>
      <c r="AJ637" s="33">
        <v>37583</v>
      </c>
      <c r="AK637" s="28">
        <v>5</v>
      </c>
      <c r="AL637" s="28">
        <v>21</v>
      </c>
      <c r="AM637" s="21"/>
      <c r="AN637" s="27"/>
      <c r="AO637" s="27"/>
      <c r="AP637" s="27"/>
      <c r="AQ637" s="27"/>
    </row>
    <row r="638" spans="1:43" ht="15.75" customHeight="1">
      <c r="A638" s="28">
        <v>6</v>
      </c>
      <c r="B638" s="29" t="s">
        <v>5049</v>
      </c>
      <c r="C638" s="30" t="s">
        <v>5050</v>
      </c>
      <c r="D638" s="31" t="s">
        <v>5051</v>
      </c>
      <c r="E638" s="30" t="s">
        <v>72</v>
      </c>
      <c r="F638" s="30" t="s">
        <v>50</v>
      </c>
      <c r="G638" s="30" t="s">
        <v>51</v>
      </c>
      <c r="H638" s="28" t="s">
        <v>191</v>
      </c>
      <c r="I638" s="30"/>
      <c r="J638" s="30" t="s">
        <v>53</v>
      </c>
      <c r="K638" s="30" t="s">
        <v>5052</v>
      </c>
      <c r="L638" s="30" t="s">
        <v>55</v>
      </c>
      <c r="M638" s="30" t="s">
        <v>4996</v>
      </c>
      <c r="N638" s="30" t="s">
        <v>5053</v>
      </c>
      <c r="O638" s="30" t="s">
        <v>1432</v>
      </c>
      <c r="P638" s="30" t="s">
        <v>5054</v>
      </c>
      <c r="Q638" s="28"/>
      <c r="R638" s="30" t="s">
        <v>5055</v>
      </c>
      <c r="S638" s="30" t="s">
        <v>53</v>
      </c>
      <c r="T638" s="30"/>
      <c r="U638" s="28" t="s">
        <v>1221</v>
      </c>
      <c r="V638" s="30" t="s">
        <v>63</v>
      </c>
      <c r="W638" s="30" t="s">
        <v>64</v>
      </c>
      <c r="X638" s="32">
        <v>44621</v>
      </c>
      <c r="Y638" s="32">
        <v>46174</v>
      </c>
      <c r="Z638" s="30" t="s">
        <v>65</v>
      </c>
      <c r="AA638" s="28" t="s">
        <v>66</v>
      </c>
      <c r="AB638" s="28" t="s">
        <v>67</v>
      </c>
      <c r="AC638" s="29"/>
      <c r="AD638" s="28">
        <v>0</v>
      </c>
      <c r="AE638" s="29"/>
      <c r="AF638" s="31"/>
      <c r="AG638" s="30" t="s">
        <v>5003</v>
      </c>
      <c r="AH638" s="28"/>
      <c r="AI638" s="28" t="s">
        <v>53</v>
      </c>
      <c r="AJ638" s="33">
        <v>34210</v>
      </c>
      <c r="AK638" s="28">
        <v>5</v>
      </c>
      <c r="AL638" s="28">
        <v>20</v>
      </c>
      <c r="AM638" s="21"/>
      <c r="AN638" s="27"/>
      <c r="AO638" s="27"/>
      <c r="AP638" s="27"/>
      <c r="AQ638" s="27"/>
    </row>
    <row r="639" spans="1:43" ht="15.75" customHeight="1">
      <c r="A639" s="28">
        <v>7</v>
      </c>
      <c r="B639" s="29" t="s">
        <v>5056</v>
      </c>
      <c r="C639" s="30" t="s">
        <v>5057</v>
      </c>
      <c r="D639" s="31" t="s">
        <v>5058</v>
      </c>
      <c r="E639" s="30" t="s">
        <v>72</v>
      </c>
      <c r="F639" s="30" t="s">
        <v>50</v>
      </c>
      <c r="G639" s="30" t="s">
        <v>51</v>
      </c>
      <c r="H639" s="28" t="s">
        <v>52</v>
      </c>
      <c r="I639" s="30"/>
      <c r="J639" s="30" t="s">
        <v>53</v>
      </c>
      <c r="K639" s="30" t="s">
        <v>5059</v>
      </c>
      <c r="L639" s="30" t="s">
        <v>55</v>
      </c>
      <c r="M639" s="30" t="s">
        <v>4996</v>
      </c>
      <c r="N639" s="30" t="s">
        <v>5060</v>
      </c>
      <c r="O639" s="30" t="s">
        <v>5061</v>
      </c>
      <c r="P639" s="30" t="s">
        <v>5062</v>
      </c>
      <c r="Q639" s="28"/>
      <c r="R639" s="30" t="s">
        <v>5063</v>
      </c>
      <c r="S639" s="30" t="s">
        <v>53</v>
      </c>
      <c r="T639" s="30"/>
      <c r="U639" s="28" t="s">
        <v>1239</v>
      </c>
      <c r="V639" s="30" t="s">
        <v>63</v>
      </c>
      <c r="W639" s="30" t="s">
        <v>64</v>
      </c>
      <c r="X639" s="32">
        <v>43862</v>
      </c>
      <c r="Y639" s="32">
        <v>45992</v>
      </c>
      <c r="Z639" s="30" t="s">
        <v>65</v>
      </c>
      <c r="AA639" s="28" t="s">
        <v>66</v>
      </c>
      <c r="AB639" s="28" t="s">
        <v>67</v>
      </c>
      <c r="AC639" s="29"/>
      <c r="AD639" s="28">
        <v>0</v>
      </c>
      <c r="AE639" s="29"/>
      <c r="AF639" s="31"/>
      <c r="AG639" s="30" t="s">
        <v>5003</v>
      </c>
      <c r="AH639" s="28"/>
      <c r="AI639" s="28" t="s">
        <v>53</v>
      </c>
      <c r="AJ639" s="33">
        <v>37166</v>
      </c>
      <c r="AK639" s="28">
        <v>8</v>
      </c>
      <c r="AL639" s="28">
        <v>19</v>
      </c>
      <c r="AM639" s="21"/>
      <c r="AN639" s="27"/>
      <c r="AO639" s="27"/>
      <c r="AP639" s="27"/>
      <c r="AQ639" s="27"/>
    </row>
    <row r="640" spans="1:43" ht="15.75" customHeight="1">
      <c r="A640" s="28">
        <v>8</v>
      </c>
      <c r="B640" s="29" t="s">
        <v>5064</v>
      </c>
      <c r="C640" s="30"/>
      <c r="D640" s="31" t="s">
        <v>5065</v>
      </c>
      <c r="E640" s="30" t="s">
        <v>49</v>
      </c>
      <c r="F640" s="30" t="s">
        <v>50</v>
      </c>
      <c r="G640" s="30" t="s">
        <v>51</v>
      </c>
      <c r="H640" s="28" t="s">
        <v>85</v>
      </c>
      <c r="I640" s="30"/>
      <c r="J640" s="30" t="s">
        <v>53</v>
      </c>
      <c r="K640" s="30" t="s">
        <v>5066</v>
      </c>
      <c r="L640" s="30" t="s">
        <v>55</v>
      </c>
      <c r="M640" s="30" t="s">
        <v>4996</v>
      </c>
      <c r="N640" s="30" t="s">
        <v>5067</v>
      </c>
      <c r="O640" s="30" t="s">
        <v>5014</v>
      </c>
      <c r="P640" s="30" t="s">
        <v>5068</v>
      </c>
      <c r="Q640" s="28"/>
      <c r="R640" s="30" t="s">
        <v>5069</v>
      </c>
      <c r="S640" s="30" t="s">
        <v>53</v>
      </c>
      <c r="T640" s="30"/>
      <c r="U640" s="28" t="s">
        <v>1221</v>
      </c>
      <c r="V640" s="30" t="s">
        <v>63</v>
      </c>
      <c r="W640" s="30" t="s">
        <v>64</v>
      </c>
      <c r="X640" s="32">
        <v>44348</v>
      </c>
      <c r="Y640" s="32">
        <v>46174</v>
      </c>
      <c r="Z640" s="30" t="s">
        <v>65</v>
      </c>
      <c r="AA640" s="28" t="s">
        <v>66</v>
      </c>
      <c r="AB640" s="28" t="s">
        <v>67</v>
      </c>
      <c r="AC640" s="29"/>
      <c r="AD640" s="28">
        <v>0</v>
      </c>
      <c r="AE640" s="29"/>
      <c r="AF640" s="31"/>
      <c r="AG640" s="30" t="s">
        <v>5003</v>
      </c>
      <c r="AH640" s="28"/>
      <c r="AI640" s="28" t="s">
        <v>53</v>
      </c>
      <c r="AJ640" s="33">
        <v>37726</v>
      </c>
      <c r="AK640" s="28">
        <v>5</v>
      </c>
      <c r="AL640" s="28">
        <v>18</v>
      </c>
      <c r="AM640" s="21"/>
      <c r="AN640" s="27"/>
      <c r="AO640" s="27"/>
      <c r="AP640" s="27"/>
      <c r="AQ640" s="27"/>
    </row>
    <row r="641" spans="1:43" ht="15.75" customHeight="1">
      <c r="A641" s="28">
        <v>9</v>
      </c>
      <c r="B641" s="29" t="s">
        <v>5070</v>
      </c>
      <c r="C641" s="30" t="s">
        <v>5071</v>
      </c>
      <c r="D641" s="31" t="s">
        <v>5072</v>
      </c>
      <c r="E641" s="30" t="s">
        <v>72</v>
      </c>
      <c r="F641" s="30" t="s">
        <v>50</v>
      </c>
      <c r="G641" s="30" t="s">
        <v>51</v>
      </c>
      <c r="H641" s="28" t="s">
        <v>85</v>
      </c>
      <c r="I641" s="30"/>
      <c r="J641" s="30" t="s">
        <v>53</v>
      </c>
      <c r="K641" s="30" t="s">
        <v>5073</v>
      </c>
      <c r="L641" s="30" t="s">
        <v>55</v>
      </c>
      <c r="M641" s="30" t="s">
        <v>4996</v>
      </c>
      <c r="N641" s="30" t="s">
        <v>5074</v>
      </c>
      <c r="O641" s="30" t="s">
        <v>5075</v>
      </c>
      <c r="P641" s="30" t="s">
        <v>5076</v>
      </c>
      <c r="Q641" s="28"/>
      <c r="R641" s="30" t="s">
        <v>5077</v>
      </c>
      <c r="S641" s="30" t="s">
        <v>53</v>
      </c>
      <c r="T641" s="30"/>
      <c r="U641" s="28" t="s">
        <v>5078</v>
      </c>
      <c r="V641" s="30" t="s">
        <v>63</v>
      </c>
      <c r="W641" s="30" t="s">
        <v>64</v>
      </c>
      <c r="X641" s="32">
        <v>43739</v>
      </c>
      <c r="Y641" s="32">
        <v>45566</v>
      </c>
      <c r="Z641" s="30" t="s">
        <v>65</v>
      </c>
      <c r="AA641" s="28" t="s">
        <v>134</v>
      </c>
      <c r="AB641" s="28" t="s">
        <v>67</v>
      </c>
      <c r="AC641" s="29"/>
      <c r="AD641" s="28">
        <v>0</v>
      </c>
      <c r="AE641" s="29"/>
      <c r="AF641" s="31"/>
      <c r="AG641" s="30" t="s">
        <v>5003</v>
      </c>
      <c r="AH641" s="28"/>
      <c r="AI641" s="28" t="s">
        <v>53</v>
      </c>
      <c r="AJ641" s="33">
        <v>37113</v>
      </c>
      <c r="AK641" s="28">
        <v>8</v>
      </c>
      <c r="AL641" s="28">
        <v>17</v>
      </c>
      <c r="AM641" s="21"/>
      <c r="AN641" s="27"/>
      <c r="AO641" s="27"/>
      <c r="AP641" s="27"/>
      <c r="AQ641" s="27"/>
    </row>
    <row r="642" spans="1:43" ht="15.75" customHeight="1">
      <c r="A642" s="28">
        <v>1</v>
      </c>
      <c r="B642" s="29" t="s">
        <v>5079</v>
      </c>
      <c r="C642" s="30" t="s">
        <v>5080</v>
      </c>
      <c r="D642" s="31" t="s">
        <v>5081</v>
      </c>
      <c r="E642" s="30" t="s">
        <v>72</v>
      </c>
      <c r="F642" s="30" t="s">
        <v>50</v>
      </c>
      <c r="G642" s="30" t="s">
        <v>51</v>
      </c>
      <c r="H642" s="28" t="s">
        <v>52</v>
      </c>
      <c r="I642" s="30"/>
      <c r="J642" s="30" t="s">
        <v>53</v>
      </c>
      <c r="K642" s="30" t="s">
        <v>5082</v>
      </c>
      <c r="L642" s="30" t="s">
        <v>55</v>
      </c>
      <c r="M642" s="30" t="s">
        <v>4996</v>
      </c>
      <c r="N642" s="30" t="s">
        <v>5083</v>
      </c>
      <c r="O642" s="30" t="s">
        <v>5022</v>
      </c>
      <c r="P642" s="30" t="s">
        <v>5084</v>
      </c>
      <c r="Q642" s="28" t="s">
        <v>5085</v>
      </c>
      <c r="R642" s="30" t="s">
        <v>5086</v>
      </c>
      <c r="S642" s="30" t="s">
        <v>53</v>
      </c>
      <c r="T642" s="30"/>
      <c r="U642" s="28" t="s">
        <v>2603</v>
      </c>
      <c r="V642" s="30" t="s">
        <v>63</v>
      </c>
      <c r="W642" s="30" t="s">
        <v>204</v>
      </c>
      <c r="X642" s="32">
        <v>43647</v>
      </c>
      <c r="Y642" s="32">
        <v>45474</v>
      </c>
      <c r="Z642" s="30" t="s">
        <v>65</v>
      </c>
      <c r="AA642" s="28" t="s">
        <v>66</v>
      </c>
      <c r="AB642" s="28" t="s">
        <v>67</v>
      </c>
      <c r="AC642" s="29"/>
      <c r="AD642" s="28">
        <v>0</v>
      </c>
      <c r="AE642" s="29"/>
      <c r="AF642" s="31"/>
      <c r="AG642" s="30" t="s">
        <v>5003</v>
      </c>
      <c r="AH642" s="28"/>
      <c r="AI642" s="28" t="s">
        <v>53</v>
      </c>
      <c r="AJ642" s="33">
        <v>36907</v>
      </c>
      <c r="AK642" s="28">
        <v>9</v>
      </c>
      <c r="AL642" s="28">
        <v>27</v>
      </c>
      <c r="AM642" s="21"/>
      <c r="AN642" s="27"/>
      <c r="AO642" s="27"/>
      <c r="AP642" s="27"/>
      <c r="AQ642" s="27"/>
    </row>
    <row r="643" spans="1:43" ht="15.75" customHeight="1">
      <c r="A643" s="28">
        <v>2</v>
      </c>
      <c r="B643" s="29" t="s">
        <v>5087</v>
      </c>
      <c r="C643" s="30" t="s">
        <v>5088</v>
      </c>
      <c r="D643" s="31" t="s">
        <v>5089</v>
      </c>
      <c r="E643" s="30" t="s">
        <v>72</v>
      </c>
      <c r="F643" s="30" t="s">
        <v>50</v>
      </c>
      <c r="G643" s="30" t="s">
        <v>51</v>
      </c>
      <c r="H643" s="28" t="s">
        <v>85</v>
      </c>
      <c r="I643" s="30"/>
      <c r="J643" s="30" t="s">
        <v>53</v>
      </c>
      <c r="K643" s="30" t="s">
        <v>5090</v>
      </c>
      <c r="L643" s="30" t="s">
        <v>55</v>
      </c>
      <c r="M643" s="30" t="s">
        <v>4996</v>
      </c>
      <c r="N643" s="30" t="s">
        <v>5091</v>
      </c>
      <c r="O643" s="30" t="s">
        <v>5092</v>
      </c>
      <c r="P643" s="30" t="s">
        <v>5093</v>
      </c>
      <c r="Q643" s="28"/>
      <c r="R643" s="30" t="s">
        <v>5094</v>
      </c>
      <c r="S643" s="30" t="s">
        <v>53</v>
      </c>
      <c r="T643" s="30"/>
      <c r="U643" s="28" t="s">
        <v>1221</v>
      </c>
      <c r="V643" s="30" t="s">
        <v>63</v>
      </c>
      <c r="W643" s="30" t="s">
        <v>204</v>
      </c>
      <c r="X643" s="32">
        <v>43831</v>
      </c>
      <c r="Y643" s="32">
        <v>45597</v>
      </c>
      <c r="Z643" s="30" t="s">
        <v>65</v>
      </c>
      <c r="AA643" s="28" t="s">
        <v>66</v>
      </c>
      <c r="AB643" s="28" t="s">
        <v>67</v>
      </c>
      <c r="AC643" s="29"/>
      <c r="AD643" s="28">
        <v>0</v>
      </c>
      <c r="AE643" s="29"/>
      <c r="AF643" s="31"/>
      <c r="AG643" s="30" t="s">
        <v>5003</v>
      </c>
      <c r="AH643" s="28"/>
      <c r="AI643" s="28" t="s">
        <v>53</v>
      </c>
      <c r="AJ643" s="33">
        <v>37202</v>
      </c>
      <c r="AK643" s="28">
        <v>8</v>
      </c>
      <c r="AL643" s="28">
        <v>23</v>
      </c>
      <c r="AM643" s="21"/>
      <c r="AN643" s="27"/>
      <c r="AO643" s="27"/>
      <c r="AP643" s="27"/>
      <c r="AQ643" s="27"/>
    </row>
    <row r="644" spans="1:43" ht="15.75" customHeight="1">
      <c r="A644" s="28">
        <v>3</v>
      </c>
      <c r="B644" s="29" t="s">
        <v>5095</v>
      </c>
      <c r="C644" s="30" t="s">
        <v>5096</v>
      </c>
      <c r="D644" s="31" t="s">
        <v>5097</v>
      </c>
      <c r="E644" s="30" t="s">
        <v>49</v>
      </c>
      <c r="F644" s="30" t="s">
        <v>50</v>
      </c>
      <c r="G644" s="30" t="s">
        <v>51</v>
      </c>
      <c r="H644" s="28" t="s">
        <v>52</v>
      </c>
      <c r="I644" s="30"/>
      <c r="J644" s="30" t="s">
        <v>53</v>
      </c>
      <c r="K644" s="30" t="s">
        <v>5098</v>
      </c>
      <c r="L644" s="30" t="s">
        <v>55</v>
      </c>
      <c r="M644" s="30" t="s">
        <v>3632</v>
      </c>
      <c r="N644" s="30" t="s">
        <v>5099</v>
      </c>
      <c r="O644" s="30" t="s">
        <v>5100</v>
      </c>
      <c r="P644" s="30" t="s">
        <v>5101</v>
      </c>
      <c r="Q644" s="28"/>
      <c r="R644" s="30" t="s">
        <v>5102</v>
      </c>
      <c r="S644" s="30" t="s">
        <v>53</v>
      </c>
      <c r="T644" s="30"/>
      <c r="U644" s="28" t="s">
        <v>5103</v>
      </c>
      <c r="V644" s="30" t="s">
        <v>63</v>
      </c>
      <c r="W644" s="30" t="s">
        <v>204</v>
      </c>
      <c r="X644" s="32">
        <v>44348</v>
      </c>
      <c r="Y644" s="32">
        <v>46174</v>
      </c>
      <c r="Z644" s="30" t="s">
        <v>65</v>
      </c>
      <c r="AA644" s="28" t="s">
        <v>66</v>
      </c>
      <c r="AB644" s="28" t="s">
        <v>67</v>
      </c>
      <c r="AC644" s="29"/>
      <c r="AD644" s="28">
        <v>0</v>
      </c>
      <c r="AE644" s="29"/>
      <c r="AF644" s="31"/>
      <c r="AG644" s="30" t="s">
        <v>5003</v>
      </c>
      <c r="AH644" s="28"/>
      <c r="AI644" s="28" t="s">
        <v>53</v>
      </c>
      <c r="AJ644" s="33">
        <v>36170</v>
      </c>
      <c r="AK644" s="28">
        <v>5</v>
      </c>
      <c r="AL644" s="28">
        <v>23</v>
      </c>
      <c r="AM644" s="21"/>
      <c r="AN644" s="27"/>
      <c r="AO644" s="27"/>
      <c r="AP644" s="27"/>
      <c r="AQ644" s="27"/>
    </row>
    <row r="645" spans="1:43" ht="15.75" customHeight="1">
      <c r="A645" s="28">
        <v>4</v>
      </c>
      <c r="B645" s="29" t="s">
        <v>5104</v>
      </c>
      <c r="C645" s="30" t="s">
        <v>5105</v>
      </c>
      <c r="D645" s="31" t="s">
        <v>5106</v>
      </c>
      <c r="E645" s="30" t="s">
        <v>72</v>
      </c>
      <c r="F645" s="30" t="s">
        <v>50</v>
      </c>
      <c r="G645" s="30" t="s">
        <v>51</v>
      </c>
      <c r="H645" s="28" t="s">
        <v>85</v>
      </c>
      <c r="I645" s="30"/>
      <c r="J645" s="30" t="s">
        <v>53</v>
      </c>
      <c r="K645" s="30" t="s">
        <v>5107</v>
      </c>
      <c r="L645" s="30" t="s">
        <v>55</v>
      </c>
      <c r="M645" s="30" t="s">
        <v>4996</v>
      </c>
      <c r="N645" s="30" t="s">
        <v>5108</v>
      </c>
      <c r="O645" s="30" t="s">
        <v>5109</v>
      </c>
      <c r="P645" s="30" t="s">
        <v>5110</v>
      </c>
      <c r="Q645" s="28"/>
      <c r="R645" s="30" t="s">
        <v>5111</v>
      </c>
      <c r="S645" s="30" t="s">
        <v>53</v>
      </c>
      <c r="T645" s="30"/>
      <c r="U645" s="28" t="s">
        <v>5112</v>
      </c>
      <c r="V645" s="30" t="s">
        <v>63</v>
      </c>
      <c r="W645" s="30" t="s">
        <v>204</v>
      </c>
      <c r="X645" s="32">
        <v>44621</v>
      </c>
      <c r="Y645" s="32">
        <v>46357</v>
      </c>
      <c r="Z645" s="30" t="s">
        <v>65</v>
      </c>
      <c r="AA645" s="28" t="s">
        <v>134</v>
      </c>
      <c r="AB645" s="28" t="s">
        <v>67</v>
      </c>
      <c r="AC645" s="29"/>
      <c r="AD645" s="28">
        <v>0</v>
      </c>
      <c r="AE645" s="29"/>
      <c r="AF645" s="31"/>
      <c r="AG645" s="30" t="s">
        <v>5003</v>
      </c>
      <c r="AH645" s="28"/>
      <c r="AI645" s="28" t="s">
        <v>53</v>
      </c>
      <c r="AJ645" s="33">
        <v>38213</v>
      </c>
      <c r="AK645" s="28">
        <v>5</v>
      </c>
      <c r="AL645" s="28">
        <v>23</v>
      </c>
      <c r="AM645" s="21"/>
      <c r="AN645" s="27"/>
      <c r="AO645" s="27"/>
      <c r="AP645" s="27"/>
      <c r="AQ645" s="27"/>
    </row>
    <row r="646" spans="1:43" ht="15.75" customHeight="1">
      <c r="A646" s="28">
        <v>5</v>
      </c>
      <c r="B646" s="29" t="s">
        <v>5113</v>
      </c>
      <c r="C646" s="30"/>
      <c r="D646" s="31" t="s">
        <v>5114</v>
      </c>
      <c r="E646" s="30" t="s">
        <v>72</v>
      </c>
      <c r="F646" s="30" t="s">
        <v>50</v>
      </c>
      <c r="G646" s="30" t="s">
        <v>51</v>
      </c>
      <c r="H646" s="28" t="s">
        <v>52</v>
      </c>
      <c r="I646" s="30"/>
      <c r="J646" s="30" t="s">
        <v>53</v>
      </c>
      <c r="K646" s="30" t="s">
        <v>5115</v>
      </c>
      <c r="L646" s="30" t="s">
        <v>55</v>
      </c>
      <c r="M646" s="30" t="s">
        <v>4996</v>
      </c>
      <c r="N646" s="30" t="s">
        <v>5116</v>
      </c>
      <c r="O646" s="30" t="s">
        <v>5117</v>
      </c>
      <c r="P646" s="30" t="s">
        <v>5118</v>
      </c>
      <c r="Q646" s="28"/>
      <c r="R646" s="30" t="s">
        <v>5119</v>
      </c>
      <c r="S646" s="30" t="s">
        <v>53</v>
      </c>
      <c r="T646" s="30"/>
      <c r="U646" s="28" t="s">
        <v>1221</v>
      </c>
      <c r="V646" s="30" t="s">
        <v>63</v>
      </c>
      <c r="W646" s="30" t="s">
        <v>204</v>
      </c>
      <c r="X646" s="32">
        <v>43617</v>
      </c>
      <c r="Y646" s="32">
        <v>45261</v>
      </c>
      <c r="Z646" s="30" t="s">
        <v>65</v>
      </c>
      <c r="AA646" s="28" t="s">
        <v>134</v>
      </c>
      <c r="AB646" s="28" t="s">
        <v>67</v>
      </c>
      <c r="AC646" s="29"/>
      <c r="AD646" s="28">
        <v>0</v>
      </c>
      <c r="AE646" s="29"/>
      <c r="AF646" s="31"/>
      <c r="AG646" s="30" t="s">
        <v>5003</v>
      </c>
      <c r="AH646" s="28"/>
      <c r="AI646" s="28" t="s">
        <v>53</v>
      </c>
      <c r="AJ646" s="33">
        <v>36125</v>
      </c>
      <c r="AK646" s="28">
        <v>9</v>
      </c>
      <c r="AL646" s="28">
        <v>17</v>
      </c>
      <c r="AM646" s="21"/>
      <c r="AN646" s="27"/>
      <c r="AO646" s="27"/>
      <c r="AP646" s="27"/>
      <c r="AQ646" s="27"/>
    </row>
    <row r="647" spans="1:43" ht="15.75" customHeight="1">
      <c r="A647" s="28">
        <v>1</v>
      </c>
      <c r="B647" s="29" t="s">
        <v>5120</v>
      </c>
      <c r="C647" s="30" t="s">
        <v>5121</v>
      </c>
      <c r="D647" s="31" t="s">
        <v>5122</v>
      </c>
      <c r="E647" s="30" t="s">
        <v>72</v>
      </c>
      <c r="F647" s="30" t="s">
        <v>50</v>
      </c>
      <c r="G647" s="30" t="s">
        <v>51</v>
      </c>
      <c r="H647" s="28" t="s">
        <v>85</v>
      </c>
      <c r="I647" s="30"/>
      <c r="J647" s="30" t="s">
        <v>53</v>
      </c>
      <c r="K647" s="30" t="s">
        <v>5123</v>
      </c>
      <c r="L647" s="30" t="s">
        <v>55</v>
      </c>
      <c r="M647" s="30" t="s">
        <v>5124</v>
      </c>
      <c r="N647" s="30" t="s">
        <v>5125</v>
      </c>
      <c r="O647" s="30" t="s">
        <v>5126</v>
      </c>
      <c r="P647" s="30" t="s">
        <v>5127</v>
      </c>
      <c r="Q647" s="28"/>
      <c r="R647" s="30" t="s">
        <v>5128</v>
      </c>
      <c r="S647" s="30" t="s">
        <v>53</v>
      </c>
      <c r="T647" s="30"/>
      <c r="U647" s="28" t="s">
        <v>5129</v>
      </c>
      <c r="V647" s="30" t="s">
        <v>63</v>
      </c>
      <c r="W647" s="30" t="s">
        <v>64</v>
      </c>
      <c r="X647" s="32">
        <v>44409</v>
      </c>
      <c r="Y647" s="32">
        <v>46235</v>
      </c>
      <c r="Z647" s="30" t="s">
        <v>65</v>
      </c>
      <c r="AA647" s="28" t="s">
        <v>66</v>
      </c>
      <c r="AB647" s="28" t="s">
        <v>67</v>
      </c>
      <c r="AC647" s="29"/>
      <c r="AD647" s="28">
        <v>0</v>
      </c>
      <c r="AE647" s="29"/>
      <c r="AF647" s="31"/>
      <c r="AG647" s="30" t="s">
        <v>5130</v>
      </c>
      <c r="AH647" s="28"/>
      <c r="AI647" s="28" t="s">
        <v>53</v>
      </c>
      <c r="AJ647" s="33">
        <v>37545</v>
      </c>
      <c r="AK647" s="28">
        <v>6</v>
      </c>
      <c r="AL647" s="28">
        <v>23</v>
      </c>
      <c r="AM647" s="21"/>
      <c r="AN647" s="27"/>
      <c r="AO647" s="27"/>
      <c r="AP647" s="27"/>
      <c r="AQ647" s="27"/>
    </row>
    <row r="648" spans="1:43" ht="15.75" customHeight="1">
      <c r="A648" s="28">
        <v>2</v>
      </c>
      <c r="B648" s="29" t="s">
        <v>5131</v>
      </c>
      <c r="C648" s="30"/>
      <c r="D648" s="31" t="s">
        <v>5132</v>
      </c>
      <c r="E648" s="30" t="s">
        <v>49</v>
      </c>
      <c r="F648" s="30" t="s">
        <v>50</v>
      </c>
      <c r="G648" s="30" t="s">
        <v>51</v>
      </c>
      <c r="H648" s="28" t="s">
        <v>85</v>
      </c>
      <c r="I648" s="30"/>
      <c r="J648" s="30" t="s">
        <v>53</v>
      </c>
      <c r="K648" s="30" t="s">
        <v>5123</v>
      </c>
      <c r="L648" s="30" t="s">
        <v>55</v>
      </c>
      <c r="M648" s="30" t="s">
        <v>5124</v>
      </c>
      <c r="N648" s="30" t="s">
        <v>5133</v>
      </c>
      <c r="O648" s="30" t="s">
        <v>58</v>
      </c>
      <c r="P648" s="30" t="s">
        <v>5134</v>
      </c>
      <c r="Q648" s="28"/>
      <c r="R648" s="30" t="s">
        <v>5135</v>
      </c>
      <c r="S648" s="30" t="s">
        <v>53</v>
      </c>
      <c r="T648" s="30"/>
      <c r="U648" s="28" t="s">
        <v>5136</v>
      </c>
      <c r="V648" s="30" t="s">
        <v>63</v>
      </c>
      <c r="W648" s="30" t="s">
        <v>64</v>
      </c>
      <c r="X648" s="32">
        <v>44197</v>
      </c>
      <c r="Y648" s="32">
        <v>45992</v>
      </c>
      <c r="Z648" s="30" t="s">
        <v>65</v>
      </c>
      <c r="AA648" s="28" t="s">
        <v>66</v>
      </c>
      <c r="AB648" s="28" t="s">
        <v>67</v>
      </c>
      <c r="AC648" s="29"/>
      <c r="AD648" s="28">
        <v>0</v>
      </c>
      <c r="AE648" s="29"/>
      <c r="AF648" s="31"/>
      <c r="AG648" s="30" t="s">
        <v>5130</v>
      </c>
      <c r="AH648" s="28"/>
      <c r="AI648" s="28" t="s">
        <v>53</v>
      </c>
      <c r="AJ648" s="33">
        <v>34360</v>
      </c>
      <c r="AK648" s="28">
        <v>6</v>
      </c>
      <c r="AL648" s="28">
        <v>15</v>
      </c>
      <c r="AM648" s="21"/>
      <c r="AN648" s="27"/>
      <c r="AO648" s="27"/>
      <c r="AP648" s="27"/>
      <c r="AQ648" s="27"/>
    </row>
    <row r="649" spans="1:43" ht="15.75" customHeight="1">
      <c r="A649" s="28">
        <v>1</v>
      </c>
      <c r="B649" s="29" t="s">
        <v>5137</v>
      </c>
      <c r="C649" s="30" t="s">
        <v>5138</v>
      </c>
      <c r="D649" s="31" t="s">
        <v>5139</v>
      </c>
      <c r="E649" s="30" t="s">
        <v>72</v>
      </c>
      <c r="F649" s="30" t="s">
        <v>50</v>
      </c>
      <c r="G649" s="30" t="s">
        <v>51</v>
      </c>
      <c r="H649" s="28" t="s">
        <v>191</v>
      </c>
      <c r="I649" s="30"/>
      <c r="J649" s="30" t="s">
        <v>53</v>
      </c>
      <c r="K649" s="30" t="s">
        <v>5140</v>
      </c>
      <c r="L649" s="30" t="s">
        <v>55</v>
      </c>
      <c r="M649" s="30" t="s">
        <v>5141</v>
      </c>
      <c r="N649" s="30" t="s">
        <v>5142</v>
      </c>
      <c r="O649" s="30" t="s">
        <v>5143</v>
      </c>
      <c r="P649" s="30" t="s">
        <v>5144</v>
      </c>
      <c r="Q649" s="28"/>
      <c r="R649" s="30" t="s">
        <v>5145</v>
      </c>
      <c r="S649" s="30" t="s">
        <v>53</v>
      </c>
      <c r="T649" s="30"/>
      <c r="U649" s="28" t="s">
        <v>5146</v>
      </c>
      <c r="V649" s="30" t="s">
        <v>63</v>
      </c>
      <c r="W649" s="30" t="s">
        <v>64</v>
      </c>
      <c r="X649" s="32">
        <v>43891</v>
      </c>
      <c r="Y649" s="32">
        <v>45717</v>
      </c>
      <c r="Z649" s="30" t="s">
        <v>65</v>
      </c>
      <c r="AA649" s="28" t="s">
        <v>66</v>
      </c>
      <c r="AB649" s="28" t="s">
        <v>67</v>
      </c>
      <c r="AC649" s="29"/>
      <c r="AD649" s="28">
        <v>0</v>
      </c>
      <c r="AE649" s="29"/>
      <c r="AF649" s="31"/>
      <c r="AG649" s="30" t="s">
        <v>5147</v>
      </c>
      <c r="AH649" s="28"/>
      <c r="AI649" s="28" t="s">
        <v>53</v>
      </c>
      <c r="AJ649" s="33">
        <v>37330</v>
      </c>
      <c r="AK649" s="28">
        <v>8</v>
      </c>
      <c r="AL649" s="28">
        <v>26</v>
      </c>
      <c r="AM649" s="21"/>
      <c r="AN649" s="27"/>
      <c r="AO649" s="27"/>
      <c r="AP649" s="27"/>
      <c r="AQ649" s="27"/>
    </row>
    <row r="650" spans="1:43" ht="15.75" customHeight="1">
      <c r="A650" s="28">
        <v>2</v>
      </c>
      <c r="B650" s="29" t="s">
        <v>5148</v>
      </c>
      <c r="C650" s="30" t="s">
        <v>5149</v>
      </c>
      <c r="D650" s="31" t="s">
        <v>5150</v>
      </c>
      <c r="E650" s="30" t="s">
        <v>72</v>
      </c>
      <c r="F650" s="30" t="s">
        <v>50</v>
      </c>
      <c r="G650" s="30" t="s">
        <v>51</v>
      </c>
      <c r="H650" s="28" t="s">
        <v>85</v>
      </c>
      <c r="I650" s="30"/>
      <c r="J650" s="30" t="s">
        <v>53</v>
      </c>
      <c r="K650" s="30" t="s">
        <v>5151</v>
      </c>
      <c r="L650" s="30" t="s">
        <v>55</v>
      </c>
      <c r="M650" s="30" t="s">
        <v>5141</v>
      </c>
      <c r="N650" s="30" t="s">
        <v>5152</v>
      </c>
      <c r="O650" s="30" t="s">
        <v>5153</v>
      </c>
      <c r="P650" s="30" t="s">
        <v>5154</v>
      </c>
      <c r="Q650" s="28"/>
      <c r="R650" s="30" t="s">
        <v>5155</v>
      </c>
      <c r="S650" s="30" t="s">
        <v>53</v>
      </c>
      <c r="T650" s="30"/>
      <c r="U650" s="28" t="s">
        <v>5156</v>
      </c>
      <c r="V650" s="30" t="s">
        <v>63</v>
      </c>
      <c r="W650" s="30" t="s">
        <v>64</v>
      </c>
      <c r="X650" s="32">
        <v>43862</v>
      </c>
      <c r="Y650" s="32">
        <v>45627</v>
      </c>
      <c r="Z650" s="30" t="s">
        <v>65</v>
      </c>
      <c r="AA650" s="28" t="s">
        <v>66</v>
      </c>
      <c r="AB650" s="28" t="s">
        <v>67</v>
      </c>
      <c r="AC650" s="29"/>
      <c r="AD650" s="28">
        <v>0</v>
      </c>
      <c r="AE650" s="29"/>
      <c r="AF650" s="31"/>
      <c r="AG650" s="30" t="s">
        <v>5147</v>
      </c>
      <c r="AH650" s="28"/>
      <c r="AI650" s="28" t="s">
        <v>53</v>
      </c>
      <c r="AJ650" s="33">
        <v>35420</v>
      </c>
      <c r="AK650" s="28">
        <v>8</v>
      </c>
      <c r="AL650" s="28">
        <v>26</v>
      </c>
      <c r="AM650" s="21"/>
      <c r="AN650" s="27"/>
      <c r="AO650" s="27"/>
      <c r="AP650" s="27"/>
      <c r="AQ650" s="27"/>
    </row>
    <row r="651" spans="1:43" ht="15.75" customHeight="1">
      <c r="A651" s="28">
        <v>3</v>
      </c>
      <c r="B651" s="29" t="s">
        <v>5157</v>
      </c>
      <c r="C651" s="30"/>
      <c r="D651" s="31" t="s">
        <v>5158</v>
      </c>
      <c r="E651" s="30" t="s">
        <v>72</v>
      </c>
      <c r="F651" s="30" t="s">
        <v>50</v>
      </c>
      <c r="G651" s="30" t="s">
        <v>51</v>
      </c>
      <c r="H651" s="28" t="s">
        <v>52</v>
      </c>
      <c r="I651" s="30"/>
      <c r="J651" s="30" t="s">
        <v>53</v>
      </c>
      <c r="K651" s="30" t="s">
        <v>5159</v>
      </c>
      <c r="L651" s="30" t="s">
        <v>55</v>
      </c>
      <c r="M651" s="30" t="s">
        <v>5141</v>
      </c>
      <c r="N651" s="30" t="s">
        <v>5160</v>
      </c>
      <c r="O651" s="30" t="s">
        <v>5161</v>
      </c>
      <c r="P651" s="30" t="s">
        <v>5162</v>
      </c>
      <c r="Q651" s="28" t="s">
        <v>5163</v>
      </c>
      <c r="R651" s="30" t="s">
        <v>5164</v>
      </c>
      <c r="S651" s="30" t="s">
        <v>53</v>
      </c>
      <c r="T651" s="30"/>
      <c r="U651" s="28" t="s">
        <v>5165</v>
      </c>
      <c r="V651" s="30" t="s">
        <v>63</v>
      </c>
      <c r="W651" s="30" t="s">
        <v>64</v>
      </c>
      <c r="X651" s="32">
        <v>44562</v>
      </c>
      <c r="Y651" s="32">
        <v>46388</v>
      </c>
      <c r="Z651" s="30" t="s">
        <v>65</v>
      </c>
      <c r="AA651" s="28" t="s">
        <v>66</v>
      </c>
      <c r="AB651" s="28" t="s">
        <v>67</v>
      </c>
      <c r="AC651" s="29"/>
      <c r="AD651" s="28">
        <v>0</v>
      </c>
      <c r="AE651" s="29"/>
      <c r="AF651" s="31"/>
      <c r="AG651" s="30" t="s">
        <v>5147</v>
      </c>
      <c r="AH651" s="28"/>
      <c r="AI651" s="28" t="s">
        <v>53</v>
      </c>
      <c r="AJ651" s="33">
        <v>36656</v>
      </c>
      <c r="AK651" s="28">
        <v>5</v>
      </c>
      <c r="AL651" s="28">
        <v>22</v>
      </c>
      <c r="AM651" s="21"/>
      <c r="AN651" s="27"/>
      <c r="AO651" s="27"/>
      <c r="AP651" s="27"/>
      <c r="AQ651" s="27"/>
    </row>
    <row r="652" spans="1:43" ht="15.75" customHeight="1">
      <c r="A652" s="28">
        <v>4</v>
      </c>
      <c r="B652" s="29" t="s">
        <v>5166</v>
      </c>
      <c r="C652" s="30"/>
      <c r="D652" s="31" t="s">
        <v>5167</v>
      </c>
      <c r="E652" s="30" t="s">
        <v>72</v>
      </c>
      <c r="F652" s="30" t="s">
        <v>50</v>
      </c>
      <c r="G652" s="30" t="s">
        <v>51</v>
      </c>
      <c r="H652" s="28" t="s">
        <v>85</v>
      </c>
      <c r="I652" s="30"/>
      <c r="J652" s="30" t="s">
        <v>53</v>
      </c>
      <c r="K652" s="30" t="s">
        <v>5168</v>
      </c>
      <c r="L652" s="30" t="s">
        <v>55</v>
      </c>
      <c r="M652" s="30" t="s">
        <v>5141</v>
      </c>
      <c r="N652" s="30" t="s">
        <v>5169</v>
      </c>
      <c r="O652" s="30" t="s">
        <v>5170</v>
      </c>
      <c r="P652" s="30" t="s">
        <v>5171</v>
      </c>
      <c r="Q652" s="28"/>
      <c r="R652" s="30" t="s">
        <v>5172</v>
      </c>
      <c r="S652" s="30" t="s">
        <v>53</v>
      </c>
      <c r="T652" s="30"/>
      <c r="U652" s="28" t="s">
        <v>5173</v>
      </c>
      <c r="V652" s="30" t="s">
        <v>63</v>
      </c>
      <c r="W652" s="30" t="s">
        <v>64</v>
      </c>
      <c r="X652" s="32">
        <v>44409</v>
      </c>
      <c r="Y652" s="32">
        <v>46174</v>
      </c>
      <c r="Z652" s="30" t="s">
        <v>65</v>
      </c>
      <c r="AA652" s="28" t="s">
        <v>66</v>
      </c>
      <c r="AB652" s="28" t="s">
        <v>67</v>
      </c>
      <c r="AC652" s="29"/>
      <c r="AD652" s="28">
        <v>0</v>
      </c>
      <c r="AE652" s="29"/>
      <c r="AF652" s="31"/>
      <c r="AG652" s="30" t="s">
        <v>5147</v>
      </c>
      <c r="AH652" s="28"/>
      <c r="AI652" s="28" t="s">
        <v>53</v>
      </c>
      <c r="AJ652" s="33">
        <v>36805</v>
      </c>
      <c r="AK652" s="28">
        <v>5</v>
      </c>
      <c r="AL652" s="28">
        <v>21</v>
      </c>
      <c r="AM652" s="21"/>
      <c r="AN652" s="27"/>
      <c r="AO652" s="27"/>
      <c r="AP652" s="27"/>
      <c r="AQ652" s="27"/>
    </row>
    <row r="653" spans="1:43" ht="15.75" customHeight="1">
      <c r="A653" s="28">
        <v>5</v>
      </c>
      <c r="B653" s="29" t="s">
        <v>5174</v>
      </c>
      <c r="C653" s="30"/>
      <c r="D653" s="31" t="s">
        <v>5175</v>
      </c>
      <c r="E653" s="30" t="s">
        <v>49</v>
      </c>
      <c r="F653" s="30" t="s">
        <v>50</v>
      </c>
      <c r="G653" s="30" t="s">
        <v>51</v>
      </c>
      <c r="H653" s="28" t="s">
        <v>85</v>
      </c>
      <c r="I653" s="30"/>
      <c r="J653" s="30" t="s">
        <v>53</v>
      </c>
      <c r="K653" s="30" t="s">
        <v>5176</v>
      </c>
      <c r="L653" s="30" t="s">
        <v>55</v>
      </c>
      <c r="M653" s="30" t="s">
        <v>5141</v>
      </c>
      <c r="N653" s="30" t="s">
        <v>5177</v>
      </c>
      <c r="O653" s="30" t="s">
        <v>650</v>
      </c>
      <c r="P653" s="30" t="s">
        <v>5178</v>
      </c>
      <c r="Q653" s="28" t="s">
        <v>5179</v>
      </c>
      <c r="R653" s="30" t="s">
        <v>5180</v>
      </c>
      <c r="S653" s="30" t="s">
        <v>53</v>
      </c>
      <c r="T653" s="30"/>
      <c r="U653" s="28" t="s">
        <v>5173</v>
      </c>
      <c r="V653" s="30" t="s">
        <v>63</v>
      </c>
      <c r="W653" s="30" t="s">
        <v>64</v>
      </c>
      <c r="X653" s="32">
        <v>43678</v>
      </c>
      <c r="Y653" s="32">
        <v>45870</v>
      </c>
      <c r="Z653" s="30" t="s">
        <v>65</v>
      </c>
      <c r="AA653" s="28" t="s">
        <v>66</v>
      </c>
      <c r="AB653" s="28" t="s">
        <v>67</v>
      </c>
      <c r="AC653" s="29"/>
      <c r="AD653" s="28">
        <v>0</v>
      </c>
      <c r="AE653" s="29"/>
      <c r="AF653" s="31"/>
      <c r="AG653" s="30" t="s">
        <v>5147</v>
      </c>
      <c r="AH653" s="28"/>
      <c r="AI653" s="28" t="s">
        <v>53</v>
      </c>
      <c r="AJ653" s="33">
        <v>35798</v>
      </c>
      <c r="AK653" s="28">
        <v>7</v>
      </c>
      <c r="AL653" s="28">
        <v>20</v>
      </c>
      <c r="AM653" s="21"/>
      <c r="AN653" s="27"/>
      <c r="AO653" s="27"/>
      <c r="AP653" s="27"/>
      <c r="AQ653" s="27"/>
    </row>
    <row r="654" spans="1:43" ht="15.75" customHeight="1">
      <c r="A654" s="28">
        <v>6</v>
      </c>
      <c r="B654" s="29" t="s">
        <v>5181</v>
      </c>
      <c r="C654" s="30" t="s">
        <v>5182</v>
      </c>
      <c r="D654" s="31" t="s">
        <v>5183</v>
      </c>
      <c r="E654" s="30" t="s">
        <v>49</v>
      </c>
      <c r="F654" s="30" t="s">
        <v>50</v>
      </c>
      <c r="G654" s="30" t="s">
        <v>51</v>
      </c>
      <c r="H654" s="28" t="s">
        <v>85</v>
      </c>
      <c r="I654" s="30"/>
      <c r="J654" s="30" t="s">
        <v>53</v>
      </c>
      <c r="K654" s="30" t="s">
        <v>5184</v>
      </c>
      <c r="L654" s="30" t="s">
        <v>55</v>
      </c>
      <c r="M654" s="30" t="s">
        <v>5141</v>
      </c>
      <c r="N654" s="30" t="s">
        <v>5185</v>
      </c>
      <c r="O654" s="30" t="s">
        <v>5186</v>
      </c>
      <c r="P654" s="30" t="s">
        <v>5187</v>
      </c>
      <c r="Q654" s="28"/>
      <c r="R654" s="30" t="s">
        <v>5188</v>
      </c>
      <c r="S654" s="30" t="s">
        <v>53</v>
      </c>
      <c r="T654" s="30"/>
      <c r="U654" s="28" t="s">
        <v>5173</v>
      </c>
      <c r="V654" s="30" t="s">
        <v>63</v>
      </c>
      <c r="W654" s="30" t="s">
        <v>64</v>
      </c>
      <c r="X654" s="32">
        <v>43862</v>
      </c>
      <c r="Y654" s="32">
        <v>45809</v>
      </c>
      <c r="Z654" s="30" t="s">
        <v>65</v>
      </c>
      <c r="AA654" s="28" t="s">
        <v>66</v>
      </c>
      <c r="AB654" s="28" t="s">
        <v>67</v>
      </c>
      <c r="AC654" s="29"/>
      <c r="AD654" s="28">
        <v>0</v>
      </c>
      <c r="AE654" s="29"/>
      <c r="AF654" s="31"/>
      <c r="AG654" s="30" t="s">
        <v>5147</v>
      </c>
      <c r="AH654" s="28"/>
      <c r="AI654" s="28" t="s">
        <v>53</v>
      </c>
      <c r="AJ654" s="33">
        <v>37600</v>
      </c>
      <c r="AK654" s="28">
        <v>7</v>
      </c>
      <c r="AL654" s="28">
        <v>19</v>
      </c>
      <c r="AM654" s="21"/>
      <c r="AN654" s="27"/>
      <c r="AO654" s="27"/>
      <c r="AP654" s="27"/>
      <c r="AQ654" s="27"/>
    </row>
    <row r="655" spans="1:43" ht="15.75" customHeight="1">
      <c r="A655" s="28">
        <v>7</v>
      </c>
      <c r="B655" s="29" t="s">
        <v>5189</v>
      </c>
      <c r="C655" s="30" t="s">
        <v>5190</v>
      </c>
      <c r="D655" s="31" t="s">
        <v>5191</v>
      </c>
      <c r="E655" s="30" t="s">
        <v>72</v>
      </c>
      <c r="F655" s="30" t="s">
        <v>50</v>
      </c>
      <c r="G655" s="30" t="s">
        <v>51</v>
      </c>
      <c r="H655" s="28" t="s">
        <v>52</v>
      </c>
      <c r="I655" s="30"/>
      <c r="J655" s="30" t="s">
        <v>53</v>
      </c>
      <c r="K655" s="30" t="s">
        <v>5192</v>
      </c>
      <c r="L655" s="30" t="s">
        <v>55</v>
      </c>
      <c r="M655" s="30" t="s">
        <v>5141</v>
      </c>
      <c r="N655" s="30" t="s">
        <v>5193</v>
      </c>
      <c r="O655" s="30" t="s">
        <v>5194</v>
      </c>
      <c r="P655" s="30" t="s">
        <v>5195</v>
      </c>
      <c r="Q655" s="28" t="s">
        <v>5196</v>
      </c>
      <c r="R655" s="30" t="s">
        <v>5197</v>
      </c>
      <c r="S655" s="30" t="s">
        <v>53</v>
      </c>
      <c r="T655" s="30"/>
      <c r="U655" s="28" t="s">
        <v>5173</v>
      </c>
      <c r="V655" s="30" t="s">
        <v>63</v>
      </c>
      <c r="W655" s="30" t="s">
        <v>64</v>
      </c>
      <c r="X655" s="32">
        <v>43831</v>
      </c>
      <c r="Y655" s="32">
        <v>45627</v>
      </c>
      <c r="Z655" s="30" t="s">
        <v>65</v>
      </c>
      <c r="AA655" s="28" t="s">
        <v>66</v>
      </c>
      <c r="AB655" s="28" t="s">
        <v>67</v>
      </c>
      <c r="AC655" s="29"/>
      <c r="AD655" s="28">
        <v>0</v>
      </c>
      <c r="AE655" s="29"/>
      <c r="AF655" s="31"/>
      <c r="AG655" s="30" t="s">
        <v>5147</v>
      </c>
      <c r="AH655" s="28"/>
      <c r="AI655" s="28" t="s">
        <v>118</v>
      </c>
      <c r="AJ655" s="33">
        <v>36969</v>
      </c>
      <c r="AK655" s="28">
        <v>8</v>
      </c>
      <c r="AL655" s="28">
        <v>17</v>
      </c>
      <c r="AM655" s="21" t="s">
        <v>5198</v>
      </c>
      <c r="AN655" s="27"/>
      <c r="AO655" s="27"/>
      <c r="AP655" s="27"/>
      <c r="AQ655" s="27"/>
    </row>
    <row r="656" spans="1:43" ht="15.75" customHeight="1">
      <c r="A656" s="28">
        <v>8</v>
      </c>
      <c r="B656" s="29" t="s">
        <v>5199</v>
      </c>
      <c r="C656" s="30"/>
      <c r="D656" s="31" t="s">
        <v>5200</v>
      </c>
      <c r="E656" s="30" t="s">
        <v>72</v>
      </c>
      <c r="F656" s="30" t="s">
        <v>50</v>
      </c>
      <c r="G656" s="30" t="s">
        <v>51</v>
      </c>
      <c r="H656" s="28" t="s">
        <v>85</v>
      </c>
      <c r="I656" s="30"/>
      <c r="J656" s="30" t="s">
        <v>53</v>
      </c>
      <c r="K656" s="30" t="s">
        <v>5201</v>
      </c>
      <c r="L656" s="30" t="s">
        <v>55</v>
      </c>
      <c r="M656" s="30" t="s">
        <v>5141</v>
      </c>
      <c r="N656" s="30" t="s">
        <v>5202</v>
      </c>
      <c r="O656" s="30" t="s">
        <v>58</v>
      </c>
      <c r="P656" s="30" t="s">
        <v>5203</v>
      </c>
      <c r="Q656" s="28" t="s">
        <v>5204</v>
      </c>
      <c r="R656" s="30" t="s">
        <v>5205</v>
      </c>
      <c r="S656" s="30" t="s">
        <v>53</v>
      </c>
      <c r="T656" s="30"/>
      <c r="U656" s="28" t="s">
        <v>5146</v>
      </c>
      <c r="V656" s="30" t="s">
        <v>63</v>
      </c>
      <c r="W656" s="30" t="s">
        <v>64</v>
      </c>
      <c r="X656" s="32">
        <v>43831</v>
      </c>
      <c r="Y656" s="32">
        <v>45658</v>
      </c>
      <c r="Z656" s="30" t="s">
        <v>65</v>
      </c>
      <c r="AA656" s="28" t="s">
        <v>66</v>
      </c>
      <c r="AB656" s="28" t="s">
        <v>67</v>
      </c>
      <c r="AC656" s="29"/>
      <c r="AD656" s="28">
        <v>0</v>
      </c>
      <c r="AE656" s="29"/>
      <c r="AF656" s="31"/>
      <c r="AG656" s="30" t="s">
        <v>5147</v>
      </c>
      <c r="AH656" s="28"/>
      <c r="AI656" s="28" t="s">
        <v>53</v>
      </c>
      <c r="AJ656" s="33">
        <v>37280</v>
      </c>
      <c r="AK656" s="28">
        <v>8</v>
      </c>
      <c r="AL656" s="28">
        <v>17</v>
      </c>
      <c r="AM656" s="21"/>
      <c r="AN656" s="27"/>
      <c r="AO656" s="27"/>
      <c r="AP656" s="27"/>
      <c r="AQ656" s="27"/>
    </row>
    <row r="657" spans="1:43" ht="15.75" customHeight="1">
      <c r="A657" s="28">
        <v>9</v>
      </c>
      <c r="B657" s="29" t="s">
        <v>5206</v>
      </c>
      <c r="C657" s="30"/>
      <c r="D657" s="31" t="s">
        <v>5207</v>
      </c>
      <c r="E657" s="30" t="s">
        <v>72</v>
      </c>
      <c r="F657" s="30" t="s">
        <v>50</v>
      </c>
      <c r="G657" s="30" t="s">
        <v>51</v>
      </c>
      <c r="H657" s="28" t="s">
        <v>85</v>
      </c>
      <c r="I657" s="30"/>
      <c r="J657" s="30" t="s">
        <v>53</v>
      </c>
      <c r="K657" s="30" t="s">
        <v>5208</v>
      </c>
      <c r="L657" s="30" t="s">
        <v>795</v>
      </c>
      <c r="M657" s="30" t="s">
        <v>5209</v>
      </c>
      <c r="N657" s="30" t="s">
        <v>5210</v>
      </c>
      <c r="O657" s="30" t="s">
        <v>5211</v>
      </c>
      <c r="P657" s="30" t="s">
        <v>5212</v>
      </c>
      <c r="Q657" s="28" t="s">
        <v>5213</v>
      </c>
      <c r="R657" s="30" t="s">
        <v>5214</v>
      </c>
      <c r="S657" s="30" t="s">
        <v>53</v>
      </c>
      <c r="T657" s="30"/>
      <c r="U657" s="28" t="s">
        <v>5215</v>
      </c>
      <c r="V657" s="30" t="s">
        <v>63</v>
      </c>
      <c r="W657" s="30" t="s">
        <v>64</v>
      </c>
      <c r="X657" s="32">
        <v>44593</v>
      </c>
      <c r="Y657" s="32">
        <v>46357</v>
      </c>
      <c r="Z657" s="30" t="s">
        <v>65</v>
      </c>
      <c r="AA657" s="28" t="s">
        <v>66</v>
      </c>
      <c r="AB657" s="28" t="s">
        <v>67</v>
      </c>
      <c r="AC657" s="29"/>
      <c r="AD657" s="28">
        <v>0</v>
      </c>
      <c r="AE657" s="29"/>
      <c r="AF657" s="31"/>
      <c r="AG657" s="30" t="s">
        <v>5147</v>
      </c>
      <c r="AH657" s="28"/>
      <c r="AI657" s="28" t="s">
        <v>53</v>
      </c>
      <c r="AJ657" s="33">
        <v>37753</v>
      </c>
      <c r="AK657" s="28">
        <v>5</v>
      </c>
      <c r="AL657" s="28">
        <v>17</v>
      </c>
      <c r="AM657" s="21"/>
      <c r="AN657" s="27"/>
      <c r="AO657" s="27"/>
      <c r="AP657" s="27"/>
      <c r="AQ657" s="27"/>
    </row>
    <row r="658" spans="1:43" ht="15.75" customHeight="1">
      <c r="A658" s="28">
        <v>10</v>
      </c>
      <c r="B658" s="29" t="s">
        <v>5216</v>
      </c>
      <c r="C658" s="30"/>
      <c r="D658" s="31" t="s">
        <v>5217</v>
      </c>
      <c r="E658" s="30" t="s">
        <v>72</v>
      </c>
      <c r="F658" s="30" t="s">
        <v>50</v>
      </c>
      <c r="G658" s="30" t="s">
        <v>51</v>
      </c>
      <c r="H658" s="28" t="s">
        <v>85</v>
      </c>
      <c r="I658" s="30"/>
      <c r="J658" s="30" t="s">
        <v>53</v>
      </c>
      <c r="K658" s="30" t="s">
        <v>5218</v>
      </c>
      <c r="L658" s="30" t="s">
        <v>55</v>
      </c>
      <c r="M658" s="30" t="s">
        <v>5141</v>
      </c>
      <c r="N658" s="30" t="s">
        <v>5219</v>
      </c>
      <c r="O658" s="30" t="s">
        <v>5220</v>
      </c>
      <c r="P658" s="30" t="s">
        <v>5221</v>
      </c>
      <c r="Q658" s="28" t="s">
        <v>5222</v>
      </c>
      <c r="R658" s="30" t="s">
        <v>5223</v>
      </c>
      <c r="S658" s="30" t="s">
        <v>53</v>
      </c>
      <c r="T658" s="30"/>
      <c r="U658" s="28" t="s">
        <v>5224</v>
      </c>
      <c r="V658" s="30" t="s">
        <v>63</v>
      </c>
      <c r="W658" s="30" t="s">
        <v>64</v>
      </c>
      <c r="X658" s="32">
        <v>44409</v>
      </c>
      <c r="Y658" s="32">
        <v>46174</v>
      </c>
      <c r="Z658" s="30" t="s">
        <v>65</v>
      </c>
      <c r="AA658" s="28" t="s">
        <v>66</v>
      </c>
      <c r="AB658" s="28" t="s">
        <v>67</v>
      </c>
      <c r="AC658" s="29"/>
      <c r="AD658" s="28">
        <v>0</v>
      </c>
      <c r="AE658" s="29"/>
      <c r="AF658" s="31"/>
      <c r="AG658" s="30" t="s">
        <v>5147</v>
      </c>
      <c r="AH658" s="28"/>
      <c r="AI658" s="28" t="s">
        <v>118</v>
      </c>
      <c r="AJ658" s="33">
        <v>35486</v>
      </c>
      <c r="AK658" s="28">
        <v>5</v>
      </c>
      <c r="AL658" s="28">
        <v>15</v>
      </c>
      <c r="AM658" s="21"/>
      <c r="AN658" s="27"/>
      <c r="AO658" s="27"/>
      <c r="AP658" s="27"/>
      <c r="AQ658" s="27"/>
    </row>
    <row r="659" spans="1:43" ht="15.75" customHeight="1">
      <c r="A659" s="28">
        <v>11</v>
      </c>
      <c r="B659" s="29" t="s">
        <v>5225</v>
      </c>
      <c r="C659" s="30"/>
      <c r="D659" s="31" t="s">
        <v>5226</v>
      </c>
      <c r="E659" s="30" t="s">
        <v>49</v>
      </c>
      <c r="F659" s="30" t="s">
        <v>50</v>
      </c>
      <c r="G659" s="30" t="s">
        <v>51</v>
      </c>
      <c r="H659" s="28" t="s">
        <v>52</v>
      </c>
      <c r="I659" s="30"/>
      <c r="J659" s="30" t="s">
        <v>53</v>
      </c>
      <c r="K659" s="30" t="s">
        <v>5227</v>
      </c>
      <c r="L659" s="30" t="s">
        <v>55</v>
      </c>
      <c r="M659" s="30" t="s">
        <v>5141</v>
      </c>
      <c r="N659" s="30" t="s">
        <v>5228</v>
      </c>
      <c r="O659" s="30" t="s">
        <v>5229</v>
      </c>
      <c r="P659" s="30" t="s">
        <v>5230</v>
      </c>
      <c r="Q659" s="28" t="s">
        <v>5231</v>
      </c>
      <c r="R659" s="30" t="s">
        <v>5232</v>
      </c>
      <c r="S659" s="30" t="s">
        <v>53</v>
      </c>
      <c r="T659" s="30"/>
      <c r="U659" s="28" t="s">
        <v>5233</v>
      </c>
      <c r="V659" s="30" t="s">
        <v>63</v>
      </c>
      <c r="W659" s="30" t="s">
        <v>64</v>
      </c>
      <c r="X659" s="32">
        <v>44228</v>
      </c>
      <c r="Y659" s="32">
        <v>45627</v>
      </c>
      <c r="Z659" s="30" t="s">
        <v>65</v>
      </c>
      <c r="AA659" s="28" t="s">
        <v>66</v>
      </c>
      <c r="AB659" s="28" t="s">
        <v>67</v>
      </c>
      <c r="AC659" s="29"/>
      <c r="AD659" s="28">
        <v>0</v>
      </c>
      <c r="AE659" s="29"/>
      <c r="AF659" s="31"/>
      <c r="AG659" s="30" t="s">
        <v>5147</v>
      </c>
      <c r="AH659" s="28"/>
      <c r="AI659" s="28" t="s">
        <v>53</v>
      </c>
      <c r="AJ659" s="33">
        <v>37200</v>
      </c>
      <c r="AK659" s="28">
        <v>5</v>
      </c>
      <c r="AL659" s="28">
        <v>15</v>
      </c>
      <c r="AM659" s="21"/>
      <c r="AN659" s="27"/>
      <c r="AO659" s="27"/>
      <c r="AP659" s="27"/>
      <c r="AQ659" s="27"/>
    </row>
    <row r="660" spans="1:43" ht="15.75" customHeight="1">
      <c r="A660" s="28">
        <v>12</v>
      </c>
      <c r="B660" s="29" t="s">
        <v>5234</v>
      </c>
      <c r="C660" s="30"/>
      <c r="D660" s="31" t="s">
        <v>5235</v>
      </c>
      <c r="E660" s="30" t="s">
        <v>72</v>
      </c>
      <c r="F660" s="30" t="s">
        <v>50</v>
      </c>
      <c r="G660" s="30" t="s">
        <v>51</v>
      </c>
      <c r="H660" s="28" t="s">
        <v>85</v>
      </c>
      <c r="I660" s="30"/>
      <c r="J660" s="30" t="s">
        <v>53</v>
      </c>
      <c r="K660" s="30" t="s">
        <v>5236</v>
      </c>
      <c r="L660" s="30" t="s">
        <v>55</v>
      </c>
      <c r="M660" s="30" t="s">
        <v>5141</v>
      </c>
      <c r="N660" s="30" t="s">
        <v>5237</v>
      </c>
      <c r="O660" s="30" t="s">
        <v>1055</v>
      </c>
      <c r="P660" s="30" t="s">
        <v>5238</v>
      </c>
      <c r="Q660" s="28" t="s">
        <v>5239</v>
      </c>
      <c r="R660" s="30" t="s">
        <v>5240</v>
      </c>
      <c r="S660" s="30" t="s">
        <v>53</v>
      </c>
      <c r="T660" s="30"/>
      <c r="U660" s="28" t="s">
        <v>5241</v>
      </c>
      <c r="V660" s="30" t="s">
        <v>63</v>
      </c>
      <c r="W660" s="30" t="s">
        <v>64</v>
      </c>
      <c r="X660" s="32">
        <v>44409</v>
      </c>
      <c r="Y660" s="32">
        <v>46174</v>
      </c>
      <c r="Z660" s="30" t="s">
        <v>65</v>
      </c>
      <c r="AA660" s="28" t="s">
        <v>66</v>
      </c>
      <c r="AB660" s="28" t="s">
        <v>67</v>
      </c>
      <c r="AC660" s="29"/>
      <c r="AD660" s="28">
        <v>0</v>
      </c>
      <c r="AE660" s="29"/>
      <c r="AF660" s="31"/>
      <c r="AG660" s="30" t="s">
        <v>5147</v>
      </c>
      <c r="AH660" s="28"/>
      <c r="AI660" s="28" t="s">
        <v>53</v>
      </c>
      <c r="AJ660" s="33">
        <v>37859</v>
      </c>
      <c r="AK660" s="28">
        <v>5</v>
      </c>
      <c r="AL660" s="28">
        <v>15</v>
      </c>
      <c r="AM660" s="21"/>
      <c r="AN660" s="27"/>
      <c r="AO660" s="27"/>
      <c r="AP660" s="27"/>
      <c r="AQ660" s="27"/>
    </row>
    <row r="661" spans="1:43" ht="15.75" customHeight="1">
      <c r="A661" s="28">
        <v>13</v>
      </c>
      <c r="B661" s="29" t="s">
        <v>5242</v>
      </c>
      <c r="C661" s="30"/>
      <c r="D661" s="31" t="s">
        <v>5243</v>
      </c>
      <c r="E661" s="30" t="s">
        <v>72</v>
      </c>
      <c r="F661" s="30" t="s">
        <v>50</v>
      </c>
      <c r="G661" s="30" t="s">
        <v>51</v>
      </c>
      <c r="H661" s="28" t="s">
        <v>52</v>
      </c>
      <c r="I661" s="30"/>
      <c r="J661" s="30" t="s">
        <v>53</v>
      </c>
      <c r="K661" s="30" t="s">
        <v>5244</v>
      </c>
      <c r="L661" s="30" t="s">
        <v>55</v>
      </c>
      <c r="M661" s="30" t="s">
        <v>5141</v>
      </c>
      <c r="N661" s="30" t="s">
        <v>5245</v>
      </c>
      <c r="O661" s="30" t="s">
        <v>5246</v>
      </c>
      <c r="P661" s="30" t="s">
        <v>5247</v>
      </c>
      <c r="Q661" s="28" t="s">
        <v>5248</v>
      </c>
      <c r="R661" s="30" t="s">
        <v>5249</v>
      </c>
      <c r="S661" s="30" t="s">
        <v>53</v>
      </c>
      <c r="T661" s="30"/>
      <c r="U661" s="28" t="s">
        <v>5250</v>
      </c>
      <c r="V661" s="30" t="s">
        <v>63</v>
      </c>
      <c r="W661" s="30" t="s">
        <v>64</v>
      </c>
      <c r="X661" s="32">
        <v>44197</v>
      </c>
      <c r="Y661" s="32">
        <v>45992</v>
      </c>
      <c r="Z661" s="30" t="s">
        <v>65</v>
      </c>
      <c r="AA661" s="28" t="s">
        <v>66</v>
      </c>
      <c r="AB661" s="28" t="s">
        <v>67</v>
      </c>
      <c r="AC661" s="29"/>
      <c r="AD661" s="28">
        <v>0</v>
      </c>
      <c r="AE661" s="29"/>
      <c r="AF661" s="31"/>
      <c r="AG661" s="30" t="s">
        <v>5147</v>
      </c>
      <c r="AH661" s="28"/>
      <c r="AI661" s="28" t="s">
        <v>53</v>
      </c>
      <c r="AJ661" s="33">
        <v>37343</v>
      </c>
      <c r="AK661" s="28">
        <v>6</v>
      </c>
      <c r="AL661" s="28">
        <v>15</v>
      </c>
      <c r="AM661" s="21"/>
      <c r="AN661" s="27"/>
      <c r="AO661" s="27"/>
      <c r="AP661" s="27"/>
      <c r="AQ661" s="27"/>
    </row>
    <row r="662" spans="1:43" ht="15.75" customHeight="1">
      <c r="A662" s="28">
        <v>1</v>
      </c>
      <c r="B662" s="29" t="s">
        <v>5251</v>
      </c>
      <c r="C662" s="30" t="s">
        <v>5252</v>
      </c>
      <c r="D662" s="31" t="s">
        <v>5253</v>
      </c>
      <c r="E662" s="30" t="s">
        <v>72</v>
      </c>
      <c r="F662" s="30" t="s">
        <v>50</v>
      </c>
      <c r="G662" s="30" t="s">
        <v>51</v>
      </c>
      <c r="H662" s="28" t="s">
        <v>85</v>
      </c>
      <c r="I662" s="30"/>
      <c r="J662" s="30" t="s">
        <v>53</v>
      </c>
      <c r="K662" s="30" t="s">
        <v>5254</v>
      </c>
      <c r="L662" s="30" t="s">
        <v>55</v>
      </c>
      <c r="M662" s="30" t="s">
        <v>5255</v>
      </c>
      <c r="N662" s="30" t="s">
        <v>5256</v>
      </c>
      <c r="O662" s="30" t="s">
        <v>851</v>
      </c>
      <c r="P662" s="30" t="s">
        <v>5257</v>
      </c>
      <c r="Q662" s="28"/>
      <c r="R662" s="30" t="s">
        <v>5258</v>
      </c>
      <c r="S662" s="30" t="s">
        <v>53</v>
      </c>
      <c r="T662" s="30"/>
      <c r="U662" s="28" t="s">
        <v>5259</v>
      </c>
      <c r="V662" s="30" t="s">
        <v>63</v>
      </c>
      <c r="W662" s="30" t="s">
        <v>64</v>
      </c>
      <c r="X662" s="32">
        <v>43831</v>
      </c>
      <c r="Y662" s="32">
        <v>45627</v>
      </c>
      <c r="Z662" s="30" t="s">
        <v>65</v>
      </c>
      <c r="AA662" s="28" t="s">
        <v>66</v>
      </c>
      <c r="AB662" s="28" t="s">
        <v>67</v>
      </c>
      <c r="AC662" s="29"/>
      <c r="AD662" s="28">
        <v>0</v>
      </c>
      <c r="AE662" s="29"/>
      <c r="AF662" s="31"/>
      <c r="AG662" s="30" t="s">
        <v>5260</v>
      </c>
      <c r="AH662" s="28"/>
      <c r="AI662" s="28" t="s">
        <v>53</v>
      </c>
      <c r="AJ662" s="33">
        <v>37194</v>
      </c>
      <c r="AK662" s="28">
        <v>8</v>
      </c>
      <c r="AL662" s="28">
        <v>25</v>
      </c>
      <c r="AM662" s="21"/>
      <c r="AN662" s="27"/>
      <c r="AO662" s="27"/>
      <c r="AP662" s="27"/>
      <c r="AQ662" s="27"/>
    </row>
    <row r="663" spans="1:43" ht="15.75" customHeight="1">
      <c r="A663" s="28">
        <v>2</v>
      </c>
      <c r="B663" s="29" t="s">
        <v>5261</v>
      </c>
      <c r="C663" s="30"/>
      <c r="D663" s="31" t="s">
        <v>5262</v>
      </c>
      <c r="E663" s="30" t="s">
        <v>72</v>
      </c>
      <c r="F663" s="30" t="s">
        <v>50</v>
      </c>
      <c r="G663" s="30" t="s">
        <v>51</v>
      </c>
      <c r="H663" s="28" t="s">
        <v>52</v>
      </c>
      <c r="I663" s="30"/>
      <c r="J663" s="30" t="s">
        <v>53</v>
      </c>
      <c r="K663" s="30" t="s">
        <v>5254</v>
      </c>
      <c r="L663" s="30" t="s">
        <v>55</v>
      </c>
      <c r="M663" s="30" t="s">
        <v>5255</v>
      </c>
      <c r="N663" s="30" t="s">
        <v>5263</v>
      </c>
      <c r="O663" s="30" t="s">
        <v>5264</v>
      </c>
      <c r="P663" s="30" t="s">
        <v>5265</v>
      </c>
      <c r="Q663" s="28"/>
      <c r="R663" s="30" t="s">
        <v>5266</v>
      </c>
      <c r="S663" s="30" t="s">
        <v>53</v>
      </c>
      <c r="T663" s="30"/>
      <c r="U663" s="28" t="s">
        <v>255</v>
      </c>
      <c r="V663" s="30" t="s">
        <v>63</v>
      </c>
      <c r="W663" s="30" t="s">
        <v>64</v>
      </c>
      <c r="X663" s="32">
        <v>44409</v>
      </c>
      <c r="Y663" s="32">
        <v>45992</v>
      </c>
      <c r="Z663" s="30" t="s">
        <v>65</v>
      </c>
      <c r="AA663" s="28" t="s">
        <v>134</v>
      </c>
      <c r="AB663" s="28" t="s">
        <v>67</v>
      </c>
      <c r="AC663" s="29"/>
      <c r="AD663" s="28">
        <v>0</v>
      </c>
      <c r="AE663" s="29"/>
      <c r="AF663" s="31"/>
      <c r="AG663" s="30" t="s">
        <v>5260</v>
      </c>
      <c r="AH663" s="28"/>
      <c r="AI663" s="28" t="s">
        <v>53</v>
      </c>
      <c r="AJ663" s="33">
        <v>32742</v>
      </c>
      <c r="AK663" s="28">
        <v>6</v>
      </c>
      <c r="AL663" s="28">
        <v>23</v>
      </c>
      <c r="AM663" s="21"/>
      <c r="AN663" s="27"/>
      <c r="AO663" s="27"/>
      <c r="AP663" s="27"/>
      <c r="AQ663" s="27"/>
    </row>
    <row r="664" spans="1:43" ht="15.75" customHeight="1">
      <c r="A664" s="28">
        <v>3</v>
      </c>
      <c r="B664" s="29" t="s">
        <v>5267</v>
      </c>
      <c r="C664" s="30"/>
      <c r="D664" s="31" t="s">
        <v>5268</v>
      </c>
      <c r="E664" s="30" t="s">
        <v>72</v>
      </c>
      <c r="F664" s="30" t="s">
        <v>50</v>
      </c>
      <c r="G664" s="30" t="s">
        <v>51</v>
      </c>
      <c r="H664" s="28" t="s">
        <v>52</v>
      </c>
      <c r="I664" s="30"/>
      <c r="J664" s="30" t="s">
        <v>53</v>
      </c>
      <c r="K664" s="30" t="s">
        <v>5254</v>
      </c>
      <c r="L664" s="30" t="s">
        <v>55</v>
      </c>
      <c r="M664" s="30" t="s">
        <v>5255</v>
      </c>
      <c r="N664" s="30" t="s">
        <v>5269</v>
      </c>
      <c r="O664" s="30" t="s">
        <v>5270</v>
      </c>
      <c r="P664" s="30" t="s">
        <v>5271</v>
      </c>
      <c r="Q664" s="28"/>
      <c r="R664" s="30" t="s">
        <v>5272</v>
      </c>
      <c r="S664" s="30" t="s">
        <v>53</v>
      </c>
      <c r="T664" s="30"/>
      <c r="U664" s="28" t="s">
        <v>255</v>
      </c>
      <c r="V664" s="30" t="s">
        <v>63</v>
      </c>
      <c r="W664" s="30" t="s">
        <v>64</v>
      </c>
      <c r="X664" s="32">
        <v>45139</v>
      </c>
      <c r="Y664" s="32">
        <v>45261</v>
      </c>
      <c r="Z664" s="30" t="s">
        <v>65</v>
      </c>
      <c r="AA664" s="28" t="s">
        <v>134</v>
      </c>
      <c r="AB664" s="28" t="s">
        <v>67</v>
      </c>
      <c r="AC664" s="29"/>
      <c r="AD664" s="28">
        <v>0</v>
      </c>
      <c r="AE664" s="29"/>
      <c r="AF664" s="31"/>
      <c r="AG664" s="30" t="s">
        <v>5260</v>
      </c>
      <c r="AH664" s="28" t="s">
        <v>431</v>
      </c>
      <c r="AI664" s="28" t="s">
        <v>53</v>
      </c>
      <c r="AJ664" s="33">
        <v>37546</v>
      </c>
      <c r="AK664" s="28">
        <v>6</v>
      </c>
      <c r="AL664" s="28">
        <v>21</v>
      </c>
      <c r="AM664" s="21"/>
      <c r="AN664" s="27"/>
      <c r="AO664" s="27"/>
      <c r="AP664" s="27"/>
      <c r="AQ664" s="27"/>
    </row>
    <row r="665" spans="1:43" ht="15.75" customHeight="1">
      <c r="A665" s="28">
        <v>4</v>
      </c>
      <c r="B665" s="29" t="s">
        <v>5273</v>
      </c>
      <c r="C665" s="30"/>
      <c r="D665" s="31" t="s">
        <v>5274</v>
      </c>
      <c r="E665" s="30" t="s">
        <v>72</v>
      </c>
      <c r="F665" s="30" t="s">
        <v>50</v>
      </c>
      <c r="G665" s="30" t="s">
        <v>51</v>
      </c>
      <c r="H665" s="28" t="s">
        <v>52</v>
      </c>
      <c r="I665" s="30"/>
      <c r="J665" s="30" t="s">
        <v>53</v>
      </c>
      <c r="K665" s="30" t="s">
        <v>5254</v>
      </c>
      <c r="L665" s="30" t="s">
        <v>55</v>
      </c>
      <c r="M665" s="30" t="s">
        <v>5255</v>
      </c>
      <c r="N665" s="30" t="s">
        <v>5275</v>
      </c>
      <c r="O665" s="30" t="s">
        <v>1768</v>
      </c>
      <c r="P665" s="30" t="s">
        <v>5276</v>
      </c>
      <c r="Q665" s="28"/>
      <c r="R665" s="30" t="s">
        <v>5277</v>
      </c>
      <c r="S665" s="30" t="s">
        <v>53</v>
      </c>
      <c r="T665" s="30"/>
      <c r="U665" s="28" t="s">
        <v>255</v>
      </c>
      <c r="V665" s="30" t="s">
        <v>63</v>
      </c>
      <c r="W665" s="30" t="s">
        <v>64</v>
      </c>
      <c r="X665" s="32">
        <v>44652</v>
      </c>
      <c r="Y665" s="32">
        <v>46478</v>
      </c>
      <c r="Z665" s="30" t="s">
        <v>65</v>
      </c>
      <c r="AA665" s="28" t="s">
        <v>134</v>
      </c>
      <c r="AB665" s="28" t="s">
        <v>67</v>
      </c>
      <c r="AC665" s="29"/>
      <c r="AD665" s="28">
        <v>0</v>
      </c>
      <c r="AE665" s="29"/>
      <c r="AF665" s="31"/>
      <c r="AG665" s="30" t="s">
        <v>5260</v>
      </c>
      <c r="AH665" s="28"/>
      <c r="AI665" s="28" t="s">
        <v>53</v>
      </c>
      <c r="AJ665" s="33">
        <v>36992</v>
      </c>
      <c r="AK665" s="28">
        <v>5</v>
      </c>
      <c r="AL665" s="28">
        <v>20</v>
      </c>
      <c r="AM665" s="21"/>
      <c r="AN665" s="27"/>
      <c r="AO665" s="27"/>
      <c r="AP665" s="27"/>
      <c r="AQ665" s="27"/>
    </row>
    <row r="666" spans="1:43" ht="15.75" customHeight="1">
      <c r="A666" s="28">
        <v>5</v>
      </c>
      <c r="B666" s="29" t="s">
        <v>5278</v>
      </c>
      <c r="C666" s="30"/>
      <c r="D666" s="31" t="s">
        <v>5279</v>
      </c>
      <c r="E666" s="30" t="s">
        <v>72</v>
      </c>
      <c r="F666" s="30" t="s">
        <v>50</v>
      </c>
      <c r="G666" s="30" t="s">
        <v>51</v>
      </c>
      <c r="H666" s="28" t="s">
        <v>85</v>
      </c>
      <c r="I666" s="30"/>
      <c r="J666" s="30" t="s">
        <v>53</v>
      </c>
      <c r="K666" s="30" t="s">
        <v>5254</v>
      </c>
      <c r="L666" s="30" t="s">
        <v>55</v>
      </c>
      <c r="M666" s="30" t="s">
        <v>5255</v>
      </c>
      <c r="N666" s="30" t="s">
        <v>5280</v>
      </c>
      <c r="O666" s="30" t="s">
        <v>5281</v>
      </c>
      <c r="P666" s="30" t="s">
        <v>5282</v>
      </c>
      <c r="Q666" s="28" t="s">
        <v>5283</v>
      </c>
      <c r="R666" s="30" t="s">
        <v>5284</v>
      </c>
      <c r="S666" s="30" t="s">
        <v>53</v>
      </c>
      <c r="T666" s="30"/>
      <c r="U666" s="28" t="s">
        <v>255</v>
      </c>
      <c r="V666" s="30" t="s">
        <v>63</v>
      </c>
      <c r="W666" s="30" t="s">
        <v>64</v>
      </c>
      <c r="X666" s="32">
        <v>44409</v>
      </c>
      <c r="Y666" s="32">
        <v>45870</v>
      </c>
      <c r="Z666" s="30" t="s">
        <v>65</v>
      </c>
      <c r="AA666" s="28" t="s">
        <v>134</v>
      </c>
      <c r="AB666" s="28" t="s">
        <v>67</v>
      </c>
      <c r="AC666" s="29"/>
      <c r="AD666" s="28">
        <v>0</v>
      </c>
      <c r="AE666" s="29"/>
      <c r="AF666" s="31"/>
      <c r="AG666" s="30" t="s">
        <v>5260</v>
      </c>
      <c r="AH666" s="28"/>
      <c r="AI666" s="28" t="s">
        <v>53</v>
      </c>
      <c r="AJ666" s="33">
        <v>35693</v>
      </c>
      <c r="AK666" s="28">
        <v>6</v>
      </c>
      <c r="AL666" s="28">
        <v>20</v>
      </c>
      <c r="AM666" s="21"/>
      <c r="AN666" s="27"/>
      <c r="AO666" s="27"/>
      <c r="AP666" s="27"/>
      <c r="AQ666" s="27"/>
    </row>
    <row r="667" spans="1:43" ht="15.75" customHeight="1">
      <c r="A667" s="28">
        <v>6</v>
      </c>
      <c r="B667" s="29" t="s">
        <v>5285</v>
      </c>
      <c r="C667" s="30"/>
      <c r="D667" s="31" t="s">
        <v>5286</v>
      </c>
      <c r="E667" s="30" t="s">
        <v>72</v>
      </c>
      <c r="F667" s="30" t="s">
        <v>50</v>
      </c>
      <c r="G667" s="30" t="s">
        <v>51</v>
      </c>
      <c r="H667" s="28" t="s">
        <v>85</v>
      </c>
      <c r="I667" s="30"/>
      <c r="J667" s="30" t="s">
        <v>53</v>
      </c>
      <c r="K667" s="30" t="s">
        <v>5254</v>
      </c>
      <c r="L667" s="30" t="s">
        <v>55</v>
      </c>
      <c r="M667" s="30" t="s">
        <v>5255</v>
      </c>
      <c r="N667" s="30" t="s">
        <v>5287</v>
      </c>
      <c r="O667" s="30" t="s">
        <v>1776</v>
      </c>
      <c r="P667" s="30" t="s">
        <v>5288</v>
      </c>
      <c r="Q667" s="28"/>
      <c r="R667" s="30" t="s">
        <v>5289</v>
      </c>
      <c r="S667" s="30" t="s">
        <v>53</v>
      </c>
      <c r="T667" s="30"/>
      <c r="U667" s="28" t="s">
        <v>708</v>
      </c>
      <c r="V667" s="30" t="s">
        <v>63</v>
      </c>
      <c r="W667" s="30" t="s">
        <v>64</v>
      </c>
      <c r="X667" s="32">
        <v>43831</v>
      </c>
      <c r="Y667" s="32">
        <v>45627</v>
      </c>
      <c r="Z667" s="30" t="s">
        <v>65</v>
      </c>
      <c r="AA667" s="28" t="s">
        <v>134</v>
      </c>
      <c r="AB667" s="28" t="s">
        <v>67</v>
      </c>
      <c r="AC667" s="29"/>
      <c r="AD667" s="28">
        <v>0</v>
      </c>
      <c r="AE667" s="29"/>
      <c r="AF667" s="31"/>
      <c r="AG667" s="30" t="s">
        <v>5260</v>
      </c>
      <c r="AH667" s="28"/>
      <c r="AI667" s="28" t="s">
        <v>53</v>
      </c>
      <c r="AJ667" s="33">
        <v>37566</v>
      </c>
      <c r="AK667" s="28">
        <v>8</v>
      </c>
      <c r="AL667" s="28">
        <v>20</v>
      </c>
      <c r="AM667" s="21"/>
      <c r="AN667" s="27"/>
      <c r="AO667" s="27"/>
      <c r="AP667" s="27"/>
      <c r="AQ667" s="27"/>
    </row>
    <row r="668" spans="1:43" ht="15.75" customHeight="1">
      <c r="A668" s="28">
        <v>7</v>
      </c>
      <c r="B668" s="29" t="s">
        <v>5290</v>
      </c>
      <c r="C668" s="30"/>
      <c r="D668" s="31" t="s">
        <v>5291</v>
      </c>
      <c r="E668" s="30" t="s">
        <v>49</v>
      </c>
      <c r="F668" s="30" t="s">
        <v>50</v>
      </c>
      <c r="G668" s="30" t="s">
        <v>51</v>
      </c>
      <c r="H668" s="28" t="s">
        <v>52</v>
      </c>
      <c r="I668" s="30"/>
      <c r="J668" s="30" t="s">
        <v>53</v>
      </c>
      <c r="K668" s="30" t="s">
        <v>5254</v>
      </c>
      <c r="L668" s="30" t="s">
        <v>55</v>
      </c>
      <c r="M668" s="30" t="s">
        <v>5255</v>
      </c>
      <c r="N668" s="30" t="s">
        <v>5292</v>
      </c>
      <c r="O668" s="30" t="s">
        <v>5293</v>
      </c>
      <c r="P668" s="30" t="s">
        <v>5294</v>
      </c>
      <c r="Q668" s="28"/>
      <c r="R668" s="30" t="s">
        <v>5295</v>
      </c>
      <c r="S668" s="30" t="s">
        <v>53</v>
      </c>
      <c r="T668" s="30"/>
      <c r="U668" s="28" t="s">
        <v>896</v>
      </c>
      <c r="V668" s="30" t="s">
        <v>63</v>
      </c>
      <c r="W668" s="30" t="s">
        <v>64</v>
      </c>
      <c r="X668" s="32">
        <v>44562</v>
      </c>
      <c r="Y668" s="32">
        <v>46357</v>
      </c>
      <c r="Z668" s="30" t="s">
        <v>65</v>
      </c>
      <c r="AA668" s="28" t="s">
        <v>66</v>
      </c>
      <c r="AB668" s="28" t="s">
        <v>67</v>
      </c>
      <c r="AC668" s="29"/>
      <c r="AD668" s="28">
        <v>0</v>
      </c>
      <c r="AE668" s="29"/>
      <c r="AF668" s="31"/>
      <c r="AG668" s="30" t="s">
        <v>5260</v>
      </c>
      <c r="AH668" s="28"/>
      <c r="AI668" s="28" t="s">
        <v>53</v>
      </c>
      <c r="AJ668" s="33">
        <v>34237</v>
      </c>
      <c r="AK668" s="28">
        <v>5</v>
      </c>
      <c r="AL668" s="28">
        <v>19</v>
      </c>
      <c r="AM668" s="21"/>
      <c r="AN668" s="27"/>
      <c r="AO668" s="27"/>
      <c r="AP668" s="27"/>
      <c r="AQ668" s="27"/>
    </row>
    <row r="669" spans="1:43" ht="15.75" customHeight="1">
      <c r="A669" s="28">
        <v>8</v>
      </c>
      <c r="B669" s="29" t="s">
        <v>5296</v>
      </c>
      <c r="C669" s="30"/>
      <c r="D669" s="31" t="s">
        <v>5297</v>
      </c>
      <c r="E669" s="30" t="s">
        <v>72</v>
      </c>
      <c r="F669" s="30" t="s">
        <v>50</v>
      </c>
      <c r="G669" s="30" t="s">
        <v>51</v>
      </c>
      <c r="H669" s="28" t="s">
        <v>85</v>
      </c>
      <c r="I669" s="30"/>
      <c r="J669" s="30" t="s">
        <v>53</v>
      </c>
      <c r="K669" s="30" t="s">
        <v>5254</v>
      </c>
      <c r="L669" s="30" t="s">
        <v>55</v>
      </c>
      <c r="M669" s="30" t="s">
        <v>5255</v>
      </c>
      <c r="N669" s="30" t="s">
        <v>5298</v>
      </c>
      <c r="O669" s="30" t="s">
        <v>5299</v>
      </c>
      <c r="P669" s="30" t="s">
        <v>5300</v>
      </c>
      <c r="Q669" s="28" t="s">
        <v>5301</v>
      </c>
      <c r="R669" s="30" t="s">
        <v>5302</v>
      </c>
      <c r="S669" s="30" t="s">
        <v>53</v>
      </c>
      <c r="T669" s="30"/>
      <c r="U669" s="28" t="s">
        <v>255</v>
      </c>
      <c r="V669" s="30" t="s">
        <v>63</v>
      </c>
      <c r="W669" s="30" t="s">
        <v>64</v>
      </c>
      <c r="X669" s="32">
        <v>44228</v>
      </c>
      <c r="Y669" s="32">
        <v>45992</v>
      </c>
      <c r="Z669" s="30" t="s">
        <v>65</v>
      </c>
      <c r="AA669" s="28" t="s">
        <v>134</v>
      </c>
      <c r="AB669" s="28" t="s">
        <v>67</v>
      </c>
      <c r="AC669" s="29"/>
      <c r="AD669" s="28">
        <v>0</v>
      </c>
      <c r="AE669" s="29"/>
      <c r="AF669" s="31"/>
      <c r="AG669" s="30" t="s">
        <v>5260</v>
      </c>
      <c r="AH669" s="28"/>
      <c r="AI669" s="28" t="s">
        <v>53</v>
      </c>
      <c r="AJ669" s="33">
        <v>36680</v>
      </c>
      <c r="AK669" s="28">
        <v>6</v>
      </c>
      <c r="AL669" s="28">
        <v>18</v>
      </c>
      <c r="AM669" s="21"/>
      <c r="AN669" s="27"/>
      <c r="AO669" s="27"/>
      <c r="AP669" s="27"/>
      <c r="AQ669" s="27"/>
    </row>
    <row r="670" spans="1:43" ht="15.75" customHeight="1">
      <c r="A670" s="28">
        <v>9</v>
      </c>
      <c r="B670" s="29" t="s">
        <v>5303</v>
      </c>
      <c r="C670" s="30"/>
      <c r="D670" s="31" t="s">
        <v>5304</v>
      </c>
      <c r="E670" s="30" t="s">
        <v>49</v>
      </c>
      <c r="F670" s="30" t="s">
        <v>50</v>
      </c>
      <c r="G670" s="30" t="s">
        <v>51</v>
      </c>
      <c r="H670" s="28" t="s">
        <v>52</v>
      </c>
      <c r="I670" s="30"/>
      <c r="J670" s="30" t="s">
        <v>53</v>
      </c>
      <c r="K670" s="30" t="s">
        <v>5254</v>
      </c>
      <c r="L670" s="30" t="s">
        <v>55</v>
      </c>
      <c r="M670" s="30" t="s">
        <v>5255</v>
      </c>
      <c r="N670" s="30" t="s">
        <v>5305</v>
      </c>
      <c r="O670" s="30" t="s">
        <v>58</v>
      </c>
      <c r="P670" s="30" t="s">
        <v>5306</v>
      </c>
      <c r="Q670" s="28" t="s">
        <v>5307</v>
      </c>
      <c r="R670" s="30" t="s">
        <v>5308</v>
      </c>
      <c r="S670" s="30" t="s">
        <v>53</v>
      </c>
      <c r="T670" s="30"/>
      <c r="U670" s="28" t="s">
        <v>5309</v>
      </c>
      <c r="V670" s="30" t="s">
        <v>63</v>
      </c>
      <c r="W670" s="30" t="s">
        <v>64</v>
      </c>
      <c r="X670" s="32">
        <v>43497</v>
      </c>
      <c r="Y670" s="32">
        <v>45627</v>
      </c>
      <c r="Z670" s="30" t="s">
        <v>65</v>
      </c>
      <c r="AA670" s="28" t="s">
        <v>134</v>
      </c>
      <c r="AB670" s="28" t="s">
        <v>67</v>
      </c>
      <c r="AC670" s="29"/>
      <c r="AD670" s="28">
        <v>0</v>
      </c>
      <c r="AE670" s="29"/>
      <c r="AF670" s="31"/>
      <c r="AG670" s="30" t="s">
        <v>5260</v>
      </c>
      <c r="AH670" s="28"/>
      <c r="AI670" s="28" t="s">
        <v>53</v>
      </c>
      <c r="AJ670" s="33">
        <v>37302</v>
      </c>
      <c r="AK670" s="28">
        <v>8</v>
      </c>
      <c r="AL670" s="28">
        <v>18</v>
      </c>
      <c r="AM670" s="21"/>
      <c r="AN670" s="27"/>
      <c r="AO670" s="27"/>
      <c r="AP670" s="27"/>
      <c r="AQ670" s="27"/>
    </row>
    <row r="671" spans="1:43" ht="15.75" customHeight="1">
      <c r="A671" s="28">
        <v>10</v>
      </c>
      <c r="B671" s="29" t="s">
        <v>5310</v>
      </c>
      <c r="C671" s="30"/>
      <c r="D671" s="31" t="s">
        <v>5311</v>
      </c>
      <c r="E671" s="30" t="s">
        <v>72</v>
      </c>
      <c r="F671" s="30" t="s">
        <v>50</v>
      </c>
      <c r="G671" s="30" t="s">
        <v>51</v>
      </c>
      <c r="H671" s="28" t="s">
        <v>52</v>
      </c>
      <c r="I671" s="30"/>
      <c r="J671" s="30" t="s">
        <v>53</v>
      </c>
      <c r="K671" s="30" t="s">
        <v>5254</v>
      </c>
      <c r="L671" s="30" t="s">
        <v>55</v>
      </c>
      <c r="M671" s="30" t="s">
        <v>5255</v>
      </c>
      <c r="N671" s="30" t="s">
        <v>5312</v>
      </c>
      <c r="O671" s="30" t="s">
        <v>5313</v>
      </c>
      <c r="P671" s="30" t="s">
        <v>5314</v>
      </c>
      <c r="Q671" s="28"/>
      <c r="R671" s="30" t="s">
        <v>5315</v>
      </c>
      <c r="S671" s="30" t="s">
        <v>53</v>
      </c>
      <c r="T671" s="30"/>
      <c r="U671" s="28" t="s">
        <v>255</v>
      </c>
      <c r="V671" s="30" t="s">
        <v>63</v>
      </c>
      <c r="W671" s="30" t="s">
        <v>64</v>
      </c>
      <c r="X671" s="32">
        <v>43862</v>
      </c>
      <c r="Y671" s="32">
        <v>45658</v>
      </c>
      <c r="Z671" s="30" t="s">
        <v>65</v>
      </c>
      <c r="AA671" s="28" t="s">
        <v>134</v>
      </c>
      <c r="AB671" s="28" t="s">
        <v>67</v>
      </c>
      <c r="AC671" s="29"/>
      <c r="AD671" s="28">
        <v>0</v>
      </c>
      <c r="AE671" s="29"/>
      <c r="AF671" s="31"/>
      <c r="AG671" s="30" t="s">
        <v>5260</v>
      </c>
      <c r="AH671" s="28"/>
      <c r="AI671" s="28" t="s">
        <v>53</v>
      </c>
      <c r="AJ671" s="33">
        <v>37242</v>
      </c>
      <c r="AK671" s="28">
        <v>8</v>
      </c>
      <c r="AL671" s="28">
        <v>16</v>
      </c>
      <c r="AM671" s="21"/>
      <c r="AN671" s="27"/>
      <c r="AO671" s="27"/>
      <c r="AP671" s="27"/>
      <c r="AQ671" s="27"/>
    </row>
    <row r="672" spans="1:43" ht="15.75" customHeight="1">
      <c r="A672" s="28">
        <v>11</v>
      </c>
      <c r="B672" s="29" t="s">
        <v>5316</v>
      </c>
      <c r="C672" s="30"/>
      <c r="D672" s="31" t="s">
        <v>5317</v>
      </c>
      <c r="E672" s="30" t="s">
        <v>72</v>
      </c>
      <c r="F672" s="30" t="s">
        <v>50</v>
      </c>
      <c r="G672" s="30" t="s">
        <v>51</v>
      </c>
      <c r="H672" s="28" t="s">
        <v>52</v>
      </c>
      <c r="I672" s="30"/>
      <c r="J672" s="30" t="s">
        <v>53</v>
      </c>
      <c r="K672" s="30" t="s">
        <v>5254</v>
      </c>
      <c r="L672" s="30" t="s">
        <v>55</v>
      </c>
      <c r="M672" s="30" t="s">
        <v>5255</v>
      </c>
      <c r="N672" s="30" t="s">
        <v>5318</v>
      </c>
      <c r="O672" s="30" t="s">
        <v>5319</v>
      </c>
      <c r="P672" s="30" t="s">
        <v>5320</v>
      </c>
      <c r="Q672" s="28" t="s">
        <v>5321</v>
      </c>
      <c r="R672" s="30" t="s">
        <v>5322</v>
      </c>
      <c r="S672" s="30" t="s">
        <v>53</v>
      </c>
      <c r="T672" s="30"/>
      <c r="U672" s="28" t="s">
        <v>255</v>
      </c>
      <c r="V672" s="30" t="s">
        <v>63</v>
      </c>
      <c r="W672" s="30" t="s">
        <v>64</v>
      </c>
      <c r="X672" s="32">
        <v>43891</v>
      </c>
      <c r="Y672" s="32">
        <v>45992</v>
      </c>
      <c r="Z672" s="30" t="s">
        <v>65</v>
      </c>
      <c r="AA672" s="28" t="s">
        <v>134</v>
      </c>
      <c r="AB672" s="28" t="s">
        <v>67</v>
      </c>
      <c r="AC672" s="29"/>
      <c r="AD672" s="28">
        <v>0</v>
      </c>
      <c r="AE672" s="29"/>
      <c r="AF672" s="31"/>
      <c r="AG672" s="30" t="s">
        <v>5260</v>
      </c>
      <c r="AH672" s="28"/>
      <c r="AI672" s="28" t="s">
        <v>53</v>
      </c>
      <c r="AJ672" s="33">
        <v>36871</v>
      </c>
      <c r="AK672" s="28">
        <v>7</v>
      </c>
      <c r="AL672" s="28">
        <v>15</v>
      </c>
      <c r="AM672" s="21"/>
      <c r="AN672" s="27"/>
      <c r="AO672" s="27"/>
      <c r="AP672" s="27"/>
      <c r="AQ672" s="27"/>
    </row>
    <row r="673" spans="1:43" ht="15.75" customHeight="1">
      <c r="A673" s="28">
        <v>1</v>
      </c>
      <c r="B673" s="29" t="s">
        <v>5323</v>
      </c>
      <c r="C673" s="30"/>
      <c r="D673" s="31" t="s">
        <v>5324</v>
      </c>
      <c r="E673" s="30" t="s">
        <v>72</v>
      </c>
      <c r="F673" s="30" t="s">
        <v>50</v>
      </c>
      <c r="G673" s="30" t="s">
        <v>51</v>
      </c>
      <c r="H673" s="28" t="s">
        <v>52</v>
      </c>
      <c r="I673" s="30"/>
      <c r="J673" s="30" t="s">
        <v>53</v>
      </c>
      <c r="K673" s="30" t="s">
        <v>5325</v>
      </c>
      <c r="L673" s="30" t="s">
        <v>55</v>
      </c>
      <c r="M673" s="30" t="s">
        <v>5326</v>
      </c>
      <c r="N673" s="30" t="s">
        <v>5327</v>
      </c>
      <c r="O673" s="30" t="s">
        <v>5328</v>
      </c>
      <c r="P673" s="30" t="s">
        <v>5329</v>
      </c>
      <c r="Q673" s="28"/>
      <c r="R673" s="30" t="s">
        <v>5330</v>
      </c>
      <c r="S673" s="30" t="s">
        <v>53</v>
      </c>
      <c r="T673" s="30"/>
      <c r="U673" s="28" t="s">
        <v>5331</v>
      </c>
      <c r="V673" s="30" t="s">
        <v>63</v>
      </c>
      <c r="W673" s="30" t="s">
        <v>64</v>
      </c>
      <c r="X673" s="32">
        <v>43862</v>
      </c>
      <c r="Y673" s="32">
        <v>45992</v>
      </c>
      <c r="Z673" s="30" t="s">
        <v>65</v>
      </c>
      <c r="AA673" s="28" t="s">
        <v>66</v>
      </c>
      <c r="AB673" s="28" t="s">
        <v>67</v>
      </c>
      <c r="AC673" s="29"/>
      <c r="AD673" s="28">
        <v>0</v>
      </c>
      <c r="AE673" s="29"/>
      <c r="AF673" s="31"/>
      <c r="AG673" s="30" t="s">
        <v>5332</v>
      </c>
      <c r="AH673" s="28"/>
      <c r="AI673" s="28" t="s">
        <v>118</v>
      </c>
      <c r="AJ673" s="33">
        <v>36957</v>
      </c>
      <c r="AK673" s="28">
        <v>5</v>
      </c>
      <c r="AL673" s="28">
        <v>20</v>
      </c>
      <c r="AM673" s="21"/>
      <c r="AN673" s="27"/>
      <c r="AO673" s="27"/>
      <c r="AP673" s="27"/>
      <c r="AQ673" s="27"/>
    </row>
    <row r="674" spans="1:43" ht="15.75" customHeight="1">
      <c r="A674" s="28">
        <v>1</v>
      </c>
      <c r="B674" s="29" t="s">
        <v>5333</v>
      </c>
      <c r="C674" s="30"/>
      <c r="D674" s="31" t="s">
        <v>5334</v>
      </c>
      <c r="E674" s="30" t="s">
        <v>72</v>
      </c>
      <c r="F674" s="30" t="s">
        <v>50</v>
      </c>
      <c r="G674" s="30" t="s">
        <v>51</v>
      </c>
      <c r="H674" s="28" t="s">
        <v>85</v>
      </c>
      <c r="I674" s="30"/>
      <c r="J674" s="30" t="s">
        <v>53</v>
      </c>
      <c r="K674" s="30" t="s">
        <v>5335</v>
      </c>
      <c r="L674" s="30" t="s">
        <v>55</v>
      </c>
      <c r="M674" s="30" t="s">
        <v>5336</v>
      </c>
      <c r="N674" s="30" t="s">
        <v>5337</v>
      </c>
      <c r="O674" s="30" t="s">
        <v>5338</v>
      </c>
      <c r="P674" s="30" t="s">
        <v>5339</v>
      </c>
      <c r="Q674" s="28"/>
      <c r="R674" s="30" t="s">
        <v>5340</v>
      </c>
      <c r="S674" s="30" t="s">
        <v>53</v>
      </c>
      <c r="T674" s="30"/>
      <c r="U674" s="28" t="s">
        <v>1329</v>
      </c>
      <c r="V674" s="30" t="s">
        <v>63</v>
      </c>
      <c r="W674" s="30" t="s">
        <v>64</v>
      </c>
      <c r="X674" s="32">
        <v>43497</v>
      </c>
      <c r="Y674" s="32">
        <v>45627</v>
      </c>
      <c r="Z674" s="30" t="s">
        <v>65</v>
      </c>
      <c r="AA674" s="28" t="s">
        <v>66</v>
      </c>
      <c r="AB674" s="28" t="s">
        <v>67</v>
      </c>
      <c r="AC674" s="29"/>
      <c r="AD674" s="28">
        <v>0</v>
      </c>
      <c r="AE674" s="29"/>
      <c r="AF674" s="31"/>
      <c r="AG674" s="30" t="s">
        <v>5341</v>
      </c>
      <c r="AH674" s="28"/>
      <c r="AI674" s="28" t="s">
        <v>53</v>
      </c>
      <c r="AJ674" s="33">
        <v>34379</v>
      </c>
      <c r="AK674" s="28">
        <v>8</v>
      </c>
      <c r="AL674" s="28">
        <v>16</v>
      </c>
      <c r="AM674" s="21"/>
      <c r="AN674" s="27"/>
      <c r="AO674" s="27"/>
      <c r="AP674" s="27"/>
      <c r="AQ674" s="27"/>
    </row>
    <row r="675" spans="1:43" ht="15.75" customHeight="1">
      <c r="A675" s="28">
        <v>1</v>
      </c>
      <c r="B675" s="29" t="s">
        <v>5342</v>
      </c>
      <c r="C675" s="30"/>
      <c r="D675" s="31" t="s">
        <v>5343</v>
      </c>
      <c r="E675" s="30" t="s">
        <v>49</v>
      </c>
      <c r="F675" s="30" t="s">
        <v>50</v>
      </c>
      <c r="G675" s="30" t="s">
        <v>51</v>
      </c>
      <c r="H675" s="28" t="s">
        <v>1121</v>
      </c>
      <c r="I675" s="30"/>
      <c r="J675" s="30" t="s">
        <v>53</v>
      </c>
      <c r="K675" s="30" t="s">
        <v>5344</v>
      </c>
      <c r="L675" s="30" t="s">
        <v>55</v>
      </c>
      <c r="M675" s="30" t="s">
        <v>5345</v>
      </c>
      <c r="N675" s="30" t="s">
        <v>5346</v>
      </c>
      <c r="O675" s="30" t="s">
        <v>5347</v>
      </c>
      <c r="P675" s="30" t="s">
        <v>5348</v>
      </c>
      <c r="Q675" s="28" t="s">
        <v>5349</v>
      </c>
      <c r="R675" s="30" t="s">
        <v>5350</v>
      </c>
      <c r="S675" s="30" t="s">
        <v>53</v>
      </c>
      <c r="T675" s="30"/>
      <c r="U675" s="28" t="s">
        <v>5351</v>
      </c>
      <c r="V675" s="30" t="s">
        <v>63</v>
      </c>
      <c r="W675" s="30" t="s">
        <v>64</v>
      </c>
      <c r="X675" s="32">
        <v>43831</v>
      </c>
      <c r="Y675" s="32">
        <v>45627</v>
      </c>
      <c r="Z675" s="30" t="s">
        <v>65</v>
      </c>
      <c r="AA675" s="28" t="s">
        <v>66</v>
      </c>
      <c r="AB675" s="28" t="s">
        <v>67</v>
      </c>
      <c r="AC675" s="29"/>
      <c r="AD675" s="28">
        <v>0</v>
      </c>
      <c r="AE675" s="29"/>
      <c r="AF675" s="31"/>
      <c r="AG675" s="30" t="s">
        <v>5352</v>
      </c>
      <c r="AH675" s="28"/>
      <c r="AI675" s="28" t="s">
        <v>53</v>
      </c>
      <c r="AJ675" s="33">
        <v>37315</v>
      </c>
      <c r="AK675" s="28">
        <v>8</v>
      </c>
      <c r="AL675" s="28">
        <v>22</v>
      </c>
      <c r="AM675" s="21"/>
      <c r="AN675" s="27"/>
      <c r="AO675" s="27"/>
      <c r="AP675" s="27"/>
      <c r="AQ675" s="27"/>
    </row>
    <row r="676" spans="1:43" ht="15.75" customHeight="1">
      <c r="A676" s="28">
        <v>1</v>
      </c>
      <c r="B676" s="29" t="s">
        <v>5353</v>
      </c>
      <c r="C676" s="30" t="s">
        <v>5354</v>
      </c>
      <c r="D676" s="31" t="s">
        <v>5355</v>
      </c>
      <c r="E676" s="30" t="s">
        <v>72</v>
      </c>
      <c r="F676" s="30" t="s">
        <v>50</v>
      </c>
      <c r="G676" s="30" t="s">
        <v>51</v>
      </c>
      <c r="H676" s="28" t="s">
        <v>85</v>
      </c>
      <c r="I676" s="30"/>
      <c r="J676" s="30" t="s">
        <v>53</v>
      </c>
      <c r="K676" s="30" t="s">
        <v>1959</v>
      </c>
      <c r="L676" s="30" t="s">
        <v>55</v>
      </c>
      <c r="M676" s="30" t="s">
        <v>1960</v>
      </c>
      <c r="N676" s="30" t="s">
        <v>5356</v>
      </c>
      <c r="O676" s="30" t="s">
        <v>5357</v>
      </c>
      <c r="P676" s="30" t="s">
        <v>5358</v>
      </c>
      <c r="Q676" s="28"/>
      <c r="R676" s="30" t="s">
        <v>5359</v>
      </c>
      <c r="S676" s="30" t="s">
        <v>53</v>
      </c>
      <c r="T676" s="30"/>
      <c r="U676" s="28" t="s">
        <v>2331</v>
      </c>
      <c r="V676" s="30" t="s">
        <v>63</v>
      </c>
      <c r="W676" s="30" t="s">
        <v>64</v>
      </c>
      <c r="X676" s="32">
        <v>44593</v>
      </c>
      <c r="Y676" s="32">
        <v>46266</v>
      </c>
      <c r="Z676" s="30" t="s">
        <v>65</v>
      </c>
      <c r="AA676" s="28" t="s">
        <v>134</v>
      </c>
      <c r="AB676" s="28" t="s">
        <v>67</v>
      </c>
      <c r="AC676" s="29"/>
      <c r="AD676" s="28">
        <v>0</v>
      </c>
      <c r="AE676" s="29"/>
      <c r="AF676" s="31"/>
      <c r="AG676" s="30" t="s">
        <v>5360</v>
      </c>
      <c r="AH676" s="28"/>
      <c r="AI676" s="28" t="s">
        <v>118</v>
      </c>
      <c r="AJ676" s="33">
        <v>37842</v>
      </c>
      <c r="AK676" s="28">
        <v>5</v>
      </c>
      <c r="AL676" s="28">
        <v>27</v>
      </c>
      <c r="AM676" s="21"/>
      <c r="AN676" s="27"/>
      <c r="AO676" s="27"/>
      <c r="AP676" s="27"/>
      <c r="AQ676" s="27"/>
    </row>
    <row r="677" spans="1:43" ht="15.75" customHeight="1">
      <c r="A677" s="28">
        <v>2</v>
      </c>
      <c r="B677" s="29" t="s">
        <v>5361</v>
      </c>
      <c r="C677" s="30"/>
      <c r="D677" s="31" t="s">
        <v>5362</v>
      </c>
      <c r="E677" s="30" t="s">
        <v>49</v>
      </c>
      <c r="F677" s="30" t="s">
        <v>50</v>
      </c>
      <c r="G677" s="30" t="s">
        <v>51</v>
      </c>
      <c r="H677" s="28" t="s">
        <v>85</v>
      </c>
      <c r="I677" s="30"/>
      <c r="J677" s="30" t="s">
        <v>53</v>
      </c>
      <c r="K677" s="30" t="s">
        <v>1959</v>
      </c>
      <c r="L677" s="30" t="s">
        <v>55</v>
      </c>
      <c r="M677" s="30" t="s">
        <v>1960</v>
      </c>
      <c r="N677" s="30" t="s">
        <v>5363</v>
      </c>
      <c r="O677" s="30" t="s">
        <v>58</v>
      </c>
      <c r="P677" s="30" t="s">
        <v>5364</v>
      </c>
      <c r="Q677" s="28"/>
      <c r="R677" s="30" t="s">
        <v>5365</v>
      </c>
      <c r="S677" s="30" t="s">
        <v>53</v>
      </c>
      <c r="T677" s="30"/>
      <c r="U677" s="28" t="s">
        <v>1756</v>
      </c>
      <c r="V677" s="30" t="s">
        <v>63</v>
      </c>
      <c r="W677" s="30" t="s">
        <v>64</v>
      </c>
      <c r="X677" s="32">
        <v>44593</v>
      </c>
      <c r="Y677" s="32">
        <v>46357</v>
      </c>
      <c r="Z677" s="30" t="s">
        <v>65</v>
      </c>
      <c r="AA677" s="28" t="s">
        <v>66</v>
      </c>
      <c r="AB677" s="28" t="s">
        <v>67</v>
      </c>
      <c r="AC677" s="29"/>
      <c r="AD677" s="28">
        <v>0</v>
      </c>
      <c r="AE677" s="29"/>
      <c r="AF677" s="31"/>
      <c r="AG677" s="30" t="s">
        <v>5360</v>
      </c>
      <c r="AH677" s="28"/>
      <c r="AI677" s="28" t="s">
        <v>53</v>
      </c>
      <c r="AJ677" s="33">
        <v>37762</v>
      </c>
      <c r="AK677" s="28">
        <v>5</v>
      </c>
      <c r="AL677" s="28">
        <v>18</v>
      </c>
      <c r="AM677" s="21"/>
      <c r="AN677" s="27"/>
      <c r="AO677" s="27"/>
      <c r="AP677" s="27"/>
      <c r="AQ677" s="27"/>
    </row>
    <row r="678" spans="1:43" ht="15.75" customHeight="1">
      <c r="A678" s="28">
        <v>3</v>
      </c>
      <c r="B678" s="29" t="s">
        <v>5366</v>
      </c>
      <c r="C678" s="30"/>
      <c r="D678" s="31" t="s">
        <v>5367</v>
      </c>
      <c r="E678" s="30" t="s">
        <v>72</v>
      </c>
      <c r="F678" s="30" t="s">
        <v>50</v>
      </c>
      <c r="G678" s="30" t="s">
        <v>51</v>
      </c>
      <c r="H678" s="28" t="s">
        <v>85</v>
      </c>
      <c r="I678" s="30"/>
      <c r="J678" s="30" t="s">
        <v>53</v>
      </c>
      <c r="K678" s="30" t="s">
        <v>1959</v>
      </c>
      <c r="L678" s="30" t="s">
        <v>55</v>
      </c>
      <c r="M678" s="30" t="s">
        <v>1960</v>
      </c>
      <c r="N678" s="30" t="s">
        <v>5368</v>
      </c>
      <c r="O678" s="30" t="s">
        <v>5369</v>
      </c>
      <c r="P678" s="30" t="s">
        <v>5370</v>
      </c>
      <c r="Q678" s="28"/>
      <c r="R678" s="30" t="s">
        <v>5371</v>
      </c>
      <c r="S678" s="30" t="s">
        <v>53</v>
      </c>
      <c r="T678" s="30"/>
      <c r="U678" s="28" t="s">
        <v>2331</v>
      </c>
      <c r="V678" s="30" t="s">
        <v>63</v>
      </c>
      <c r="W678" s="30" t="s">
        <v>64</v>
      </c>
      <c r="X678" s="32">
        <v>44593</v>
      </c>
      <c r="Y678" s="32">
        <v>46357</v>
      </c>
      <c r="Z678" s="30" t="s">
        <v>65</v>
      </c>
      <c r="AA678" s="28" t="s">
        <v>134</v>
      </c>
      <c r="AB678" s="28" t="s">
        <v>67</v>
      </c>
      <c r="AC678" s="29"/>
      <c r="AD678" s="28">
        <v>0</v>
      </c>
      <c r="AE678" s="29"/>
      <c r="AF678" s="31"/>
      <c r="AG678" s="30" t="s">
        <v>5360</v>
      </c>
      <c r="AH678" s="28"/>
      <c r="AI678" s="28" t="s">
        <v>118</v>
      </c>
      <c r="AJ678" s="33">
        <v>37949</v>
      </c>
      <c r="AK678" s="28">
        <v>5</v>
      </c>
      <c r="AL678" s="28">
        <v>17</v>
      </c>
      <c r="AM678" s="21"/>
      <c r="AN678" s="27"/>
      <c r="AO678" s="27"/>
      <c r="AP678" s="27"/>
      <c r="AQ678" s="27"/>
    </row>
    <row r="679" spans="1:43" ht="15.75" customHeight="1">
      <c r="A679" s="28">
        <v>1</v>
      </c>
      <c r="B679" s="29" t="s">
        <v>5372</v>
      </c>
      <c r="C679" s="30"/>
      <c r="D679" s="31" t="s">
        <v>5373</v>
      </c>
      <c r="E679" s="30" t="s">
        <v>49</v>
      </c>
      <c r="F679" s="30" t="s">
        <v>50</v>
      </c>
      <c r="G679" s="30" t="s">
        <v>51</v>
      </c>
      <c r="H679" s="28" t="s">
        <v>85</v>
      </c>
      <c r="I679" s="30"/>
      <c r="J679" s="30" t="s">
        <v>53</v>
      </c>
      <c r="K679" s="30" t="s">
        <v>5374</v>
      </c>
      <c r="L679" s="30" t="s">
        <v>55</v>
      </c>
      <c r="M679" s="30" t="s">
        <v>5375</v>
      </c>
      <c r="N679" s="30" t="s">
        <v>5376</v>
      </c>
      <c r="O679" s="30" t="s">
        <v>5377</v>
      </c>
      <c r="P679" s="30" t="s">
        <v>5378</v>
      </c>
      <c r="Q679" s="28" t="s">
        <v>5379</v>
      </c>
      <c r="R679" s="30" t="s">
        <v>5380</v>
      </c>
      <c r="S679" s="30" t="s">
        <v>53</v>
      </c>
      <c r="T679" s="30"/>
      <c r="U679" s="28" t="s">
        <v>5381</v>
      </c>
      <c r="V679" s="30" t="s">
        <v>63</v>
      </c>
      <c r="W679" s="30" t="s">
        <v>64</v>
      </c>
      <c r="X679" s="32">
        <v>44562</v>
      </c>
      <c r="Y679" s="32">
        <v>46722</v>
      </c>
      <c r="Z679" s="30" t="s">
        <v>65</v>
      </c>
      <c r="AA679" s="28" t="s">
        <v>66</v>
      </c>
      <c r="AB679" s="28" t="s">
        <v>67</v>
      </c>
      <c r="AC679" s="29"/>
      <c r="AD679" s="28">
        <v>0</v>
      </c>
      <c r="AE679" s="29"/>
      <c r="AF679" s="31"/>
      <c r="AG679" s="30" t="s">
        <v>5382</v>
      </c>
      <c r="AH679" s="28"/>
      <c r="AI679" s="28" t="s">
        <v>53</v>
      </c>
      <c r="AJ679" s="33">
        <v>37801</v>
      </c>
      <c r="AK679" s="28">
        <v>5</v>
      </c>
      <c r="AL679" s="28">
        <v>29</v>
      </c>
      <c r="AM679" s="21"/>
      <c r="AN679" s="27"/>
      <c r="AO679" s="27"/>
      <c r="AP679" s="27"/>
      <c r="AQ679" s="27"/>
    </row>
    <row r="680" spans="1:43" ht="15.75" customHeight="1">
      <c r="A680" s="28">
        <v>2</v>
      </c>
      <c r="B680" s="29" t="s">
        <v>5383</v>
      </c>
      <c r="C680" s="30" t="s">
        <v>5384</v>
      </c>
      <c r="D680" s="31" t="s">
        <v>5385</v>
      </c>
      <c r="E680" s="30" t="s">
        <v>72</v>
      </c>
      <c r="F680" s="30" t="s">
        <v>50</v>
      </c>
      <c r="G680" s="30" t="s">
        <v>51</v>
      </c>
      <c r="H680" s="28" t="s">
        <v>191</v>
      </c>
      <c r="I680" s="30"/>
      <c r="J680" s="30" t="s">
        <v>53</v>
      </c>
      <c r="K680" s="30" t="s">
        <v>5374</v>
      </c>
      <c r="L680" s="30" t="s">
        <v>55</v>
      </c>
      <c r="M680" s="30" t="s">
        <v>5375</v>
      </c>
      <c r="N680" s="30" t="s">
        <v>5386</v>
      </c>
      <c r="O680" s="30" t="s">
        <v>5387</v>
      </c>
      <c r="P680" s="30" t="s">
        <v>5388</v>
      </c>
      <c r="Q680" s="28"/>
      <c r="R680" s="30" t="s">
        <v>5389</v>
      </c>
      <c r="S680" s="30" t="s">
        <v>53</v>
      </c>
      <c r="T680" s="30"/>
      <c r="U680" s="28" t="s">
        <v>5390</v>
      </c>
      <c r="V680" s="30" t="s">
        <v>63</v>
      </c>
      <c r="W680" s="30" t="s">
        <v>64</v>
      </c>
      <c r="X680" s="32">
        <v>44197</v>
      </c>
      <c r="Y680" s="32">
        <v>45992</v>
      </c>
      <c r="Z680" s="30" t="s">
        <v>65</v>
      </c>
      <c r="AA680" s="28" t="s">
        <v>66</v>
      </c>
      <c r="AB680" s="28" t="s">
        <v>67</v>
      </c>
      <c r="AC680" s="29"/>
      <c r="AD680" s="28">
        <v>0</v>
      </c>
      <c r="AE680" s="29"/>
      <c r="AF680" s="31"/>
      <c r="AG680" s="30" t="s">
        <v>5382</v>
      </c>
      <c r="AH680" s="28" t="s">
        <v>431</v>
      </c>
      <c r="AI680" s="28" t="s">
        <v>118</v>
      </c>
      <c r="AJ680" s="33">
        <v>37755</v>
      </c>
      <c r="AK680" s="28">
        <v>6</v>
      </c>
      <c r="AL680" s="28">
        <v>26</v>
      </c>
      <c r="AM680" s="21"/>
      <c r="AN680" s="27"/>
      <c r="AO680" s="27"/>
      <c r="AP680" s="27"/>
      <c r="AQ680" s="27"/>
    </row>
    <row r="681" spans="1:43" ht="15.75" customHeight="1">
      <c r="A681" s="28">
        <v>3</v>
      </c>
      <c r="B681" s="29" t="s">
        <v>5391</v>
      </c>
      <c r="C681" s="30"/>
      <c r="D681" s="31" t="s">
        <v>5392</v>
      </c>
      <c r="E681" s="30" t="s">
        <v>72</v>
      </c>
      <c r="F681" s="30" t="s">
        <v>50</v>
      </c>
      <c r="G681" s="30" t="s">
        <v>51</v>
      </c>
      <c r="H681" s="28" t="s">
        <v>52</v>
      </c>
      <c r="I681" s="30"/>
      <c r="J681" s="30" t="s">
        <v>53</v>
      </c>
      <c r="K681" s="30" t="s">
        <v>5374</v>
      </c>
      <c r="L681" s="30" t="s">
        <v>55</v>
      </c>
      <c r="M681" s="30" t="s">
        <v>5375</v>
      </c>
      <c r="N681" s="30" t="s">
        <v>5393</v>
      </c>
      <c r="O681" s="30" t="s">
        <v>5394</v>
      </c>
      <c r="P681" s="30" t="s">
        <v>5395</v>
      </c>
      <c r="Q681" s="28"/>
      <c r="R681" s="30" t="s">
        <v>5396</v>
      </c>
      <c r="S681" s="30" t="s">
        <v>53</v>
      </c>
      <c r="T681" s="30"/>
      <c r="U681" s="28" t="s">
        <v>5397</v>
      </c>
      <c r="V681" s="30" t="s">
        <v>63</v>
      </c>
      <c r="W681" s="30" t="s">
        <v>64</v>
      </c>
      <c r="X681" s="32">
        <v>44593</v>
      </c>
      <c r="Y681" s="32">
        <v>46054</v>
      </c>
      <c r="Z681" s="30" t="s">
        <v>65</v>
      </c>
      <c r="AA681" s="28" t="s">
        <v>66</v>
      </c>
      <c r="AB681" s="28" t="s">
        <v>67</v>
      </c>
      <c r="AC681" s="29"/>
      <c r="AD681" s="28">
        <v>0</v>
      </c>
      <c r="AE681" s="29"/>
      <c r="AF681" s="31"/>
      <c r="AG681" s="30" t="s">
        <v>5382</v>
      </c>
      <c r="AH681" s="28"/>
      <c r="AI681" s="28" t="s">
        <v>118</v>
      </c>
      <c r="AJ681" s="33">
        <v>37930</v>
      </c>
      <c r="AK681" s="28">
        <v>5</v>
      </c>
      <c r="AL681" s="28">
        <v>25</v>
      </c>
      <c r="AM681" s="21"/>
      <c r="AN681" s="27"/>
      <c r="AO681" s="27"/>
      <c r="AP681" s="27"/>
      <c r="AQ681" s="27"/>
    </row>
    <row r="682" spans="1:43" ht="15.75" customHeight="1">
      <c r="A682" s="28">
        <v>4</v>
      </c>
      <c r="B682" s="29" t="s">
        <v>5398</v>
      </c>
      <c r="C682" s="30"/>
      <c r="D682" s="31" t="s">
        <v>5399</v>
      </c>
      <c r="E682" s="30" t="s">
        <v>72</v>
      </c>
      <c r="F682" s="30" t="s">
        <v>50</v>
      </c>
      <c r="G682" s="30" t="s">
        <v>51</v>
      </c>
      <c r="H682" s="28" t="s">
        <v>52</v>
      </c>
      <c r="I682" s="30"/>
      <c r="J682" s="30" t="s">
        <v>53</v>
      </c>
      <c r="K682" s="30" t="s">
        <v>5374</v>
      </c>
      <c r="L682" s="30" t="s">
        <v>55</v>
      </c>
      <c r="M682" s="30" t="s">
        <v>5375</v>
      </c>
      <c r="N682" s="30" t="s">
        <v>5400</v>
      </c>
      <c r="O682" s="30" t="s">
        <v>5401</v>
      </c>
      <c r="P682" s="30" t="s">
        <v>5402</v>
      </c>
      <c r="Q682" s="28"/>
      <c r="R682" s="30" t="s">
        <v>5403</v>
      </c>
      <c r="S682" s="30" t="s">
        <v>53</v>
      </c>
      <c r="T682" s="30"/>
      <c r="U682" s="28" t="s">
        <v>5404</v>
      </c>
      <c r="V682" s="30" t="s">
        <v>63</v>
      </c>
      <c r="W682" s="30" t="s">
        <v>64</v>
      </c>
      <c r="X682" s="32">
        <v>44562</v>
      </c>
      <c r="Y682" s="32">
        <v>46722</v>
      </c>
      <c r="Z682" s="30" t="s">
        <v>65</v>
      </c>
      <c r="AA682" s="28" t="s">
        <v>66</v>
      </c>
      <c r="AB682" s="28" t="s">
        <v>67</v>
      </c>
      <c r="AC682" s="29"/>
      <c r="AD682" s="28">
        <v>0</v>
      </c>
      <c r="AE682" s="29"/>
      <c r="AF682" s="31"/>
      <c r="AG682" s="30" t="s">
        <v>5382</v>
      </c>
      <c r="AH682" s="28"/>
      <c r="AI682" s="28" t="s">
        <v>53</v>
      </c>
      <c r="AJ682" s="33">
        <v>38175</v>
      </c>
      <c r="AK682" s="28">
        <v>5</v>
      </c>
      <c r="AL682" s="28">
        <v>21</v>
      </c>
      <c r="AM682" s="21"/>
      <c r="AN682" s="27"/>
      <c r="AO682" s="27"/>
      <c r="AP682" s="27"/>
      <c r="AQ682" s="27"/>
    </row>
    <row r="683" spans="1:43" ht="15.75" customHeight="1">
      <c r="A683" s="28">
        <v>5</v>
      </c>
      <c r="B683" s="29" t="s">
        <v>5405</v>
      </c>
      <c r="C683" s="30"/>
      <c r="D683" s="31" t="s">
        <v>5406</v>
      </c>
      <c r="E683" s="30" t="s">
        <v>49</v>
      </c>
      <c r="F683" s="30" t="s">
        <v>50</v>
      </c>
      <c r="G683" s="30" t="s">
        <v>51</v>
      </c>
      <c r="H683" s="28" t="s">
        <v>52</v>
      </c>
      <c r="I683" s="30"/>
      <c r="J683" s="30" t="s">
        <v>53</v>
      </c>
      <c r="K683" s="30" t="s">
        <v>5374</v>
      </c>
      <c r="L683" s="30" t="s">
        <v>55</v>
      </c>
      <c r="M683" s="30" t="s">
        <v>5375</v>
      </c>
      <c r="N683" s="30" t="s">
        <v>5407</v>
      </c>
      <c r="O683" s="30" t="s">
        <v>5408</v>
      </c>
      <c r="P683" s="30" t="s">
        <v>5409</v>
      </c>
      <c r="Q683" s="28"/>
      <c r="R683" s="30" t="s">
        <v>5410</v>
      </c>
      <c r="S683" s="30" t="s">
        <v>53</v>
      </c>
      <c r="T683" s="30"/>
      <c r="U683" s="28" t="s">
        <v>5411</v>
      </c>
      <c r="V683" s="30" t="s">
        <v>63</v>
      </c>
      <c r="W683" s="30" t="s">
        <v>64</v>
      </c>
      <c r="X683" s="32">
        <v>43831</v>
      </c>
      <c r="Y683" s="32">
        <v>45627</v>
      </c>
      <c r="Z683" s="30" t="s">
        <v>65</v>
      </c>
      <c r="AA683" s="28" t="s">
        <v>66</v>
      </c>
      <c r="AB683" s="28" t="s">
        <v>67</v>
      </c>
      <c r="AC683" s="29"/>
      <c r="AD683" s="28">
        <v>0</v>
      </c>
      <c r="AE683" s="29"/>
      <c r="AF683" s="31"/>
      <c r="AG683" s="30" t="s">
        <v>5382</v>
      </c>
      <c r="AH683" s="28"/>
      <c r="AI683" s="28" t="s">
        <v>53</v>
      </c>
      <c r="AJ683" s="33">
        <v>37176</v>
      </c>
      <c r="AK683" s="28">
        <v>8</v>
      </c>
      <c r="AL683" s="28">
        <v>19</v>
      </c>
      <c r="AM683" s="21"/>
      <c r="AN683" s="27"/>
      <c r="AO683" s="27"/>
      <c r="AP683" s="27"/>
      <c r="AQ683" s="27"/>
    </row>
    <row r="684" spans="1:43" ht="15.75" customHeight="1">
      <c r="A684" s="28">
        <v>1</v>
      </c>
      <c r="B684" s="29" t="s">
        <v>5412</v>
      </c>
      <c r="C684" s="30"/>
      <c r="D684" s="31" t="s">
        <v>5413</v>
      </c>
      <c r="E684" s="30" t="s">
        <v>72</v>
      </c>
      <c r="F684" s="30" t="s">
        <v>50</v>
      </c>
      <c r="G684" s="30" t="s">
        <v>51</v>
      </c>
      <c r="H684" s="28" t="s">
        <v>52</v>
      </c>
      <c r="I684" s="30"/>
      <c r="J684" s="30" t="s">
        <v>53</v>
      </c>
      <c r="K684" s="30" t="s">
        <v>5414</v>
      </c>
      <c r="L684" s="30" t="s">
        <v>55</v>
      </c>
      <c r="M684" s="30" t="s">
        <v>5415</v>
      </c>
      <c r="N684" s="30" t="s">
        <v>5416</v>
      </c>
      <c r="O684" s="30" t="s">
        <v>5417</v>
      </c>
      <c r="P684" s="30" t="s">
        <v>5418</v>
      </c>
      <c r="Q684" s="28"/>
      <c r="R684" s="30" t="s">
        <v>5419</v>
      </c>
      <c r="S684" s="30" t="s">
        <v>53</v>
      </c>
      <c r="T684" s="30"/>
      <c r="U684" s="28" t="s">
        <v>5420</v>
      </c>
      <c r="V684" s="30" t="s">
        <v>63</v>
      </c>
      <c r="W684" s="30" t="s">
        <v>64</v>
      </c>
      <c r="X684" s="32">
        <v>43831</v>
      </c>
      <c r="Y684" s="32">
        <v>45627</v>
      </c>
      <c r="Z684" s="30" t="s">
        <v>65</v>
      </c>
      <c r="AA684" s="28" t="s">
        <v>66</v>
      </c>
      <c r="AB684" s="28" t="s">
        <v>67</v>
      </c>
      <c r="AC684" s="29"/>
      <c r="AD684" s="28">
        <v>0</v>
      </c>
      <c r="AE684" s="29"/>
      <c r="AF684" s="31"/>
      <c r="AG684" s="30" t="s">
        <v>5421</v>
      </c>
      <c r="AH684" s="28"/>
      <c r="AI684" s="28" t="s">
        <v>53</v>
      </c>
      <c r="AJ684" s="33">
        <v>36289</v>
      </c>
      <c r="AK684" s="28">
        <v>8</v>
      </c>
      <c r="AL684" s="28">
        <v>21</v>
      </c>
      <c r="AM684" s="21"/>
      <c r="AN684" s="27"/>
      <c r="AO684" s="27"/>
      <c r="AP684" s="27"/>
      <c r="AQ684" s="27"/>
    </row>
    <row r="685" spans="1:43" ht="15.75" customHeight="1">
      <c r="A685" s="28">
        <v>1</v>
      </c>
      <c r="B685" s="29" t="s">
        <v>5422</v>
      </c>
      <c r="C685" s="30" t="s">
        <v>5423</v>
      </c>
      <c r="D685" s="31" t="s">
        <v>5424</v>
      </c>
      <c r="E685" s="30" t="s">
        <v>72</v>
      </c>
      <c r="F685" s="30" t="s">
        <v>50</v>
      </c>
      <c r="G685" s="30" t="s">
        <v>51</v>
      </c>
      <c r="H685" s="28" t="s">
        <v>52</v>
      </c>
      <c r="I685" s="30"/>
      <c r="J685" s="30" t="s">
        <v>53</v>
      </c>
      <c r="K685" s="30" t="s">
        <v>5425</v>
      </c>
      <c r="L685" s="30" t="s">
        <v>55</v>
      </c>
      <c r="M685" s="30" t="s">
        <v>5426</v>
      </c>
      <c r="N685" s="30" t="s">
        <v>5427</v>
      </c>
      <c r="O685" s="30" t="s">
        <v>5428</v>
      </c>
      <c r="P685" s="30" t="s">
        <v>5429</v>
      </c>
      <c r="Q685" s="28" t="s">
        <v>5430</v>
      </c>
      <c r="R685" s="30" t="s">
        <v>5431</v>
      </c>
      <c r="S685" s="30" t="s">
        <v>53</v>
      </c>
      <c r="T685" s="30"/>
      <c r="U685" s="28" t="s">
        <v>1204</v>
      </c>
      <c r="V685" s="30" t="s">
        <v>63</v>
      </c>
      <c r="W685" s="30" t="s">
        <v>64</v>
      </c>
      <c r="X685" s="32">
        <v>43862</v>
      </c>
      <c r="Y685" s="32">
        <v>45627</v>
      </c>
      <c r="Z685" s="30" t="s">
        <v>65</v>
      </c>
      <c r="AA685" s="28" t="s">
        <v>66</v>
      </c>
      <c r="AB685" s="28" t="s">
        <v>67</v>
      </c>
      <c r="AC685" s="29"/>
      <c r="AD685" s="28">
        <v>0</v>
      </c>
      <c r="AE685" s="29"/>
      <c r="AF685" s="31"/>
      <c r="AG685" s="30" t="s">
        <v>5432</v>
      </c>
      <c r="AH685" s="28"/>
      <c r="AI685" s="28" t="s">
        <v>53</v>
      </c>
      <c r="AJ685" s="33">
        <v>36153</v>
      </c>
      <c r="AK685" s="28">
        <v>8</v>
      </c>
      <c r="AL685" s="28">
        <v>22</v>
      </c>
      <c r="AM685" s="21"/>
      <c r="AN685" s="27"/>
      <c r="AO685" s="27"/>
      <c r="AP685" s="27"/>
      <c r="AQ685" s="27"/>
    </row>
    <row r="686" spans="1:43" ht="15.75" customHeight="1">
      <c r="A686" s="28">
        <v>2</v>
      </c>
      <c r="B686" s="29" t="s">
        <v>5433</v>
      </c>
      <c r="C686" s="30" t="s">
        <v>5434</v>
      </c>
      <c r="D686" s="31" t="s">
        <v>5435</v>
      </c>
      <c r="E686" s="30" t="s">
        <v>72</v>
      </c>
      <c r="F686" s="30" t="s">
        <v>50</v>
      </c>
      <c r="G686" s="30" t="s">
        <v>51</v>
      </c>
      <c r="H686" s="28" t="s">
        <v>85</v>
      </c>
      <c r="I686" s="30"/>
      <c r="J686" s="30" t="s">
        <v>53</v>
      </c>
      <c r="K686" s="30" t="s">
        <v>5436</v>
      </c>
      <c r="L686" s="30" t="s">
        <v>55</v>
      </c>
      <c r="M686" s="30" t="s">
        <v>5426</v>
      </c>
      <c r="N686" s="30" t="s">
        <v>5437</v>
      </c>
      <c r="O686" s="30" t="s">
        <v>5428</v>
      </c>
      <c r="P686" s="30" t="s">
        <v>5438</v>
      </c>
      <c r="Q686" s="28" t="s">
        <v>5439</v>
      </c>
      <c r="R686" s="30" t="s">
        <v>5440</v>
      </c>
      <c r="S686" s="30" t="s">
        <v>53</v>
      </c>
      <c r="T686" s="30"/>
      <c r="U686" s="28" t="s">
        <v>1204</v>
      </c>
      <c r="V686" s="30" t="s">
        <v>63</v>
      </c>
      <c r="W686" s="30" t="s">
        <v>64</v>
      </c>
      <c r="X686" s="32">
        <v>43831</v>
      </c>
      <c r="Y686" s="32">
        <v>45992</v>
      </c>
      <c r="Z686" s="30" t="s">
        <v>65</v>
      </c>
      <c r="AA686" s="28" t="s">
        <v>66</v>
      </c>
      <c r="AB686" s="28" t="s">
        <v>67</v>
      </c>
      <c r="AC686" s="29"/>
      <c r="AD686" s="28">
        <v>0</v>
      </c>
      <c r="AE686" s="29"/>
      <c r="AF686" s="31"/>
      <c r="AG686" s="30" t="s">
        <v>5432</v>
      </c>
      <c r="AH686" s="28"/>
      <c r="AI686" s="28" t="s">
        <v>53</v>
      </c>
      <c r="AJ686" s="33">
        <v>37811</v>
      </c>
      <c r="AK686" s="28">
        <v>6</v>
      </c>
      <c r="AL686" s="28">
        <v>19</v>
      </c>
      <c r="AM686" s="21"/>
      <c r="AN686" s="27"/>
      <c r="AO686" s="27"/>
      <c r="AP686" s="27"/>
      <c r="AQ686" s="27"/>
    </row>
    <row r="687" spans="1:43" ht="15.75" customHeight="1">
      <c r="A687" s="28">
        <v>3</v>
      </c>
      <c r="B687" s="29" t="s">
        <v>5441</v>
      </c>
      <c r="C687" s="30" t="s">
        <v>5442</v>
      </c>
      <c r="D687" s="31" t="s">
        <v>5443</v>
      </c>
      <c r="E687" s="30" t="s">
        <v>72</v>
      </c>
      <c r="F687" s="30" t="s">
        <v>50</v>
      </c>
      <c r="G687" s="30" t="s">
        <v>51</v>
      </c>
      <c r="H687" s="28" t="s">
        <v>52</v>
      </c>
      <c r="I687" s="30"/>
      <c r="J687" s="30" t="s">
        <v>53</v>
      </c>
      <c r="K687" s="30" t="s">
        <v>5444</v>
      </c>
      <c r="L687" s="30" t="s">
        <v>55</v>
      </c>
      <c r="M687" s="30" t="s">
        <v>5426</v>
      </c>
      <c r="N687" s="30" t="s">
        <v>5445</v>
      </c>
      <c r="O687" s="30" t="s">
        <v>5446</v>
      </c>
      <c r="P687" s="30" t="s">
        <v>5447</v>
      </c>
      <c r="Q687" s="28"/>
      <c r="R687" s="30" t="s">
        <v>5448</v>
      </c>
      <c r="S687" s="30" t="s">
        <v>53</v>
      </c>
      <c r="T687" s="30"/>
      <c r="U687" s="28" t="s">
        <v>1204</v>
      </c>
      <c r="V687" s="30" t="s">
        <v>63</v>
      </c>
      <c r="W687" s="30" t="s">
        <v>64</v>
      </c>
      <c r="X687" s="32">
        <v>43891</v>
      </c>
      <c r="Y687" s="32">
        <v>45627</v>
      </c>
      <c r="Z687" s="30" t="s">
        <v>65</v>
      </c>
      <c r="AA687" s="28" t="s">
        <v>66</v>
      </c>
      <c r="AB687" s="28" t="s">
        <v>67</v>
      </c>
      <c r="AC687" s="29"/>
      <c r="AD687" s="28">
        <v>0</v>
      </c>
      <c r="AE687" s="29"/>
      <c r="AF687" s="31"/>
      <c r="AG687" s="30" t="s">
        <v>5432</v>
      </c>
      <c r="AH687" s="28"/>
      <c r="AI687" s="28" t="s">
        <v>53</v>
      </c>
      <c r="AJ687" s="33">
        <v>37376</v>
      </c>
      <c r="AK687" s="28">
        <v>8</v>
      </c>
      <c r="AL687" s="28">
        <v>19</v>
      </c>
      <c r="AM687" s="21"/>
      <c r="AN687" s="27"/>
      <c r="AO687" s="27"/>
      <c r="AP687" s="27"/>
      <c r="AQ687" s="27"/>
    </row>
    <row r="688" spans="1:43" ht="15.75" customHeight="1">
      <c r="A688" s="28">
        <v>4</v>
      </c>
      <c r="B688" s="29" t="s">
        <v>5449</v>
      </c>
      <c r="C688" s="30" t="s">
        <v>5450</v>
      </c>
      <c r="D688" s="31" t="s">
        <v>5451</v>
      </c>
      <c r="E688" s="30" t="s">
        <v>49</v>
      </c>
      <c r="F688" s="30" t="s">
        <v>50</v>
      </c>
      <c r="G688" s="30" t="s">
        <v>51</v>
      </c>
      <c r="H688" s="28" t="s">
        <v>85</v>
      </c>
      <c r="I688" s="30"/>
      <c r="J688" s="30" t="s">
        <v>53</v>
      </c>
      <c r="K688" s="30" t="s">
        <v>5452</v>
      </c>
      <c r="L688" s="30" t="s">
        <v>55</v>
      </c>
      <c r="M688" s="30" t="s">
        <v>5426</v>
      </c>
      <c r="N688" s="30" t="s">
        <v>5453</v>
      </c>
      <c r="O688" s="30" t="s">
        <v>5446</v>
      </c>
      <c r="P688" s="30" t="s">
        <v>5454</v>
      </c>
      <c r="Q688" s="28" t="s">
        <v>5455</v>
      </c>
      <c r="R688" s="30" t="s">
        <v>5456</v>
      </c>
      <c r="S688" s="30" t="s">
        <v>53</v>
      </c>
      <c r="T688" s="30"/>
      <c r="U688" s="28" t="s">
        <v>5457</v>
      </c>
      <c r="V688" s="30" t="s">
        <v>63</v>
      </c>
      <c r="W688" s="30" t="s">
        <v>64</v>
      </c>
      <c r="X688" s="32">
        <v>44197</v>
      </c>
      <c r="Y688" s="32">
        <v>45992</v>
      </c>
      <c r="Z688" s="30" t="s">
        <v>65</v>
      </c>
      <c r="AA688" s="28" t="s">
        <v>66</v>
      </c>
      <c r="AB688" s="28" t="s">
        <v>67</v>
      </c>
      <c r="AC688" s="29"/>
      <c r="AD688" s="28">
        <v>0</v>
      </c>
      <c r="AE688" s="29"/>
      <c r="AF688" s="31"/>
      <c r="AG688" s="30" t="s">
        <v>5432</v>
      </c>
      <c r="AH688" s="28"/>
      <c r="AI688" s="28" t="s">
        <v>53</v>
      </c>
      <c r="AJ688" s="33">
        <v>37629</v>
      </c>
      <c r="AK688" s="28">
        <v>6</v>
      </c>
      <c r="AL688" s="28">
        <v>18</v>
      </c>
      <c r="AM688" s="21"/>
      <c r="AN688" s="27"/>
      <c r="AO688" s="27"/>
      <c r="AP688" s="27"/>
      <c r="AQ688" s="27"/>
    </row>
    <row r="689" spans="1:43" ht="15.75" customHeight="1">
      <c r="A689" s="28">
        <v>5</v>
      </c>
      <c r="B689" s="29" t="s">
        <v>5458</v>
      </c>
      <c r="C689" s="30"/>
      <c r="D689" s="31" t="s">
        <v>5459</v>
      </c>
      <c r="E689" s="30" t="s">
        <v>72</v>
      </c>
      <c r="F689" s="30" t="s">
        <v>50</v>
      </c>
      <c r="G689" s="30" t="s">
        <v>51</v>
      </c>
      <c r="H689" s="28" t="s">
        <v>52</v>
      </c>
      <c r="I689" s="30"/>
      <c r="J689" s="30" t="s">
        <v>53</v>
      </c>
      <c r="K689" s="30" t="s">
        <v>5460</v>
      </c>
      <c r="L689" s="30" t="s">
        <v>112</v>
      </c>
      <c r="M689" s="30" t="s">
        <v>113</v>
      </c>
      <c r="N689" s="30" t="s">
        <v>5461</v>
      </c>
      <c r="O689" s="30" t="s">
        <v>5462</v>
      </c>
      <c r="P689" s="30" t="s">
        <v>5463</v>
      </c>
      <c r="Q689" s="28" t="s">
        <v>5464</v>
      </c>
      <c r="R689" s="30" t="s">
        <v>5465</v>
      </c>
      <c r="S689" s="30" t="s">
        <v>53</v>
      </c>
      <c r="T689" s="30"/>
      <c r="U689" s="28" t="s">
        <v>5466</v>
      </c>
      <c r="V689" s="30" t="s">
        <v>63</v>
      </c>
      <c r="W689" s="30" t="s">
        <v>64</v>
      </c>
      <c r="X689" s="32">
        <v>44348</v>
      </c>
      <c r="Y689" s="32">
        <v>45809</v>
      </c>
      <c r="Z689" s="30" t="s">
        <v>65</v>
      </c>
      <c r="AA689" s="28" t="s">
        <v>134</v>
      </c>
      <c r="AB689" s="28" t="s">
        <v>67</v>
      </c>
      <c r="AC689" s="29"/>
      <c r="AD689" s="28">
        <v>0</v>
      </c>
      <c r="AE689" s="29"/>
      <c r="AF689" s="31"/>
      <c r="AG689" s="30" t="s">
        <v>5432</v>
      </c>
      <c r="AH689" s="28"/>
      <c r="AI689" s="28" t="s">
        <v>53</v>
      </c>
      <c r="AJ689" s="33">
        <v>37711</v>
      </c>
      <c r="AK689" s="28">
        <v>6</v>
      </c>
      <c r="AL689" s="28">
        <v>17</v>
      </c>
      <c r="AM689" s="21"/>
      <c r="AN689" s="27"/>
      <c r="AO689" s="27"/>
      <c r="AP689" s="27"/>
      <c r="AQ689" s="27"/>
    </row>
    <row r="690" spans="1:43" ht="15.75" customHeight="1">
      <c r="A690" s="28">
        <v>1</v>
      </c>
      <c r="B690" s="29" t="s">
        <v>5467</v>
      </c>
      <c r="C690" s="30"/>
      <c r="D690" s="31" t="s">
        <v>5468</v>
      </c>
      <c r="E690" s="30" t="s">
        <v>72</v>
      </c>
      <c r="F690" s="30" t="s">
        <v>50</v>
      </c>
      <c r="G690" s="30" t="s">
        <v>51</v>
      </c>
      <c r="H690" s="28" t="s">
        <v>52</v>
      </c>
      <c r="I690" s="30"/>
      <c r="J690" s="30" t="s">
        <v>53</v>
      </c>
      <c r="K690" s="30" t="s">
        <v>5469</v>
      </c>
      <c r="L690" s="30" t="s">
        <v>55</v>
      </c>
      <c r="M690" s="30" t="s">
        <v>5470</v>
      </c>
      <c r="N690" s="30" t="s">
        <v>5471</v>
      </c>
      <c r="O690" s="30" t="s">
        <v>58</v>
      </c>
      <c r="P690" s="30" t="s">
        <v>5472</v>
      </c>
      <c r="Q690" s="28" t="s">
        <v>5473</v>
      </c>
      <c r="R690" s="30" t="s">
        <v>5474</v>
      </c>
      <c r="S690" s="30" t="s">
        <v>53</v>
      </c>
      <c r="T690" s="30"/>
      <c r="U690" s="28" t="s">
        <v>255</v>
      </c>
      <c r="V690" s="30" t="s">
        <v>63</v>
      </c>
      <c r="W690" s="30" t="s">
        <v>64</v>
      </c>
      <c r="X690" s="32">
        <v>44409</v>
      </c>
      <c r="Y690" s="32">
        <v>45992</v>
      </c>
      <c r="Z690" s="30" t="s">
        <v>65</v>
      </c>
      <c r="AA690" s="28" t="s">
        <v>134</v>
      </c>
      <c r="AB690" s="28" t="s">
        <v>67</v>
      </c>
      <c r="AC690" s="29"/>
      <c r="AD690" s="28">
        <v>0</v>
      </c>
      <c r="AE690" s="29"/>
      <c r="AF690" s="31"/>
      <c r="AG690" s="30" t="s">
        <v>5475</v>
      </c>
      <c r="AH690" s="28"/>
      <c r="AI690" s="28" t="s">
        <v>53</v>
      </c>
      <c r="AJ690" s="33">
        <v>37531</v>
      </c>
      <c r="AK690" s="28">
        <v>6</v>
      </c>
      <c r="AL690" s="28">
        <v>24</v>
      </c>
      <c r="AM690" s="21"/>
      <c r="AN690" s="27"/>
      <c r="AO690" s="27"/>
      <c r="AP690" s="27"/>
      <c r="AQ690" s="27"/>
    </row>
    <row r="691" spans="1:43" ht="15.75" customHeight="1">
      <c r="A691" s="28">
        <v>2</v>
      </c>
      <c r="B691" s="29" t="s">
        <v>5476</v>
      </c>
      <c r="C691" s="30"/>
      <c r="D691" s="31" t="s">
        <v>5477</v>
      </c>
      <c r="E691" s="30" t="s">
        <v>72</v>
      </c>
      <c r="F691" s="30" t="s">
        <v>50</v>
      </c>
      <c r="G691" s="30" t="s">
        <v>51</v>
      </c>
      <c r="H691" s="28" t="s">
        <v>52</v>
      </c>
      <c r="I691" s="30"/>
      <c r="J691" s="30" t="s">
        <v>53</v>
      </c>
      <c r="K691" s="30" t="s">
        <v>5469</v>
      </c>
      <c r="L691" s="30" t="s">
        <v>55</v>
      </c>
      <c r="M691" s="30" t="s">
        <v>5470</v>
      </c>
      <c r="N691" s="30" t="s">
        <v>5478</v>
      </c>
      <c r="O691" s="30" t="s">
        <v>5479</v>
      </c>
      <c r="P691" s="30" t="s">
        <v>5480</v>
      </c>
      <c r="Q691" s="28" t="s">
        <v>5481</v>
      </c>
      <c r="R691" s="30" t="s">
        <v>5482</v>
      </c>
      <c r="S691" s="30" t="s">
        <v>53</v>
      </c>
      <c r="T691" s="30"/>
      <c r="U691" s="28" t="s">
        <v>255</v>
      </c>
      <c r="V691" s="30" t="s">
        <v>63</v>
      </c>
      <c r="W691" s="30" t="s">
        <v>64</v>
      </c>
      <c r="X691" s="32">
        <v>43678</v>
      </c>
      <c r="Y691" s="32">
        <v>45505</v>
      </c>
      <c r="Z691" s="30" t="s">
        <v>65</v>
      </c>
      <c r="AA691" s="28" t="s">
        <v>134</v>
      </c>
      <c r="AB691" s="28" t="s">
        <v>67</v>
      </c>
      <c r="AC691" s="29"/>
      <c r="AD691" s="28">
        <v>0</v>
      </c>
      <c r="AE691" s="29"/>
      <c r="AF691" s="31"/>
      <c r="AG691" s="30" t="s">
        <v>5475</v>
      </c>
      <c r="AH691" s="28"/>
      <c r="AI691" s="28" t="s">
        <v>53</v>
      </c>
      <c r="AJ691" s="33">
        <v>36941</v>
      </c>
      <c r="AK691" s="28">
        <v>9</v>
      </c>
      <c r="AL691" s="28">
        <v>22</v>
      </c>
      <c r="AM691" s="21"/>
      <c r="AN691" s="27"/>
      <c r="AO691" s="27"/>
      <c r="AP691" s="27"/>
      <c r="AQ691" s="27"/>
    </row>
    <row r="692" spans="1:43" ht="15.75" customHeight="1">
      <c r="A692" s="28">
        <v>3</v>
      </c>
      <c r="B692" s="29" t="s">
        <v>5483</v>
      </c>
      <c r="C692" s="30" t="s">
        <v>5484</v>
      </c>
      <c r="D692" s="31" t="s">
        <v>5484</v>
      </c>
      <c r="E692" s="30" t="s">
        <v>49</v>
      </c>
      <c r="F692" s="30" t="s">
        <v>50</v>
      </c>
      <c r="G692" s="30" t="s">
        <v>51</v>
      </c>
      <c r="H692" s="28" t="s">
        <v>85</v>
      </c>
      <c r="I692" s="30"/>
      <c r="J692" s="30" t="s">
        <v>53</v>
      </c>
      <c r="K692" s="30" t="s">
        <v>5469</v>
      </c>
      <c r="L692" s="30" t="s">
        <v>55</v>
      </c>
      <c r="M692" s="30" t="s">
        <v>5470</v>
      </c>
      <c r="N692" s="30" t="s">
        <v>5485</v>
      </c>
      <c r="O692" s="30" t="s">
        <v>5462</v>
      </c>
      <c r="P692" s="30" t="s">
        <v>5486</v>
      </c>
      <c r="Q692" s="28"/>
      <c r="R692" s="30" t="s">
        <v>5487</v>
      </c>
      <c r="S692" s="30" t="s">
        <v>53</v>
      </c>
      <c r="T692" s="30"/>
      <c r="U692" s="28" t="s">
        <v>5488</v>
      </c>
      <c r="V692" s="30" t="s">
        <v>63</v>
      </c>
      <c r="W692" s="30" t="s">
        <v>64</v>
      </c>
      <c r="X692" s="32">
        <v>44197</v>
      </c>
      <c r="Y692" s="32">
        <v>46174</v>
      </c>
      <c r="Z692" s="30" t="s">
        <v>65</v>
      </c>
      <c r="AA692" s="28" t="s">
        <v>134</v>
      </c>
      <c r="AB692" s="28" t="s">
        <v>67</v>
      </c>
      <c r="AC692" s="29"/>
      <c r="AD692" s="28">
        <v>0</v>
      </c>
      <c r="AE692" s="29"/>
      <c r="AF692" s="31"/>
      <c r="AG692" s="30" t="s">
        <v>5475</v>
      </c>
      <c r="AH692" s="28"/>
      <c r="AI692" s="28" t="s">
        <v>53</v>
      </c>
      <c r="AJ692" s="33">
        <v>36789</v>
      </c>
      <c r="AK692" s="28">
        <v>6</v>
      </c>
      <c r="AL692" s="28">
        <v>19</v>
      </c>
      <c r="AM692" s="21"/>
      <c r="AN692" s="27"/>
      <c r="AO692" s="27"/>
      <c r="AP692" s="27"/>
      <c r="AQ692" s="27"/>
    </row>
    <row r="693" spans="1:43" ht="15.75" customHeight="1">
      <c r="A693" s="28">
        <v>4</v>
      </c>
      <c r="B693" s="29" t="s">
        <v>5489</v>
      </c>
      <c r="C693" s="30"/>
      <c r="D693" s="31" t="s">
        <v>5490</v>
      </c>
      <c r="E693" s="30" t="s">
        <v>72</v>
      </c>
      <c r="F693" s="30" t="s">
        <v>50</v>
      </c>
      <c r="G693" s="30" t="s">
        <v>51</v>
      </c>
      <c r="H693" s="28" t="s">
        <v>85</v>
      </c>
      <c r="I693" s="30"/>
      <c r="J693" s="30" t="s">
        <v>53</v>
      </c>
      <c r="K693" s="30" t="s">
        <v>5469</v>
      </c>
      <c r="L693" s="30" t="s">
        <v>55</v>
      </c>
      <c r="M693" s="30" t="s">
        <v>5470</v>
      </c>
      <c r="N693" s="30" t="s">
        <v>5491</v>
      </c>
      <c r="O693" s="30" t="s">
        <v>5492</v>
      </c>
      <c r="P693" s="30" t="s">
        <v>5493</v>
      </c>
      <c r="Q693" s="28"/>
      <c r="R693" s="30" t="s">
        <v>5494</v>
      </c>
      <c r="S693" s="30" t="s">
        <v>53</v>
      </c>
      <c r="T693" s="30"/>
      <c r="U693" s="28" t="s">
        <v>255</v>
      </c>
      <c r="V693" s="30" t="s">
        <v>63</v>
      </c>
      <c r="W693" s="30" t="s">
        <v>64</v>
      </c>
      <c r="X693" s="32">
        <v>43678</v>
      </c>
      <c r="Y693" s="32">
        <v>45505</v>
      </c>
      <c r="Z693" s="30" t="s">
        <v>65</v>
      </c>
      <c r="AA693" s="28" t="s">
        <v>134</v>
      </c>
      <c r="AB693" s="28" t="s">
        <v>67</v>
      </c>
      <c r="AC693" s="29"/>
      <c r="AD693" s="28">
        <v>0</v>
      </c>
      <c r="AE693" s="29"/>
      <c r="AF693" s="31"/>
      <c r="AG693" s="30" t="s">
        <v>5475</v>
      </c>
      <c r="AH693" s="28"/>
      <c r="AI693" s="28" t="s">
        <v>53</v>
      </c>
      <c r="AJ693" s="33">
        <v>35920</v>
      </c>
      <c r="AK693" s="28">
        <v>9</v>
      </c>
      <c r="AL693" s="28">
        <v>19</v>
      </c>
      <c r="AM693" s="21"/>
      <c r="AN693" s="27"/>
      <c r="AO693" s="27"/>
      <c r="AP693" s="27"/>
      <c r="AQ693" s="27"/>
    </row>
    <row r="694" spans="1:43" ht="15.75" customHeight="1">
      <c r="A694" s="28">
        <v>1</v>
      </c>
      <c r="B694" s="29" t="s">
        <v>5495</v>
      </c>
      <c r="C694" s="30"/>
      <c r="D694" s="31" t="s">
        <v>5496</v>
      </c>
      <c r="E694" s="30" t="s">
        <v>72</v>
      </c>
      <c r="F694" s="30" t="s">
        <v>50</v>
      </c>
      <c r="G694" s="30" t="s">
        <v>51</v>
      </c>
      <c r="H694" s="28" t="s">
        <v>52</v>
      </c>
      <c r="I694" s="30"/>
      <c r="J694" s="30" t="s">
        <v>53</v>
      </c>
      <c r="K694" s="30" t="s">
        <v>5497</v>
      </c>
      <c r="L694" s="30" t="s">
        <v>55</v>
      </c>
      <c r="M694" s="30" t="s">
        <v>5498</v>
      </c>
      <c r="N694" s="30" t="s">
        <v>5499</v>
      </c>
      <c r="O694" s="30" t="s">
        <v>5500</v>
      </c>
      <c r="P694" s="30" t="s">
        <v>5501</v>
      </c>
      <c r="Q694" s="28" t="s">
        <v>5502</v>
      </c>
      <c r="R694" s="30" t="s">
        <v>5503</v>
      </c>
      <c r="S694" s="30" t="s">
        <v>53</v>
      </c>
      <c r="T694" s="30"/>
      <c r="U694" s="28" t="s">
        <v>5504</v>
      </c>
      <c r="V694" s="30" t="s">
        <v>63</v>
      </c>
      <c r="W694" s="30" t="s">
        <v>64</v>
      </c>
      <c r="X694" s="32">
        <v>44593</v>
      </c>
      <c r="Y694" s="32">
        <v>46357</v>
      </c>
      <c r="Z694" s="30" t="s">
        <v>65</v>
      </c>
      <c r="AA694" s="28" t="s">
        <v>134</v>
      </c>
      <c r="AB694" s="28" t="s">
        <v>67</v>
      </c>
      <c r="AC694" s="29"/>
      <c r="AD694" s="28">
        <v>0</v>
      </c>
      <c r="AE694" s="29"/>
      <c r="AF694" s="31"/>
      <c r="AG694" s="30" t="s">
        <v>5505</v>
      </c>
      <c r="AH694" s="28"/>
      <c r="AI694" s="28" t="s">
        <v>53</v>
      </c>
      <c r="AJ694" s="33">
        <v>35964</v>
      </c>
      <c r="AK694" s="28">
        <v>5</v>
      </c>
      <c r="AL694" s="28">
        <v>26</v>
      </c>
      <c r="AM694" s="21"/>
      <c r="AN694" s="27"/>
      <c r="AO694" s="27"/>
      <c r="AP694" s="27"/>
      <c r="AQ694" s="27"/>
    </row>
    <row r="695" spans="1:43" ht="15.75" customHeight="1">
      <c r="A695" s="28">
        <v>2</v>
      </c>
      <c r="B695" s="29" t="s">
        <v>5506</v>
      </c>
      <c r="C695" s="30"/>
      <c r="D695" s="31" t="s">
        <v>5507</v>
      </c>
      <c r="E695" s="30" t="s">
        <v>72</v>
      </c>
      <c r="F695" s="30" t="s">
        <v>50</v>
      </c>
      <c r="G695" s="30" t="s">
        <v>51</v>
      </c>
      <c r="H695" s="28" t="s">
        <v>52</v>
      </c>
      <c r="I695" s="30"/>
      <c r="J695" s="30" t="s">
        <v>53</v>
      </c>
      <c r="K695" s="30" t="s">
        <v>5497</v>
      </c>
      <c r="L695" s="30" t="s">
        <v>55</v>
      </c>
      <c r="M695" s="30" t="s">
        <v>5498</v>
      </c>
      <c r="N695" s="30" t="s">
        <v>5508</v>
      </c>
      <c r="O695" s="30" t="s">
        <v>5509</v>
      </c>
      <c r="P695" s="30" t="s">
        <v>5510</v>
      </c>
      <c r="Q695" s="28" t="s">
        <v>5511</v>
      </c>
      <c r="R695" s="30" t="s">
        <v>5512</v>
      </c>
      <c r="S695" s="30" t="s">
        <v>53</v>
      </c>
      <c r="T695" s="30"/>
      <c r="U695" s="28" t="s">
        <v>3000</v>
      </c>
      <c r="V695" s="30" t="s">
        <v>63</v>
      </c>
      <c r="W695" s="30" t="s">
        <v>64</v>
      </c>
      <c r="X695" s="32">
        <v>44197</v>
      </c>
      <c r="Y695" s="32">
        <v>46174</v>
      </c>
      <c r="Z695" s="30" t="s">
        <v>65</v>
      </c>
      <c r="AA695" s="28" t="s">
        <v>134</v>
      </c>
      <c r="AB695" s="28" t="s">
        <v>67</v>
      </c>
      <c r="AC695" s="29"/>
      <c r="AD695" s="28">
        <v>0</v>
      </c>
      <c r="AE695" s="29"/>
      <c r="AF695" s="31"/>
      <c r="AG695" s="30" t="s">
        <v>5505</v>
      </c>
      <c r="AH695" s="28"/>
      <c r="AI695" s="28" t="s">
        <v>53</v>
      </c>
      <c r="AJ695" s="33">
        <v>36308</v>
      </c>
      <c r="AK695" s="28">
        <v>6</v>
      </c>
      <c r="AL695" s="28">
        <v>22</v>
      </c>
      <c r="AM695" s="21"/>
      <c r="AN695" s="27"/>
      <c r="AO695" s="27"/>
      <c r="AP695" s="27"/>
      <c r="AQ695" s="27"/>
    </row>
    <row r="696" spans="1:43" ht="15.75" customHeight="1">
      <c r="A696" s="28">
        <v>3</v>
      </c>
      <c r="B696" s="29" t="s">
        <v>5513</v>
      </c>
      <c r="C696" s="30"/>
      <c r="D696" s="31" t="s">
        <v>5514</v>
      </c>
      <c r="E696" s="30" t="s">
        <v>72</v>
      </c>
      <c r="F696" s="30" t="s">
        <v>50</v>
      </c>
      <c r="G696" s="30" t="s">
        <v>51</v>
      </c>
      <c r="H696" s="28" t="s">
        <v>85</v>
      </c>
      <c r="I696" s="30"/>
      <c r="J696" s="30" t="s">
        <v>53</v>
      </c>
      <c r="K696" s="30" t="s">
        <v>5497</v>
      </c>
      <c r="L696" s="30" t="s">
        <v>55</v>
      </c>
      <c r="M696" s="30" t="s">
        <v>5498</v>
      </c>
      <c r="N696" s="30" t="s">
        <v>5515</v>
      </c>
      <c r="O696" s="30" t="s">
        <v>5516</v>
      </c>
      <c r="P696" s="30" t="s">
        <v>5517</v>
      </c>
      <c r="Q696" s="28"/>
      <c r="R696" s="30" t="s">
        <v>5518</v>
      </c>
      <c r="S696" s="30" t="s">
        <v>53</v>
      </c>
      <c r="T696" s="30"/>
      <c r="U696" s="28" t="s">
        <v>255</v>
      </c>
      <c r="V696" s="30" t="s">
        <v>63</v>
      </c>
      <c r="W696" s="30" t="s">
        <v>64</v>
      </c>
      <c r="X696" s="32">
        <v>44409</v>
      </c>
      <c r="Y696" s="32">
        <v>44409</v>
      </c>
      <c r="Z696" s="30" t="s">
        <v>65</v>
      </c>
      <c r="AA696" s="28" t="s">
        <v>134</v>
      </c>
      <c r="AB696" s="28" t="s">
        <v>67</v>
      </c>
      <c r="AC696" s="29"/>
      <c r="AD696" s="28">
        <v>0</v>
      </c>
      <c r="AE696" s="29"/>
      <c r="AF696" s="31"/>
      <c r="AG696" s="30" t="s">
        <v>5505</v>
      </c>
      <c r="AH696" s="28"/>
      <c r="AI696" s="28" t="s">
        <v>53</v>
      </c>
      <c r="AJ696" s="33">
        <v>37362</v>
      </c>
      <c r="AK696" s="28">
        <v>6</v>
      </c>
      <c r="AL696" s="28">
        <v>22</v>
      </c>
      <c r="AM696" s="21"/>
      <c r="AN696" s="27"/>
      <c r="AO696" s="27"/>
      <c r="AP696" s="27"/>
      <c r="AQ696" s="27"/>
    </row>
    <row r="697" spans="1:43" ht="15.75" customHeight="1">
      <c r="A697" s="28">
        <v>4</v>
      </c>
      <c r="B697" s="29" t="s">
        <v>5519</v>
      </c>
      <c r="C697" s="30" t="s">
        <v>5520</v>
      </c>
      <c r="D697" s="31" t="s">
        <v>5521</v>
      </c>
      <c r="E697" s="30" t="s">
        <v>72</v>
      </c>
      <c r="F697" s="30" t="s">
        <v>84</v>
      </c>
      <c r="G697" s="30" t="s">
        <v>51</v>
      </c>
      <c r="H697" s="28" t="s">
        <v>85</v>
      </c>
      <c r="I697" s="30"/>
      <c r="J697" s="30" t="s">
        <v>53</v>
      </c>
      <c r="K697" s="30" t="s">
        <v>5497</v>
      </c>
      <c r="L697" s="30" t="s">
        <v>55</v>
      </c>
      <c r="M697" s="30" t="s">
        <v>5498</v>
      </c>
      <c r="N697" s="30" t="s">
        <v>5522</v>
      </c>
      <c r="O697" s="30" t="s">
        <v>5523</v>
      </c>
      <c r="P697" s="30" t="s">
        <v>5524</v>
      </c>
      <c r="Q697" s="28"/>
      <c r="R697" s="30" t="s">
        <v>5525</v>
      </c>
      <c r="S697" s="30" t="s">
        <v>53</v>
      </c>
      <c r="T697" s="30"/>
      <c r="U697" s="28" t="s">
        <v>557</v>
      </c>
      <c r="V697" s="30" t="s">
        <v>63</v>
      </c>
      <c r="W697" s="30" t="s">
        <v>64</v>
      </c>
      <c r="X697" s="32">
        <v>43497</v>
      </c>
      <c r="Y697" s="32">
        <v>45444</v>
      </c>
      <c r="Z697" s="30" t="s">
        <v>65</v>
      </c>
      <c r="AA697" s="28" t="s">
        <v>134</v>
      </c>
      <c r="AB697" s="28" t="s">
        <v>67</v>
      </c>
      <c r="AC697" s="29"/>
      <c r="AD697" s="28">
        <v>0</v>
      </c>
      <c r="AE697" s="29"/>
      <c r="AF697" s="31"/>
      <c r="AG697" s="30" t="s">
        <v>5505</v>
      </c>
      <c r="AH697" s="28"/>
      <c r="AI697" s="28" t="s">
        <v>53</v>
      </c>
      <c r="AJ697" s="33">
        <v>31292</v>
      </c>
      <c r="AK697" s="28">
        <v>9</v>
      </c>
      <c r="AL697" s="28">
        <v>19</v>
      </c>
      <c r="AM697" s="21"/>
      <c r="AN697" s="27"/>
      <c r="AO697" s="27"/>
      <c r="AP697" s="27"/>
      <c r="AQ697" s="27"/>
    </row>
    <row r="698" spans="1:43" ht="15.75" customHeight="1">
      <c r="A698" s="28">
        <v>5</v>
      </c>
      <c r="B698" s="29" t="s">
        <v>5526</v>
      </c>
      <c r="C698" s="30" t="s">
        <v>5527</v>
      </c>
      <c r="D698" s="31" t="s">
        <v>5528</v>
      </c>
      <c r="E698" s="30" t="s">
        <v>72</v>
      </c>
      <c r="F698" s="30" t="s">
        <v>50</v>
      </c>
      <c r="G698" s="30" t="s">
        <v>51</v>
      </c>
      <c r="H698" s="28" t="s">
        <v>52</v>
      </c>
      <c r="I698" s="30"/>
      <c r="J698" s="30" t="s">
        <v>53</v>
      </c>
      <c r="K698" s="30" t="s">
        <v>5497</v>
      </c>
      <c r="L698" s="30" t="s">
        <v>55</v>
      </c>
      <c r="M698" s="30" t="s">
        <v>5498</v>
      </c>
      <c r="N698" s="30" t="s">
        <v>5529</v>
      </c>
      <c r="O698" s="30" t="s">
        <v>5530</v>
      </c>
      <c r="P698" s="30" t="s">
        <v>5531</v>
      </c>
      <c r="Q698" s="28" t="s">
        <v>5532</v>
      </c>
      <c r="R698" s="30" t="s">
        <v>5533</v>
      </c>
      <c r="S698" s="30" t="s">
        <v>53</v>
      </c>
      <c r="T698" s="30"/>
      <c r="U698" s="28" t="s">
        <v>5534</v>
      </c>
      <c r="V698" s="30" t="s">
        <v>63</v>
      </c>
      <c r="W698" s="30" t="s">
        <v>64</v>
      </c>
      <c r="X698" s="32">
        <v>44197</v>
      </c>
      <c r="Y698" s="32">
        <v>45992</v>
      </c>
      <c r="Z698" s="30" t="s">
        <v>65</v>
      </c>
      <c r="AA698" s="28" t="s">
        <v>134</v>
      </c>
      <c r="AB698" s="28" t="s">
        <v>67</v>
      </c>
      <c r="AC698" s="29"/>
      <c r="AD698" s="28">
        <v>0</v>
      </c>
      <c r="AE698" s="29"/>
      <c r="AF698" s="31"/>
      <c r="AG698" s="30" t="s">
        <v>5505</v>
      </c>
      <c r="AH698" s="28"/>
      <c r="AI698" s="28" t="s">
        <v>53</v>
      </c>
      <c r="AJ698" s="33">
        <v>38016</v>
      </c>
      <c r="AK698" s="28">
        <v>6</v>
      </c>
      <c r="AL698" s="28">
        <v>17</v>
      </c>
      <c r="AM698" s="21"/>
      <c r="AN698" s="27"/>
      <c r="AO698" s="27"/>
      <c r="AP698" s="27"/>
      <c r="AQ698" s="27"/>
    </row>
    <row r="699" spans="1:43" ht="15.75" customHeight="1">
      <c r="A699" s="28">
        <v>6</v>
      </c>
      <c r="B699" s="29" t="s">
        <v>5535</v>
      </c>
      <c r="C699" s="30"/>
      <c r="D699" s="31" t="s">
        <v>5536</v>
      </c>
      <c r="E699" s="30" t="s">
        <v>49</v>
      </c>
      <c r="F699" s="30" t="s">
        <v>50</v>
      </c>
      <c r="G699" s="30" t="s">
        <v>51</v>
      </c>
      <c r="H699" s="28" t="s">
        <v>52</v>
      </c>
      <c r="I699" s="30"/>
      <c r="J699" s="30" t="s">
        <v>53</v>
      </c>
      <c r="K699" s="30" t="s">
        <v>5497</v>
      </c>
      <c r="L699" s="30" t="s">
        <v>55</v>
      </c>
      <c r="M699" s="30" t="s">
        <v>5498</v>
      </c>
      <c r="N699" s="30" t="s">
        <v>5537</v>
      </c>
      <c r="O699" s="30" t="s">
        <v>5509</v>
      </c>
      <c r="P699" s="30" t="s">
        <v>5538</v>
      </c>
      <c r="Q699" s="28"/>
      <c r="R699" s="30" t="s">
        <v>5539</v>
      </c>
      <c r="S699" s="30" t="s">
        <v>53</v>
      </c>
      <c r="T699" s="30"/>
      <c r="U699" s="28" t="s">
        <v>255</v>
      </c>
      <c r="V699" s="30" t="s">
        <v>63</v>
      </c>
      <c r="W699" s="30" t="s">
        <v>64</v>
      </c>
      <c r="X699" s="32">
        <v>44409</v>
      </c>
      <c r="Y699" s="32">
        <v>45992</v>
      </c>
      <c r="Z699" s="30" t="s">
        <v>65</v>
      </c>
      <c r="AA699" s="28" t="s">
        <v>134</v>
      </c>
      <c r="AB699" s="28" t="s">
        <v>67</v>
      </c>
      <c r="AC699" s="29"/>
      <c r="AD699" s="28">
        <v>0</v>
      </c>
      <c r="AE699" s="29"/>
      <c r="AF699" s="31"/>
      <c r="AG699" s="30" t="s">
        <v>5505</v>
      </c>
      <c r="AH699" s="28"/>
      <c r="AI699" s="28" t="s">
        <v>53</v>
      </c>
      <c r="AJ699" s="33">
        <v>37802</v>
      </c>
      <c r="AK699" s="28">
        <v>6</v>
      </c>
      <c r="AL699" s="28">
        <v>15</v>
      </c>
      <c r="AM699" s="21"/>
      <c r="AN699" s="27"/>
      <c r="AO699" s="27"/>
      <c r="AP699" s="27"/>
      <c r="AQ699" s="27"/>
    </row>
    <row r="700" spans="1:43" ht="15.75" customHeight="1">
      <c r="A700" s="28">
        <v>1</v>
      </c>
      <c r="B700" s="29" t="s">
        <v>5540</v>
      </c>
      <c r="C700" s="30"/>
      <c r="D700" s="31" t="s">
        <v>5541</v>
      </c>
      <c r="E700" s="30" t="s">
        <v>72</v>
      </c>
      <c r="F700" s="30" t="s">
        <v>50</v>
      </c>
      <c r="G700" s="30" t="s">
        <v>51</v>
      </c>
      <c r="H700" s="28" t="s">
        <v>85</v>
      </c>
      <c r="I700" s="30"/>
      <c r="J700" s="30" t="s">
        <v>53</v>
      </c>
      <c r="K700" s="30" t="s">
        <v>5542</v>
      </c>
      <c r="L700" s="30" t="s">
        <v>55</v>
      </c>
      <c r="M700" s="30" t="s">
        <v>5543</v>
      </c>
      <c r="N700" s="30" t="s">
        <v>5544</v>
      </c>
      <c r="O700" s="30" t="s">
        <v>5545</v>
      </c>
      <c r="P700" s="30" t="s">
        <v>5546</v>
      </c>
      <c r="Q700" s="28"/>
      <c r="R700" s="30" t="s">
        <v>5547</v>
      </c>
      <c r="S700" s="30" t="s">
        <v>53</v>
      </c>
      <c r="T700" s="30"/>
      <c r="U700" s="28" t="s">
        <v>1347</v>
      </c>
      <c r="V700" s="30" t="s">
        <v>63</v>
      </c>
      <c r="W700" s="30" t="s">
        <v>64</v>
      </c>
      <c r="X700" s="32">
        <v>44228</v>
      </c>
      <c r="Y700" s="32">
        <v>45992</v>
      </c>
      <c r="Z700" s="30" t="s">
        <v>65</v>
      </c>
      <c r="AA700" s="28" t="s">
        <v>134</v>
      </c>
      <c r="AB700" s="28" t="s">
        <v>67</v>
      </c>
      <c r="AC700" s="29"/>
      <c r="AD700" s="28">
        <v>0</v>
      </c>
      <c r="AE700" s="29"/>
      <c r="AF700" s="31"/>
      <c r="AG700" s="30" t="s">
        <v>5548</v>
      </c>
      <c r="AH700" s="28"/>
      <c r="AI700" s="28" t="s">
        <v>53</v>
      </c>
      <c r="AJ700" s="33">
        <v>37616</v>
      </c>
      <c r="AK700" s="28">
        <v>6</v>
      </c>
      <c r="AL700" s="28">
        <v>15</v>
      </c>
      <c r="AM700" s="21"/>
      <c r="AN700" s="27"/>
      <c r="AO700" s="27"/>
      <c r="AP700" s="27"/>
      <c r="AQ700" s="27"/>
    </row>
    <row r="701" spans="1:43" ht="15.75" customHeight="1">
      <c r="A701" s="28">
        <v>1</v>
      </c>
      <c r="B701" s="29" t="s">
        <v>5549</v>
      </c>
      <c r="C701" s="30" t="s">
        <v>5550</v>
      </c>
      <c r="D701" s="31" t="s">
        <v>5551</v>
      </c>
      <c r="E701" s="30" t="s">
        <v>72</v>
      </c>
      <c r="F701" s="30" t="s">
        <v>50</v>
      </c>
      <c r="G701" s="30" t="s">
        <v>51</v>
      </c>
      <c r="H701" s="28" t="s">
        <v>191</v>
      </c>
      <c r="I701" s="30"/>
      <c r="J701" s="30" t="s">
        <v>53</v>
      </c>
      <c r="K701" s="30" t="s">
        <v>5552</v>
      </c>
      <c r="L701" s="30" t="s">
        <v>55</v>
      </c>
      <c r="M701" s="30" t="s">
        <v>5553</v>
      </c>
      <c r="N701" s="30" t="s">
        <v>5554</v>
      </c>
      <c r="O701" s="30" t="s">
        <v>4811</v>
      </c>
      <c r="P701" s="30" t="s">
        <v>5555</v>
      </c>
      <c r="Q701" s="28" t="s">
        <v>5556</v>
      </c>
      <c r="R701" s="30" t="s">
        <v>5557</v>
      </c>
      <c r="S701" s="30" t="s">
        <v>53</v>
      </c>
      <c r="T701" s="30"/>
      <c r="U701" s="28" t="s">
        <v>5558</v>
      </c>
      <c r="V701" s="30" t="s">
        <v>63</v>
      </c>
      <c r="W701" s="30" t="s">
        <v>64</v>
      </c>
      <c r="X701" s="32">
        <v>44197</v>
      </c>
      <c r="Y701" s="32">
        <v>45992</v>
      </c>
      <c r="Z701" s="30" t="s">
        <v>65</v>
      </c>
      <c r="AA701" s="28" t="s">
        <v>66</v>
      </c>
      <c r="AB701" s="28" t="s">
        <v>67</v>
      </c>
      <c r="AC701" s="29"/>
      <c r="AD701" s="28">
        <v>0</v>
      </c>
      <c r="AE701" s="29"/>
      <c r="AF701" s="31"/>
      <c r="AG701" s="30" t="s">
        <v>5559</v>
      </c>
      <c r="AH701" s="28" t="s">
        <v>431</v>
      </c>
      <c r="AI701" s="28" t="s">
        <v>118</v>
      </c>
      <c r="AJ701" s="33">
        <v>37561</v>
      </c>
      <c r="AK701" s="28">
        <v>6</v>
      </c>
      <c r="AL701" s="28">
        <v>22</v>
      </c>
      <c r="AM701" s="21"/>
      <c r="AN701" s="27"/>
      <c r="AO701" s="27"/>
      <c r="AP701" s="27"/>
      <c r="AQ701" s="27"/>
    </row>
    <row r="702" spans="1:43" ht="15.75" customHeight="1">
      <c r="A702" s="28">
        <v>2</v>
      </c>
      <c r="B702" s="29" t="s">
        <v>5560</v>
      </c>
      <c r="C702" s="30"/>
      <c r="D702" s="31" t="s">
        <v>5561</v>
      </c>
      <c r="E702" s="30" t="s">
        <v>49</v>
      </c>
      <c r="F702" s="30" t="s">
        <v>50</v>
      </c>
      <c r="G702" s="30" t="s">
        <v>51</v>
      </c>
      <c r="H702" s="28" t="s">
        <v>85</v>
      </c>
      <c r="I702" s="30"/>
      <c r="J702" s="30" t="s">
        <v>53</v>
      </c>
      <c r="K702" s="30" t="s">
        <v>5552</v>
      </c>
      <c r="L702" s="30" t="s">
        <v>55</v>
      </c>
      <c r="M702" s="30" t="s">
        <v>5553</v>
      </c>
      <c r="N702" s="30" t="s">
        <v>5562</v>
      </c>
      <c r="O702" s="30" t="s">
        <v>5563</v>
      </c>
      <c r="P702" s="30" t="s">
        <v>5564</v>
      </c>
      <c r="Q702" s="28" t="s">
        <v>5565</v>
      </c>
      <c r="R702" s="30" t="s">
        <v>5566</v>
      </c>
      <c r="S702" s="30" t="s">
        <v>53</v>
      </c>
      <c r="T702" s="30"/>
      <c r="U702" s="28" t="s">
        <v>5567</v>
      </c>
      <c r="V702" s="30" t="s">
        <v>63</v>
      </c>
      <c r="W702" s="30" t="s">
        <v>64</v>
      </c>
      <c r="X702" s="32">
        <v>44197</v>
      </c>
      <c r="Y702" s="32">
        <v>45992</v>
      </c>
      <c r="Z702" s="30" t="s">
        <v>65</v>
      </c>
      <c r="AA702" s="28" t="s">
        <v>66</v>
      </c>
      <c r="AB702" s="28" t="s">
        <v>67</v>
      </c>
      <c r="AC702" s="29"/>
      <c r="AD702" s="28">
        <v>0</v>
      </c>
      <c r="AE702" s="29"/>
      <c r="AF702" s="31"/>
      <c r="AG702" s="30" t="s">
        <v>5559</v>
      </c>
      <c r="AH702" s="28"/>
      <c r="AI702" s="28" t="s">
        <v>118</v>
      </c>
      <c r="AJ702" s="33">
        <v>37715</v>
      </c>
      <c r="AK702" s="28">
        <v>6</v>
      </c>
      <c r="AL702" s="28">
        <v>19</v>
      </c>
      <c r="AM702" s="21"/>
      <c r="AN702" s="27"/>
      <c r="AO702" s="27"/>
      <c r="AP702" s="27"/>
      <c r="AQ702" s="27"/>
    </row>
    <row r="703" spans="1:43" ht="15.75" customHeight="1">
      <c r="A703" s="28">
        <v>1</v>
      </c>
      <c r="B703" s="29" t="s">
        <v>5568</v>
      </c>
      <c r="C703" s="30"/>
      <c r="D703" s="31" t="s">
        <v>5569</v>
      </c>
      <c r="E703" s="30" t="s">
        <v>49</v>
      </c>
      <c r="F703" s="30" t="s">
        <v>50</v>
      </c>
      <c r="G703" s="30" t="s">
        <v>51</v>
      </c>
      <c r="H703" s="28" t="s">
        <v>85</v>
      </c>
      <c r="I703" s="30"/>
      <c r="J703" s="30" t="s">
        <v>53</v>
      </c>
      <c r="K703" s="30" t="s">
        <v>342</v>
      </c>
      <c r="L703" s="30" t="s">
        <v>55</v>
      </c>
      <c r="M703" s="30" t="s">
        <v>343</v>
      </c>
      <c r="N703" s="30" t="s">
        <v>5570</v>
      </c>
      <c r="O703" s="30" t="s">
        <v>5394</v>
      </c>
      <c r="P703" s="30" t="s">
        <v>5571</v>
      </c>
      <c r="Q703" s="28"/>
      <c r="R703" s="30" t="s">
        <v>5572</v>
      </c>
      <c r="S703" s="30" t="s">
        <v>53</v>
      </c>
      <c r="T703" s="30"/>
      <c r="U703" s="28" t="s">
        <v>308</v>
      </c>
      <c r="V703" s="30" t="s">
        <v>63</v>
      </c>
      <c r="W703" s="30" t="s">
        <v>64</v>
      </c>
      <c r="X703" s="32">
        <v>44228</v>
      </c>
      <c r="Y703" s="32">
        <v>46357</v>
      </c>
      <c r="Z703" s="30" t="s">
        <v>65</v>
      </c>
      <c r="AA703" s="28" t="s">
        <v>134</v>
      </c>
      <c r="AB703" s="28" t="s">
        <v>67</v>
      </c>
      <c r="AC703" s="29"/>
      <c r="AD703" s="28">
        <v>0</v>
      </c>
      <c r="AE703" s="29"/>
      <c r="AF703" s="31"/>
      <c r="AG703" s="30" t="s">
        <v>5573</v>
      </c>
      <c r="AH703" s="28"/>
      <c r="AI703" s="28" t="s">
        <v>53</v>
      </c>
      <c r="AJ703" s="33">
        <v>37602</v>
      </c>
      <c r="AK703" s="28">
        <v>6</v>
      </c>
      <c r="AL703" s="28">
        <v>30</v>
      </c>
      <c r="AM703" s="21"/>
      <c r="AN703" s="27"/>
      <c r="AO703" s="27"/>
      <c r="AP703" s="27"/>
      <c r="AQ703" s="27"/>
    </row>
    <row r="704" spans="1:43" ht="15" customHeight="1">
      <c r="A704" s="28">
        <v>2</v>
      </c>
      <c r="B704" s="29" t="s">
        <v>5574</v>
      </c>
      <c r="C704" s="30"/>
      <c r="D704" s="31" t="s">
        <v>5575</v>
      </c>
      <c r="E704" s="30" t="s">
        <v>72</v>
      </c>
      <c r="F704" s="30" t="s">
        <v>50</v>
      </c>
      <c r="G704" s="30" t="s">
        <v>51</v>
      </c>
      <c r="H704" s="28" t="s">
        <v>601</v>
      </c>
      <c r="I704" s="30"/>
      <c r="J704" s="30" t="s">
        <v>53</v>
      </c>
      <c r="K704" s="30" t="s">
        <v>342</v>
      </c>
      <c r="L704" s="30" t="s">
        <v>55</v>
      </c>
      <c r="M704" s="30" t="s">
        <v>343</v>
      </c>
      <c r="N704" s="30" t="s">
        <v>5576</v>
      </c>
      <c r="O704" s="30" t="s">
        <v>3753</v>
      </c>
      <c r="P704" s="30" t="s">
        <v>5577</v>
      </c>
      <c r="Q704" s="28" t="s">
        <v>5578</v>
      </c>
      <c r="R704" s="30" t="s">
        <v>5579</v>
      </c>
      <c r="S704" s="30" t="s">
        <v>53</v>
      </c>
      <c r="T704" s="30"/>
      <c r="U704" s="28" t="s">
        <v>524</v>
      </c>
      <c r="V704" s="30" t="s">
        <v>63</v>
      </c>
      <c r="W704" s="30" t="s">
        <v>64</v>
      </c>
      <c r="X704" s="32">
        <v>44228</v>
      </c>
      <c r="Y704" s="32">
        <v>46023</v>
      </c>
      <c r="Z704" s="30" t="s">
        <v>65</v>
      </c>
      <c r="AA704" s="28" t="s">
        <v>66</v>
      </c>
      <c r="AB704" s="28" t="s">
        <v>67</v>
      </c>
      <c r="AC704" s="29"/>
      <c r="AD704" s="28">
        <v>0</v>
      </c>
      <c r="AE704" s="29"/>
      <c r="AF704" s="31"/>
      <c r="AG704" s="30" t="s">
        <v>5573</v>
      </c>
      <c r="AH704" s="28"/>
      <c r="AI704" s="28" t="s">
        <v>53</v>
      </c>
      <c r="AJ704" s="33">
        <v>38079</v>
      </c>
      <c r="AK704" s="28">
        <v>5</v>
      </c>
      <c r="AL704" s="28">
        <v>21</v>
      </c>
      <c r="AM704" s="21"/>
      <c r="AN704" s="27"/>
      <c r="AO704" s="27"/>
      <c r="AP704" s="27"/>
      <c r="AQ704" s="27"/>
    </row>
    <row r="705" spans="1:43" ht="15.75" customHeight="1">
      <c r="A705" s="28">
        <v>3</v>
      </c>
      <c r="B705" s="29" t="s">
        <v>5580</v>
      </c>
      <c r="C705" s="30"/>
      <c r="D705" s="31" t="s">
        <v>5581</v>
      </c>
      <c r="E705" s="30" t="s">
        <v>72</v>
      </c>
      <c r="F705" s="30" t="s">
        <v>50</v>
      </c>
      <c r="G705" s="30" t="s">
        <v>51</v>
      </c>
      <c r="H705" s="28" t="s">
        <v>52</v>
      </c>
      <c r="I705" s="30"/>
      <c r="J705" s="30" t="s">
        <v>53</v>
      </c>
      <c r="K705" s="30" t="s">
        <v>342</v>
      </c>
      <c r="L705" s="30" t="s">
        <v>55</v>
      </c>
      <c r="M705" s="30" t="s">
        <v>343</v>
      </c>
      <c r="N705" s="30" t="s">
        <v>5582</v>
      </c>
      <c r="O705" s="30" t="s">
        <v>5583</v>
      </c>
      <c r="P705" s="30" t="s">
        <v>5584</v>
      </c>
      <c r="Q705" s="28" t="s">
        <v>5585</v>
      </c>
      <c r="R705" s="30" t="s">
        <v>5586</v>
      </c>
      <c r="S705" s="30" t="s">
        <v>53</v>
      </c>
      <c r="T705" s="30"/>
      <c r="U705" s="28" t="s">
        <v>5587</v>
      </c>
      <c r="V705" s="30" t="s">
        <v>63</v>
      </c>
      <c r="W705" s="30" t="s">
        <v>64</v>
      </c>
      <c r="X705" s="32">
        <v>43831</v>
      </c>
      <c r="Y705" s="32">
        <v>45992</v>
      </c>
      <c r="Z705" s="30" t="s">
        <v>65</v>
      </c>
      <c r="AA705" s="28" t="s">
        <v>66</v>
      </c>
      <c r="AB705" s="28" t="s">
        <v>67</v>
      </c>
      <c r="AC705" s="29"/>
      <c r="AD705" s="28">
        <v>0</v>
      </c>
      <c r="AE705" s="29"/>
      <c r="AF705" s="31"/>
      <c r="AG705" s="30" t="s">
        <v>5573</v>
      </c>
      <c r="AH705" s="28"/>
      <c r="AI705" s="28" t="s">
        <v>53</v>
      </c>
      <c r="AJ705" s="33">
        <v>35976</v>
      </c>
      <c r="AK705" s="28">
        <v>6</v>
      </c>
      <c r="AL705" s="28">
        <v>17</v>
      </c>
      <c r="AM705" s="21"/>
      <c r="AN705" s="27"/>
      <c r="AO705" s="27"/>
      <c r="AP705" s="27"/>
      <c r="AQ705" s="27"/>
    </row>
    <row r="706" spans="1:43" ht="15.75" customHeight="1">
      <c r="A706" s="28">
        <v>1</v>
      </c>
      <c r="B706" s="29" t="s">
        <v>5588</v>
      </c>
      <c r="C706" s="30"/>
      <c r="D706" s="31" t="s">
        <v>5589</v>
      </c>
      <c r="E706" s="30" t="s">
        <v>72</v>
      </c>
      <c r="F706" s="30" t="s">
        <v>50</v>
      </c>
      <c r="G706" s="30" t="s">
        <v>51</v>
      </c>
      <c r="H706" s="28" t="s">
        <v>52</v>
      </c>
      <c r="I706" s="30"/>
      <c r="J706" s="30" t="s">
        <v>53</v>
      </c>
      <c r="K706" s="30" t="s">
        <v>342</v>
      </c>
      <c r="L706" s="30" t="s">
        <v>55</v>
      </c>
      <c r="M706" s="30" t="s">
        <v>343</v>
      </c>
      <c r="N706" s="30" t="s">
        <v>5590</v>
      </c>
      <c r="O706" s="30" t="s">
        <v>5591</v>
      </c>
      <c r="P706" s="30" t="s">
        <v>5592</v>
      </c>
      <c r="Q706" s="28"/>
      <c r="R706" s="30" t="s">
        <v>5593</v>
      </c>
      <c r="S706" s="30" t="s">
        <v>53</v>
      </c>
      <c r="T706" s="30"/>
      <c r="U706" s="28" t="s">
        <v>5594</v>
      </c>
      <c r="V706" s="30" t="s">
        <v>63</v>
      </c>
      <c r="W706" s="30" t="s">
        <v>204</v>
      </c>
      <c r="X706" s="32">
        <v>43862</v>
      </c>
      <c r="Y706" s="32">
        <v>45627</v>
      </c>
      <c r="Z706" s="30" t="s">
        <v>65</v>
      </c>
      <c r="AA706" s="28" t="s">
        <v>134</v>
      </c>
      <c r="AB706" s="28" t="s">
        <v>67</v>
      </c>
      <c r="AC706" s="29"/>
      <c r="AD706" s="28">
        <v>0</v>
      </c>
      <c r="AE706" s="29"/>
      <c r="AF706" s="31"/>
      <c r="AG706" s="30" t="s">
        <v>5573</v>
      </c>
      <c r="AH706" s="28"/>
      <c r="AI706" s="28" t="s">
        <v>53</v>
      </c>
      <c r="AJ706" s="33">
        <v>37346</v>
      </c>
      <c r="AK706" s="28">
        <v>8</v>
      </c>
      <c r="AL706" s="28">
        <v>21</v>
      </c>
      <c r="AM706" s="21"/>
      <c r="AN706" s="27"/>
      <c r="AO706" s="27"/>
      <c r="AP706" s="27"/>
      <c r="AQ706" s="27"/>
    </row>
    <row r="707" spans="1:43" ht="15.75" customHeight="1">
      <c r="A707" s="28">
        <v>1</v>
      </c>
      <c r="B707" s="29" t="s">
        <v>5595</v>
      </c>
      <c r="C707" s="30"/>
      <c r="D707" s="31" t="s">
        <v>5596</v>
      </c>
      <c r="E707" s="30" t="s">
        <v>72</v>
      </c>
      <c r="F707" s="30" t="s">
        <v>50</v>
      </c>
      <c r="G707" s="30" t="s">
        <v>51</v>
      </c>
      <c r="H707" s="28" t="s">
        <v>85</v>
      </c>
      <c r="I707" s="30"/>
      <c r="J707" s="30" t="s">
        <v>53</v>
      </c>
      <c r="K707" s="30" t="s">
        <v>5597</v>
      </c>
      <c r="L707" s="30" t="s">
        <v>55</v>
      </c>
      <c r="M707" s="30" t="s">
        <v>5598</v>
      </c>
      <c r="N707" s="30" t="s">
        <v>5599</v>
      </c>
      <c r="O707" s="30" t="s">
        <v>5600</v>
      </c>
      <c r="P707" s="30" t="s">
        <v>5601</v>
      </c>
      <c r="Q707" s="28"/>
      <c r="R707" s="30" t="s">
        <v>5602</v>
      </c>
      <c r="S707" s="30" t="s">
        <v>53</v>
      </c>
      <c r="T707" s="30"/>
      <c r="U707" s="28" t="s">
        <v>5603</v>
      </c>
      <c r="V707" s="30" t="s">
        <v>63</v>
      </c>
      <c r="W707" s="30" t="s">
        <v>64</v>
      </c>
      <c r="X707" s="32">
        <v>43497</v>
      </c>
      <c r="Y707" s="32">
        <v>45261</v>
      </c>
      <c r="Z707" s="30" t="s">
        <v>65</v>
      </c>
      <c r="AA707" s="28" t="s">
        <v>66</v>
      </c>
      <c r="AB707" s="28" t="s">
        <v>67</v>
      </c>
      <c r="AC707" s="29"/>
      <c r="AD707" s="28">
        <v>0</v>
      </c>
      <c r="AE707" s="29"/>
      <c r="AF707" s="31"/>
      <c r="AG707" s="30" t="s">
        <v>5604</v>
      </c>
      <c r="AH707" s="28"/>
      <c r="AI707" s="28" t="s">
        <v>118</v>
      </c>
      <c r="AJ707" s="33">
        <v>36786</v>
      </c>
      <c r="AK707" s="28">
        <v>9</v>
      </c>
      <c r="AL707" s="28">
        <v>24</v>
      </c>
      <c r="AM707" s="21"/>
      <c r="AN707" s="27"/>
      <c r="AO707" s="27"/>
      <c r="AP707" s="27"/>
      <c r="AQ707" s="27"/>
    </row>
    <row r="708" spans="1:43" ht="15.75" customHeight="1">
      <c r="A708" s="28">
        <v>2</v>
      </c>
      <c r="B708" s="29" t="s">
        <v>5605</v>
      </c>
      <c r="C708" s="30"/>
      <c r="D708" s="31" t="s">
        <v>5606</v>
      </c>
      <c r="E708" s="30" t="s">
        <v>72</v>
      </c>
      <c r="F708" s="30" t="s">
        <v>50</v>
      </c>
      <c r="G708" s="30" t="s">
        <v>51</v>
      </c>
      <c r="H708" s="28" t="s">
        <v>85</v>
      </c>
      <c r="I708" s="30"/>
      <c r="J708" s="30" t="s">
        <v>53</v>
      </c>
      <c r="K708" s="30" t="s">
        <v>5597</v>
      </c>
      <c r="L708" s="30" t="s">
        <v>55</v>
      </c>
      <c r="M708" s="30" t="s">
        <v>5598</v>
      </c>
      <c r="N708" s="30" t="s">
        <v>5607</v>
      </c>
      <c r="O708" s="30" t="s">
        <v>5608</v>
      </c>
      <c r="P708" s="30" t="s">
        <v>5609</v>
      </c>
      <c r="Q708" s="28"/>
      <c r="R708" s="30" t="s">
        <v>5610</v>
      </c>
      <c r="S708" s="30" t="s">
        <v>53</v>
      </c>
      <c r="T708" s="30"/>
      <c r="U708" s="28" t="s">
        <v>255</v>
      </c>
      <c r="V708" s="30" t="s">
        <v>63</v>
      </c>
      <c r="W708" s="30" t="s">
        <v>64</v>
      </c>
      <c r="X708" s="32">
        <v>44256</v>
      </c>
      <c r="Y708" s="32">
        <v>45992</v>
      </c>
      <c r="Z708" s="30" t="s">
        <v>65</v>
      </c>
      <c r="AA708" s="28" t="s">
        <v>134</v>
      </c>
      <c r="AB708" s="28" t="s">
        <v>67</v>
      </c>
      <c r="AC708" s="29"/>
      <c r="AD708" s="28">
        <v>0</v>
      </c>
      <c r="AE708" s="29"/>
      <c r="AF708" s="31"/>
      <c r="AG708" s="30" t="s">
        <v>5604</v>
      </c>
      <c r="AH708" s="28"/>
      <c r="AI708" s="28" t="s">
        <v>53</v>
      </c>
      <c r="AJ708" s="33">
        <v>35158</v>
      </c>
      <c r="AK708" s="28">
        <v>6</v>
      </c>
      <c r="AL708" s="28">
        <v>23</v>
      </c>
      <c r="AM708" s="21"/>
      <c r="AN708" s="27"/>
      <c r="AO708" s="27"/>
      <c r="AP708" s="27"/>
      <c r="AQ708" s="27"/>
    </row>
    <row r="709" spans="1:43" ht="15.75" customHeight="1">
      <c r="A709" s="28">
        <v>3</v>
      </c>
      <c r="B709" s="29" t="s">
        <v>5611</v>
      </c>
      <c r="C709" s="30"/>
      <c r="D709" s="31" t="s">
        <v>5612</v>
      </c>
      <c r="E709" s="30" t="s">
        <v>49</v>
      </c>
      <c r="F709" s="30" t="s">
        <v>50</v>
      </c>
      <c r="G709" s="30" t="s">
        <v>51</v>
      </c>
      <c r="H709" s="28" t="s">
        <v>52</v>
      </c>
      <c r="I709" s="30"/>
      <c r="J709" s="30" t="s">
        <v>53</v>
      </c>
      <c r="K709" s="30" t="s">
        <v>5597</v>
      </c>
      <c r="L709" s="30" t="s">
        <v>55</v>
      </c>
      <c r="M709" s="30" t="s">
        <v>5598</v>
      </c>
      <c r="N709" s="30" t="s">
        <v>5613</v>
      </c>
      <c r="O709" s="30" t="s">
        <v>1776</v>
      </c>
      <c r="P709" s="30" t="s">
        <v>5614</v>
      </c>
      <c r="Q709" s="28"/>
      <c r="R709" s="30" t="s">
        <v>5615</v>
      </c>
      <c r="S709" s="30" t="s">
        <v>53</v>
      </c>
      <c r="T709" s="30"/>
      <c r="U709" s="28" t="s">
        <v>5616</v>
      </c>
      <c r="V709" s="30" t="s">
        <v>63</v>
      </c>
      <c r="W709" s="30" t="s">
        <v>64</v>
      </c>
      <c r="X709" s="32">
        <v>44409</v>
      </c>
      <c r="Y709" s="32">
        <v>45992</v>
      </c>
      <c r="Z709" s="30" t="s">
        <v>65</v>
      </c>
      <c r="AA709" s="28" t="s">
        <v>134</v>
      </c>
      <c r="AB709" s="28" t="s">
        <v>67</v>
      </c>
      <c r="AC709" s="29"/>
      <c r="AD709" s="28">
        <v>0</v>
      </c>
      <c r="AE709" s="29"/>
      <c r="AF709" s="31"/>
      <c r="AG709" s="30" t="s">
        <v>5604</v>
      </c>
      <c r="AH709" s="28"/>
      <c r="AI709" s="28" t="s">
        <v>53</v>
      </c>
      <c r="AJ709" s="33">
        <v>37636</v>
      </c>
      <c r="AK709" s="28">
        <v>6</v>
      </c>
      <c r="AL709" s="28">
        <v>22</v>
      </c>
      <c r="AM709" s="21"/>
      <c r="AN709" s="27"/>
      <c r="AO709" s="27"/>
      <c r="AP709" s="27"/>
      <c r="AQ709" s="27"/>
    </row>
    <row r="710" spans="1:43" ht="15.75" customHeight="1">
      <c r="A710" s="28">
        <v>4</v>
      </c>
      <c r="B710" s="29" t="s">
        <v>5617</v>
      </c>
      <c r="C710" s="30" t="s">
        <v>5618</v>
      </c>
      <c r="D710" s="31" t="s">
        <v>5619</v>
      </c>
      <c r="E710" s="30" t="s">
        <v>72</v>
      </c>
      <c r="F710" s="30" t="s">
        <v>50</v>
      </c>
      <c r="G710" s="30" t="s">
        <v>51</v>
      </c>
      <c r="H710" s="28" t="s">
        <v>85</v>
      </c>
      <c r="I710" s="30"/>
      <c r="J710" s="30" t="s">
        <v>53</v>
      </c>
      <c r="K710" s="30" t="s">
        <v>5597</v>
      </c>
      <c r="L710" s="30" t="s">
        <v>55</v>
      </c>
      <c r="M710" s="30" t="s">
        <v>5598</v>
      </c>
      <c r="N710" s="30" t="s">
        <v>5620</v>
      </c>
      <c r="O710" s="30" t="s">
        <v>5621</v>
      </c>
      <c r="P710" s="30" t="s">
        <v>5622</v>
      </c>
      <c r="Q710" s="28"/>
      <c r="R710" s="30" t="s">
        <v>5623</v>
      </c>
      <c r="S710" s="30" t="s">
        <v>53</v>
      </c>
      <c r="T710" s="30"/>
      <c r="U710" s="28" t="s">
        <v>3000</v>
      </c>
      <c r="V710" s="30" t="s">
        <v>63</v>
      </c>
      <c r="W710" s="30" t="s">
        <v>64</v>
      </c>
      <c r="X710" s="32">
        <v>43466</v>
      </c>
      <c r="Y710" s="32">
        <v>45444</v>
      </c>
      <c r="Z710" s="30" t="s">
        <v>65</v>
      </c>
      <c r="AA710" s="28" t="s">
        <v>134</v>
      </c>
      <c r="AB710" s="28" t="s">
        <v>67</v>
      </c>
      <c r="AC710" s="29"/>
      <c r="AD710" s="28">
        <v>0</v>
      </c>
      <c r="AE710" s="29"/>
      <c r="AF710" s="31"/>
      <c r="AG710" s="30" t="s">
        <v>5604</v>
      </c>
      <c r="AH710" s="28"/>
      <c r="AI710" s="28" t="s">
        <v>53</v>
      </c>
      <c r="AJ710" s="33">
        <v>36873</v>
      </c>
      <c r="AK710" s="28">
        <v>9</v>
      </c>
      <c r="AL710" s="28">
        <v>22</v>
      </c>
      <c r="AM710" s="21"/>
      <c r="AN710" s="27"/>
      <c r="AO710" s="27"/>
      <c r="AP710" s="27"/>
      <c r="AQ710" s="27"/>
    </row>
    <row r="711" spans="1:43" ht="15.75" customHeight="1">
      <c r="A711" s="28">
        <v>5</v>
      </c>
      <c r="B711" s="29" t="s">
        <v>5624</v>
      </c>
      <c r="C711" s="30" t="s">
        <v>5625</v>
      </c>
      <c r="D711" s="31" t="s">
        <v>5626</v>
      </c>
      <c r="E711" s="30" t="s">
        <v>49</v>
      </c>
      <c r="F711" s="30" t="s">
        <v>50</v>
      </c>
      <c r="G711" s="30" t="s">
        <v>51</v>
      </c>
      <c r="H711" s="28" t="s">
        <v>191</v>
      </c>
      <c r="I711" s="30"/>
      <c r="J711" s="30" t="s">
        <v>53</v>
      </c>
      <c r="K711" s="30" t="s">
        <v>5597</v>
      </c>
      <c r="L711" s="30" t="s">
        <v>55</v>
      </c>
      <c r="M711" s="30" t="s">
        <v>5598</v>
      </c>
      <c r="N711" s="30" t="s">
        <v>5627</v>
      </c>
      <c r="O711" s="30" t="s">
        <v>5628</v>
      </c>
      <c r="P711" s="30" t="s">
        <v>5629</v>
      </c>
      <c r="Q711" s="28" t="s">
        <v>5630</v>
      </c>
      <c r="R711" s="30" t="s">
        <v>5631</v>
      </c>
      <c r="S711" s="30" t="s">
        <v>53</v>
      </c>
      <c r="T711" s="30"/>
      <c r="U711" s="28" t="s">
        <v>255</v>
      </c>
      <c r="V711" s="30" t="s">
        <v>63</v>
      </c>
      <c r="W711" s="30" t="s">
        <v>64</v>
      </c>
      <c r="X711" s="32">
        <v>43678</v>
      </c>
      <c r="Y711" s="32">
        <v>45627</v>
      </c>
      <c r="Z711" s="30" t="s">
        <v>65</v>
      </c>
      <c r="AA711" s="28" t="s">
        <v>134</v>
      </c>
      <c r="AB711" s="28" t="s">
        <v>67</v>
      </c>
      <c r="AC711" s="29"/>
      <c r="AD711" s="28">
        <v>0</v>
      </c>
      <c r="AE711" s="29"/>
      <c r="AF711" s="31"/>
      <c r="AG711" s="30" t="s">
        <v>5604</v>
      </c>
      <c r="AH711" s="28" t="s">
        <v>431</v>
      </c>
      <c r="AI711" s="28" t="s">
        <v>53</v>
      </c>
      <c r="AJ711" s="33">
        <v>36880</v>
      </c>
      <c r="AK711" s="28">
        <v>9</v>
      </c>
      <c r="AL711" s="28">
        <v>21</v>
      </c>
      <c r="AM711" s="21"/>
      <c r="AN711" s="27"/>
      <c r="AO711" s="27"/>
      <c r="AP711" s="27"/>
      <c r="AQ711" s="27"/>
    </row>
    <row r="712" spans="1:43" ht="15.75" customHeight="1">
      <c r="A712" s="28">
        <v>6</v>
      </c>
      <c r="B712" s="29" t="s">
        <v>5632</v>
      </c>
      <c r="C712" s="30"/>
      <c r="D712" s="31" t="s">
        <v>5633</v>
      </c>
      <c r="E712" s="30" t="s">
        <v>72</v>
      </c>
      <c r="F712" s="30" t="s">
        <v>50</v>
      </c>
      <c r="G712" s="30" t="s">
        <v>51</v>
      </c>
      <c r="H712" s="28" t="s">
        <v>85</v>
      </c>
      <c r="I712" s="30"/>
      <c r="J712" s="30" t="s">
        <v>53</v>
      </c>
      <c r="K712" s="30" t="s">
        <v>5597</v>
      </c>
      <c r="L712" s="30" t="s">
        <v>55</v>
      </c>
      <c r="M712" s="30" t="s">
        <v>5598</v>
      </c>
      <c r="N712" s="30" t="s">
        <v>5634</v>
      </c>
      <c r="O712" s="30" t="s">
        <v>5635</v>
      </c>
      <c r="P712" s="30" t="s">
        <v>5636</v>
      </c>
      <c r="Q712" s="28"/>
      <c r="R712" s="30" t="s">
        <v>5637</v>
      </c>
      <c r="S712" s="30" t="s">
        <v>53</v>
      </c>
      <c r="T712" s="30"/>
      <c r="U712" s="28" t="s">
        <v>255</v>
      </c>
      <c r="V712" s="30" t="s">
        <v>63</v>
      </c>
      <c r="W712" s="30" t="s">
        <v>64</v>
      </c>
      <c r="X712" s="32">
        <v>44228</v>
      </c>
      <c r="Y712" s="32">
        <v>45992</v>
      </c>
      <c r="Z712" s="30" t="s">
        <v>65</v>
      </c>
      <c r="AA712" s="28" t="s">
        <v>134</v>
      </c>
      <c r="AB712" s="28" t="s">
        <v>67</v>
      </c>
      <c r="AC712" s="29"/>
      <c r="AD712" s="28">
        <v>0</v>
      </c>
      <c r="AE712" s="29"/>
      <c r="AF712" s="31"/>
      <c r="AG712" s="30" t="s">
        <v>5604</v>
      </c>
      <c r="AH712" s="28"/>
      <c r="AI712" s="28" t="s">
        <v>53</v>
      </c>
      <c r="AJ712" s="33">
        <v>33936</v>
      </c>
      <c r="AK712" s="28">
        <v>6</v>
      </c>
      <c r="AL712" s="28">
        <v>21</v>
      </c>
      <c r="AM712" s="21"/>
      <c r="AN712" s="27"/>
      <c r="AO712" s="27"/>
      <c r="AP712" s="27"/>
      <c r="AQ712" s="27"/>
    </row>
    <row r="713" spans="1:43" ht="15.75" customHeight="1">
      <c r="A713" s="28">
        <v>7</v>
      </c>
      <c r="B713" s="29" t="s">
        <v>5638</v>
      </c>
      <c r="C713" s="30"/>
      <c r="D713" s="31" t="s">
        <v>5639</v>
      </c>
      <c r="E713" s="30" t="s">
        <v>49</v>
      </c>
      <c r="F713" s="30" t="s">
        <v>50</v>
      </c>
      <c r="G713" s="30" t="s">
        <v>51</v>
      </c>
      <c r="H713" s="28" t="s">
        <v>85</v>
      </c>
      <c r="I713" s="30"/>
      <c r="J713" s="30" t="s">
        <v>53</v>
      </c>
      <c r="K713" s="30" t="s">
        <v>5597</v>
      </c>
      <c r="L713" s="30" t="s">
        <v>55</v>
      </c>
      <c r="M713" s="30" t="s">
        <v>5598</v>
      </c>
      <c r="N713" s="30" t="s">
        <v>5640</v>
      </c>
      <c r="O713" s="30" t="s">
        <v>5641</v>
      </c>
      <c r="P713" s="30" t="s">
        <v>5642</v>
      </c>
      <c r="Q713" s="28" t="s">
        <v>5643</v>
      </c>
      <c r="R713" s="30" t="s">
        <v>5644</v>
      </c>
      <c r="S713" s="30" t="s">
        <v>53</v>
      </c>
      <c r="T713" s="30"/>
      <c r="U713" s="28" t="s">
        <v>5645</v>
      </c>
      <c r="V713" s="30" t="s">
        <v>63</v>
      </c>
      <c r="W713" s="30" t="s">
        <v>64</v>
      </c>
      <c r="X713" s="32">
        <v>43313</v>
      </c>
      <c r="Y713" s="32">
        <v>45627</v>
      </c>
      <c r="Z713" s="30" t="s">
        <v>65</v>
      </c>
      <c r="AA713" s="28" t="s">
        <v>134</v>
      </c>
      <c r="AB713" s="28" t="s">
        <v>67</v>
      </c>
      <c r="AC713" s="29"/>
      <c r="AD713" s="28">
        <v>0</v>
      </c>
      <c r="AE713" s="29"/>
      <c r="AF713" s="31"/>
      <c r="AG713" s="30" t="s">
        <v>5604</v>
      </c>
      <c r="AH713" s="28"/>
      <c r="AI713" s="28" t="s">
        <v>53</v>
      </c>
      <c r="AJ713" s="33">
        <v>35338</v>
      </c>
      <c r="AK713" s="28">
        <v>9</v>
      </c>
      <c r="AL713" s="28">
        <v>20</v>
      </c>
      <c r="AM713" s="21"/>
      <c r="AN713" s="27"/>
      <c r="AO713" s="27"/>
      <c r="AP713" s="27"/>
      <c r="AQ713" s="27"/>
    </row>
    <row r="714" spans="1:43" ht="15" customHeight="1">
      <c r="A714" s="28">
        <v>8</v>
      </c>
      <c r="B714" s="29" t="s">
        <v>5646</v>
      </c>
      <c r="C714" s="30"/>
      <c r="D714" s="31" t="s">
        <v>5647</v>
      </c>
      <c r="E714" s="30" t="s">
        <v>72</v>
      </c>
      <c r="F714" s="30" t="s">
        <v>50</v>
      </c>
      <c r="G714" s="30" t="s">
        <v>51</v>
      </c>
      <c r="H714" s="28" t="s">
        <v>85</v>
      </c>
      <c r="I714" s="30"/>
      <c r="J714" s="30" t="s">
        <v>53</v>
      </c>
      <c r="K714" s="30" t="s">
        <v>5597</v>
      </c>
      <c r="L714" s="30" t="s">
        <v>55</v>
      </c>
      <c r="M714" s="30" t="s">
        <v>5598</v>
      </c>
      <c r="N714" s="30" t="s">
        <v>5648</v>
      </c>
      <c r="O714" s="30" t="s">
        <v>5628</v>
      </c>
      <c r="P714" s="30" t="s">
        <v>5649</v>
      </c>
      <c r="Q714" s="28"/>
      <c r="R714" s="30" t="s">
        <v>5650</v>
      </c>
      <c r="S714" s="30" t="s">
        <v>53</v>
      </c>
      <c r="T714" s="30"/>
      <c r="U714" s="28" t="s">
        <v>5651</v>
      </c>
      <c r="V714" s="30" t="s">
        <v>63</v>
      </c>
      <c r="W714" s="30" t="s">
        <v>64</v>
      </c>
      <c r="X714" s="32">
        <v>44652</v>
      </c>
      <c r="Y714" s="32">
        <v>46357</v>
      </c>
      <c r="Z714" s="30" t="s">
        <v>65</v>
      </c>
      <c r="AA714" s="28" t="s">
        <v>134</v>
      </c>
      <c r="AB714" s="28" t="s">
        <v>67</v>
      </c>
      <c r="AC714" s="29"/>
      <c r="AD714" s="28">
        <v>0</v>
      </c>
      <c r="AE714" s="29"/>
      <c r="AF714" s="31"/>
      <c r="AG714" s="30" t="s">
        <v>5604</v>
      </c>
      <c r="AH714" s="28"/>
      <c r="AI714" s="28" t="s">
        <v>53</v>
      </c>
      <c r="AJ714" s="33">
        <v>37669</v>
      </c>
      <c r="AK714" s="28">
        <v>5</v>
      </c>
      <c r="AL714" s="28">
        <v>20</v>
      </c>
      <c r="AM714" s="21"/>
      <c r="AN714" s="27"/>
      <c r="AO714" s="27"/>
      <c r="AP714" s="27"/>
      <c r="AQ714" s="27"/>
    </row>
    <row r="715" spans="1:43" ht="15.75" customHeight="1">
      <c r="A715" s="28">
        <v>9</v>
      </c>
      <c r="B715" s="29" t="s">
        <v>5652</v>
      </c>
      <c r="C715" s="30" t="s">
        <v>5653</v>
      </c>
      <c r="D715" s="31" t="s">
        <v>5654</v>
      </c>
      <c r="E715" s="30" t="s">
        <v>72</v>
      </c>
      <c r="F715" s="30" t="s">
        <v>50</v>
      </c>
      <c r="G715" s="30" t="s">
        <v>51</v>
      </c>
      <c r="H715" s="28" t="s">
        <v>85</v>
      </c>
      <c r="I715" s="30"/>
      <c r="J715" s="30" t="s">
        <v>53</v>
      </c>
      <c r="K715" s="30" t="s">
        <v>5597</v>
      </c>
      <c r="L715" s="30" t="s">
        <v>55</v>
      </c>
      <c r="M715" s="30" t="s">
        <v>5598</v>
      </c>
      <c r="N715" s="30" t="s">
        <v>5655</v>
      </c>
      <c r="O715" s="30" t="s">
        <v>5656</v>
      </c>
      <c r="P715" s="30" t="s">
        <v>5657</v>
      </c>
      <c r="Q715" s="28"/>
      <c r="R715" s="30" t="s">
        <v>5658</v>
      </c>
      <c r="S715" s="30" t="s">
        <v>53</v>
      </c>
      <c r="T715" s="30"/>
      <c r="U715" s="28" t="s">
        <v>255</v>
      </c>
      <c r="V715" s="30" t="s">
        <v>63</v>
      </c>
      <c r="W715" s="30" t="s">
        <v>64</v>
      </c>
      <c r="X715" s="32">
        <v>44652</v>
      </c>
      <c r="Y715" s="32">
        <v>46357</v>
      </c>
      <c r="Z715" s="30" t="s">
        <v>65</v>
      </c>
      <c r="AA715" s="28" t="s">
        <v>134</v>
      </c>
      <c r="AB715" s="28" t="s">
        <v>67</v>
      </c>
      <c r="AC715" s="29"/>
      <c r="AD715" s="28">
        <v>0</v>
      </c>
      <c r="AE715" s="29"/>
      <c r="AF715" s="31"/>
      <c r="AG715" s="30" t="s">
        <v>5604</v>
      </c>
      <c r="AH715" s="28"/>
      <c r="AI715" s="28" t="s">
        <v>53</v>
      </c>
      <c r="AJ715" s="33">
        <v>34494</v>
      </c>
      <c r="AK715" s="28">
        <v>5</v>
      </c>
      <c r="AL715" s="28">
        <v>19</v>
      </c>
      <c r="AM715" s="21"/>
      <c r="AN715" s="27"/>
      <c r="AO715" s="27"/>
      <c r="AP715" s="27"/>
      <c r="AQ715" s="27"/>
    </row>
    <row r="716" spans="1:43" ht="15.75" customHeight="1">
      <c r="A716" s="28">
        <v>10</v>
      </c>
      <c r="B716" s="29" t="s">
        <v>5659</v>
      </c>
      <c r="C716" s="30" t="s">
        <v>5660</v>
      </c>
      <c r="D716" s="31" t="s">
        <v>5661</v>
      </c>
      <c r="E716" s="30" t="s">
        <v>49</v>
      </c>
      <c r="F716" s="30" t="s">
        <v>84</v>
      </c>
      <c r="G716" s="30" t="s">
        <v>51</v>
      </c>
      <c r="H716" s="28" t="s">
        <v>52</v>
      </c>
      <c r="I716" s="30"/>
      <c r="J716" s="30" t="s">
        <v>53</v>
      </c>
      <c r="K716" s="30" t="s">
        <v>5597</v>
      </c>
      <c r="L716" s="30" t="s">
        <v>55</v>
      </c>
      <c r="M716" s="30" t="s">
        <v>5598</v>
      </c>
      <c r="N716" s="30" t="s">
        <v>5662</v>
      </c>
      <c r="O716" s="30" t="s">
        <v>2199</v>
      </c>
      <c r="P716" s="30" t="s">
        <v>5663</v>
      </c>
      <c r="Q716" s="28"/>
      <c r="R716" s="30" t="s">
        <v>5664</v>
      </c>
      <c r="S716" s="30" t="s">
        <v>53</v>
      </c>
      <c r="T716" s="30"/>
      <c r="U716" s="28" t="s">
        <v>557</v>
      </c>
      <c r="V716" s="30" t="s">
        <v>63</v>
      </c>
      <c r="W716" s="30" t="s">
        <v>64</v>
      </c>
      <c r="X716" s="32">
        <v>44562</v>
      </c>
      <c r="Y716" s="32">
        <v>46357</v>
      </c>
      <c r="Z716" s="30" t="s">
        <v>65</v>
      </c>
      <c r="AA716" s="28" t="s">
        <v>134</v>
      </c>
      <c r="AB716" s="28" t="s">
        <v>67</v>
      </c>
      <c r="AC716" s="29"/>
      <c r="AD716" s="28">
        <v>0</v>
      </c>
      <c r="AE716" s="29"/>
      <c r="AF716" s="31"/>
      <c r="AG716" s="30" t="s">
        <v>5604</v>
      </c>
      <c r="AH716" s="28"/>
      <c r="AI716" s="28" t="s">
        <v>53</v>
      </c>
      <c r="AJ716" s="33">
        <v>34970</v>
      </c>
      <c r="AK716" s="28">
        <v>5</v>
      </c>
      <c r="AL716" s="28">
        <v>19</v>
      </c>
      <c r="AM716" s="21"/>
      <c r="AN716" s="27"/>
      <c r="AO716" s="27"/>
      <c r="AP716" s="27"/>
      <c r="AQ716" s="27"/>
    </row>
    <row r="717" spans="1:43" ht="15.75" customHeight="1">
      <c r="A717" s="28">
        <v>11</v>
      </c>
      <c r="B717" s="29" t="s">
        <v>5665</v>
      </c>
      <c r="C717" s="30" t="s">
        <v>5666</v>
      </c>
      <c r="D717" s="31" t="s">
        <v>5667</v>
      </c>
      <c r="E717" s="30" t="s">
        <v>72</v>
      </c>
      <c r="F717" s="30" t="s">
        <v>50</v>
      </c>
      <c r="G717" s="30" t="s">
        <v>51</v>
      </c>
      <c r="H717" s="28" t="s">
        <v>85</v>
      </c>
      <c r="I717" s="30"/>
      <c r="J717" s="30" t="s">
        <v>53</v>
      </c>
      <c r="K717" s="30" t="s">
        <v>5668</v>
      </c>
      <c r="L717" s="30" t="s">
        <v>55</v>
      </c>
      <c r="M717" s="30" t="s">
        <v>5669</v>
      </c>
      <c r="N717" s="30" t="s">
        <v>5670</v>
      </c>
      <c r="O717" s="30" t="s">
        <v>58</v>
      </c>
      <c r="P717" s="30" t="s">
        <v>5671</v>
      </c>
      <c r="Q717" s="28"/>
      <c r="R717" s="30" t="s">
        <v>5672</v>
      </c>
      <c r="S717" s="30" t="s">
        <v>53</v>
      </c>
      <c r="T717" s="30"/>
      <c r="U717" s="28" t="s">
        <v>5673</v>
      </c>
      <c r="V717" s="30" t="s">
        <v>63</v>
      </c>
      <c r="W717" s="30" t="s">
        <v>64</v>
      </c>
      <c r="X717" s="32">
        <v>43497</v>
      </c>
      <c r="Y717" s="32">
        <v>45627</v>
      </c>
      <c r="Z717" s="30" t="s">
        <v>65</v>
      </c>
      <c r="AA717" s="28" t="s">
        <v>66</v>
      </c>
      <c r="AB717" s="28" t="s">
        <v>67</v>
      </c>
      <c r="AC717" s="29"/>
      <c r="AD717" s="28">
        <v>0</v>
      </c>
      <c r="AE717" s="29"/>
      <c r="AF717" s="31"/>
      <c r="AG717" s="30" t="s">
        <v>5604</v>
      </c>
      <c r="AH717" s="28"/>
      <c r="AI717" s="28" t="s">
        <v>118</v>
      </c>
      <c r="AJ717" s="33">
        <v>36458</v>
      </c>
      <c r="AK717" s="28">
        <v>9</v>
      </c>
      <c r="AL717" s="28">
        <v>18</v>
      </c>
      <c r="AM717" s="21"/>
      <c r="AN717" s="27"/>
      <c r="AO717" s="27"/>
      <c r="AP717" s="27"/>
      <c r="AQ717" s="27"/>
    </row>
    <row r="718" spans="1:43" ht="15.75" customHeight="1">
      <c r="A718" s="28">
        <v>12</v>
      </c>
      <c r="B718" s="29" t="s">
        <v>5674</v>
      </c>
      <c r="C718" s="30"/>
      <c r="D718" s="31" t="s">
        <v>5675</v>
      </c>
      <c r="E718" s="30" t="s">
        <v>72</v>
      </c>
      <c r="F718" s="30" t="s">
        <v>50</v>
      </c>
      <c r="G718" s="30" t="s">
        <v>51</v>
      </c>
      <c r="H718" s="28" t="s">
        <v>52</v>
      </c>
      <c r="I718" s="30"/>
      <c r="J718" s="30" t="s">
        <v>53</v>
      </c>
      <c r="K718" s="30" t="s">
        <v>5597</v>
      </c>
      <c r="L718" s="30" t="s">
        <v>55</v>
      </c>
      <c r="M718" s="30" t="s">
        <v>5598</v>
      </c>
      <c r="N718" s="30" t="s">
        <v>5676</v>
      </c>
      <c r="O718" s="30" t="s">
        <v>58</v>
      </c>
      <c r="P718" s="30" t="s">
        <v>5677</v>
      </c>
      <c r="Q718" s="28"/>
      <c r="R718" s="30" t="s">
        <v>5678</v>
      </c>
      <c r="S718" s="30" t="s">
        <v>53</v>
      </c>
      <c r="T718" s="30"/>
      <c r="U718" s="28" t="s">
        <v>5679</v>
      </c>
      <c r="V718" s="30" t="s">
        <v>63</v>
      </c>
      <c r="W718" s="30" t="s">
        <v>64</v>
      </c>
      <c r="X718" s="32">
        <v>44197</v>
      </c>
      <c r="Y718" s="32">
        <v>45992</v>
      </c>
      <c r="Z718" s="30" t="s">
        <v>65</v>
      </c>
      <c r="AA718" s="28" t="s">
        <v>66</v>
      </c>
      <c r="AB718" s="28" t="s">
        <v>67</v>
      </c>
      <c r="AC718" s="29"/>
      <c r="AD718" s="28">
        <v>0</v>
      </c>
      <c r="AE718" s="29"/>
      <c r="AF718" s="31"/>
      <c r="AG718" s="30" t="s">
        <v>5604</v>
      </c>
      <c r="AH718" s="28"/>
      <c r="AI718" s="28" t="s">
        <v>118</v>
      </c>
      <c r="AJ718" s="33">
        <v>37781</v>
      </c>
      <c r="AK718" s="28">
        <v>6</v>
      </c>
      <c r="AL718" s="28">
        <v>18</v>
      </c>
      <c r="AM718" s="21"/>
      <c r="AN718" s="27"/>
      <c r="AO718" s="27"/>
      <c r="AP718" s="27"/>
      <c r="AQ718" s="27"/>
    </row>
    <row r="719" spans="1:43" ht="15.75" customHeight="1">
      <c r="A719" s="28">
        <v>13</v>
      </c>
      <c r="B719" s="29" t="s">
        <v>5680</v>
      </c>
      <c r="C719" s="30"/>
      <c r="D719" s="31" t="s">
        <v>5681</v>
      </c>
      <c r="E719" s="30" t="s">
        <v>49</v>
      </c>
      <c r="F719" s="30" t="s">
        <v>50</v>
      </c>
      <c r="G719" s="30" t="s">
        <v>51</v>
      </c>
      <c r="H719" s="28" t="s">
        <v>52</v>
      </c>
      <c r="I719" s="30"/>
      <c r="J719" s="30" t="s">
        <v>53</v>
      </c>
      <c r="K719" s="30" t="s">
        <v>5597</v>
      </c>
      <c r="L719" s="30" t="s">
        <v>55</v>
      </c>
      <c r="M719" s="30" t="s">
        <v>5598</v>
      </c>
      <c r="N719" s="30" t="s">
        <v>5682</v>
      </c>
      <c r="O719" s="30" t="s">
        <v>5683</v>
      </c>
      <c r="P719" s="30" t="s">
        <v>5684</v>
      </c>
      <c r="Q719" s="28" t="s">
        <v>5685</v>
      </c>
      <c r="R719" s="30" t="s">
        <v>5686</v>
      </c>
      <c r="S719" s="30" t="s">
        <v>53</v>
      </c>
      <c r="T719" s="30"/>
      <c r="U719" s="28" t="s">
        <v>5687</v>
      </c>
      <c r="V719" s="30" t="s">
        <v>63</v>
      </c>
      <c r="W719" s="30" t="s">
        <v>64</v>
      </c>
      <c r="X719" s="32">
        <v>43678</v>
      </c>
      <c r="Y719" s="32">
        <v>45444</v>
      </c>
      <c r="Z719" s="30" t="s">
        <v>65</v>
      </c>
      <c r="AA719" s="28" t="s">
        <v>134</v>
      </c>
      <c r="AB719" s="28" t="s">
        <v>67</v>
      </c>
      <c r="AC719" s="29"/>
      <c r="AD719" s="28">
        <v>0</v>
      </c>
      <c r="AE719" s="29"/>
      <c r="AF719" s="31"/>
      <c r="AG719" s="30" t="s">
        <v>5604</v>
      </c>
      <c r="AH719" s="28"/>
      <c r="AI719" s="28" t="s">
        <v>53</v>
      </c>
      <c r="AJ719" s="33">
        <v>35866</v>
      </c>
      <c r="AK719" s="28">
        <v>9</v>
      </c>
      <c r="AL719" s="28">
        <v>16</v>
      </c>
      <c r="AM719" s="21"/>
      <c r="AN719" s="27"/>
      <c r="AO719" s="27"/>
      <c r="AP719" s="27"/>
      <c r="AQ719" s="27"/>
    </row>
    <row r="720" spans="1:43" ht="15.75" customHeight="1">
      <c r="A720" s="28">
        <v>14</v>
      </c>
      <c r="B720" s="29" t="s">
        <v>5688</v>
      </c>
      <c r="C720" s="30"/>
      <c r="D720" s="31" t="s">
        <v>5689</v>
      </c>
      <c r="E720" s="30" t="s">
        <v>72</v>
      </c>
      <c r="F720" s="30" t="s">
        <v>50</v>
      </c>
      <c r="G720" s="30" t="s">
        <v>51</v>
      </c>
      <c r="H720" s="28" t="s">
        <v>85</v>
      </c>
      <c r="I720" s="30"/>
      <c r="J720" s="30" t="s">
        <v>53</v>
      </c>
      <c r="K720" s="30" t="s">
        <v>5597</v>
      </c>
      <c r="L720" s="30" t="s">
        <v>55</v>
      </c>
      <c r="M720" s="30" t="s">
        <v>5598</v>
      </c>
      <c r="N720" s="30" t="s">
        <v>5690</v>
      </c>
      <c r="O720" s="30" t="s">
        <v>5691</v>
      </c>
      <c r="P720" s="30" t="s">
        <v>5692</v>
      </c>
      <c r="Q720" s="28"/>
      <c r="R720" s="30" t="s">
        <v>5693</v>
      </c>
      <c r="S720" s="30" t="s">
        <v>53</v>
      </c>
      <c r="T720" s="30"/>
      <c r="U720" s="28" t="s">
        <v>255</v>
      </c>
      <c r="V720" s="30" t="s">
        <v>63</v>
      </c>
      <c r="W720" s="30" t="s">
        <v>64</v>
      </c>
      <c r="X720" s="32">
        <v>43891</v>
      </c>
      <c r="Y720" s="32">
        <v>45627</v>
      </c>
      <c r="Z720" s="30" t="s">
        <v>65</v>
      </c>
      <c r="AA720" s="28" t="s">
        <v>134</v>
      </c>
      <c r="AB720" s="28" t="s">
        <v>67</v>
      </c>
      <c r="AC720" s="29"/>
      <c r="AD720" s="28">
        <v>0</v>
      </c>
      <c r="AE720" s="29"/>
      <c r="AF720" s="31"/>
      <c r="AG720" s="30" t="s">
        <v>5604</v>
      </c>
      <c r="AH720" s="28"/>
      <c r="AI720" s="28" t="s">
        <v>53</v>
      </c>
      <c r="AJ720" s="33">
        <v>36775</v>
      </c>
      <c r="AK720" s="28">
        <v>8</v>
      </c>
      <c r="AL720" s="28">
        <v>16</v>
      </c>
      <c r="AM720" s="21"/>
      <c r="AN720" s="27"/>
      <c r="AO720" s="27"/>
      <c r="AP720" s="27"/>
      <c r="AQ720" s="27"/>
    </row>
    <row r="721" spans="1:43" ht="15.75" customHeight="1">
      <c r="A721" s="28">
        <v>15</v>
      </c>
      <c r="B721" s="29" t="s">
        <v>5694</v>
      </c>
      <c r="C721" s="30"/>
      <c r="D721" s="31" t="s">
        <v>5695</v>
      </c>
      <c r="E721" s="30" t="s">
        <v>72</v>
      </c>
      <c r="F721" s="30" t="s">
        <v>50</v>
      </c>
      <c r="G721" s="30" t="s">
        <v>51</v>
      </c>
      <c r="H721" s="28" t="s">
        <v>85</v>
      </c>
      <c r="I721" s="30"/>
      <c r="J721" s="30" t="s">
        <v>53</v>
      </c>
      <c r="K721" s="30" t="s">
        <v>5597</v>
      </c>
      <c r="L721" s="30" t="s">
        <v>55</v>
      </c>
      <c r="M721" s="30" t="s">
        <v>5598</v>
      </c>
      <c r="N721" s="30" t="s">
        <v>5696</v>
      </c>
      <c r="O721" s="30" t="s">
        <v>5628</v>
      </c>
      <c r="P721" s="30" t="s">
        <v>5697</v>
      </c>
      <c r="Q721" s="28"/>
      <c r="R721" s="30" t="s">
        <v>5698</v>
      </c>
      <c r="S721" s="30" t="s">
        <v>53</v>
      </c>
      <c r="T721" s="30"/>
      <c r="U721" s="28" t="s">
        <v>5673</v>
      </c>
      <c r="V721" s="30" t="s">
        <v>63</v>
      </c>
      <c r="W721" s="30" t="s">
        <v>64</v>
      </c>
      <c r="X721" s="32">
        <v>44562</v>
      </c>
      <c r="Y721" s="32">
        <v>46357</v>
      </c>
      <c r="Z721" s="30" t="s">
        <v>65</v>
      </c>
      <c r="AA721" s="28" t="s">
        <v>66</v>
      </c>
      <c r="AB721" s="28" t="s">
        <v>67</v>
      </c>
      <c r="AC721" s="29"/>
      <c r="AD721" s="28">
        <v>0</v>
      </c>
      <c r="AE721" s="29"/>
      <c r="AF721" s="31"/>
      <c r="AG721" s="30" t="s">
        <v>5604</v>
      </c>
      <c r="AH721" s="28"/>
      <c r="AI721" s="28" t="s">
        <v>118</v>
      </c>
      <c r="AJ721" s="33">
        <v>37476</v>
      </c>
      <c r="AK721" s="28">
        <v>5</v>
      </c>
      <c r="AL721" s="28">
        <v>16</v>
      </c>
      <c r="AM721" s="21"/>
      <c r="AN721" s="27"/>
      <c r="AO721" s="27"/>
      <c r="AP721" s="27"/>
      <c r="AQ721" s="27"/>
    </row>
    <row r="722" spans="1:43" ht="15.75" customHeight="1">
      <c r="A722" s="28">
        <v>16</v>
      </c>
      <c r="B722" s="29" t="s">
        <v>5699</v>
      </c>
      <c r="C722" s="30"/>
      <c r="D722" s="31" t="s">
        <v>5700</v>
      </c>
      <c r="E722" s="30" t="s">
        <v>72</v>
      </c>
      <c r="F722" s="30" t="s">
        <v>50</v>
      </c>
      <c r="G722" s="30" t="s">
        <v>51</v>
      </c>
      <c r="H722" s="28" t="s">
        <v>85</v>
      </c>
      <c r="I722" s="30"/>
      <c r="J722" s="30" t="s">
        <v>53</v>
      </c>
      <c r="K722" s="30" t="s">
        <v>5597</v>
      </c>
      <c r="L722" s="30" t="s">
        <v>55</v>
      </c>
      <c r="M722" s="30" t="s">
        <v>5598</v>
      </c>
      <c r="N722" s="30" t="s">
        <v>5701</v>
      </c>
      <c r="O722" s="30" t="s">
        <v>2199</v>
      </c>
      <c r="P722" s="30" t="s">
        <v>5702</v>
      </c>
      <c r="Q722" s="28"/>
      <c r="R722" s="30" t="s">
        <v>5703</v>
      </c>
      <c r="S722" s="30" t="s">
        <v>53</v>
      </c>
      <c r="T722" s="30"/>
      <c r="U722" s="28" t="s">
        <v>255</v>
      </c>
      <c r="V722" s="30" t="s">
        <v>63</v>
      </c>
      <c r="W722" s="30" t="s">
        <v>64</v>
      </c>
      <c r="X722" s="32">
        <v>44197</v>
      </c>
      <c r="Y722" s="32">
        <v>45992</v>
      </c>
      <c r="Z722" s="30" t="s">
        <v>65</v>
      </c>
      <c r="AA722" s="28" t="s">
        <v>134</v>
      </c>
      <c r="AB722" s="28" t="s">
        <v>67</v>
      </c>
      <c r="AC722" s="29"/>
      <c r="AD722" s="28">
        <v>0</v>
      </c>
      <c r="AE722" s="29"/>
      <c r="AF722" s="31"/>
      <c r="AG722" s="30" t="s">
        <v>5604</v>
      </c>
      <c r="AH722" s="28"/>
      <c r="AI722" s="28" t="s">
        <v>53</v>
      </c>
      <c r="AJ722" s="33">
        <v>32052</v>
      </c>
      <c r="AK722" s="28">
        <v>6</v>
      </c>
      <c r="AL722" s="28">
        <v>15</v>
      </c>
      <c r="AM722" s="21"/>
      <c r="AN722" s="27"/>
      <c r="AO722" s="27"/>
      <c r="AP722" s="27"/>
      <c r="AQ722" s="27"/>
    </row>
    <row r="723" spans="1:43" ht="15.75" customHeight="1">
      <c r="A723" s="28">
        <v>17</v>
      </c>
      <c r="B723" s="29" t="s">
        <v>5704</v>
      </c>
      <c r="C723" s="30"/>
      <c r="D723" s="31" t="s">
        <v>5705</v>
      </c>
      <c r="E723" s="30" t="s">
        <v>72</v>
      </c>
      <c r="F723" s="30" t="s">
        <v>84</v>
      </c>
      <c r="G723" s="30" t="s">
        <v>51</v>
      </c>
      <c r="H723" s="28" t="s">
        <v>85</v>
      </c>
      <c r="I723" s="30"/>
      <c r="J723" s="30" t="s">
        <v>53</v>
      </c>
      <c r="K723" s="30" t="s">
        <v>5597</v>
      </c>
      <c r="L723" s="30" t="s">
        <v>55</v>
      </c>
      <c r="M723" s="30" t="s">
        <v>5598</v>
      </c>
      <c r="N723" s="30" t="s">
        <v>5706</v>
      </c>
      <c r="O723" s="30" t="s">
        <v>5683</v>
      </c>
      <c r="P723" s="30" t="s">
        <v>5707</v>
      </c>
      <c r="Q723" s="28"/>
      <c r="R723" s="30" t="s">
        <v>5708</v>
      </c>
      <c r="S723" s="30" t="s">
        <v>53</v>
      </c>
      <c r="T723" s="30"/>
      <c r="U723" s="28" t="s">
        <v>5679</v>
      </c>
      <c r="V723" s="30" t="s">
        <v>63</v>
      </c>
      <c r="W723" s="30" t="s">
        <v>64</v>
      </c>
      <c r="X723" s="32">
        <v>44562</v>
      </c>
      <c r="Y723" s="32">
        <v>46357</v>
      </c>
      <c r="Z723" s="30" t="s">
        <v>65</v>
      </c>
      <c r="AA723" s="28" t="s">
        <v>66</v>
      </c>
      <c r="AB723" s="28" t="s">
        <v>67</v>
      </c>
      <c r="AC723" s="29"/>
      <c r="AD723" s="28">
        <v>0</v>
      </c>
      <c r="AE723" s="29"/>
      <c r="AF723" s="31"/>
      <c r="AG723" s="30" t="s">
        <v>5604</v>
      </c>
      <c r="AH723" s="28"/>
      <c r="AI723" s="28" t="s">
        <v>118</v>
      </c>
      <c r="AJ723" s="33">
        <v>34816</v>
      </c>
      <c r="AK723" s="28">
        <v>5</v>
      </c>
      <c r="AL723" s="28">
        <v>15</v>
      </c>
      <c r="AM723" s="21"/>
      <c r="AN723" s="27"/>
      <c r="AO723" s="27"/>
      <c r="AP723" s="27"/>
      <c r="AQ723" s="27"/>
    </row>
    <row r="724" spans="1:43" ht="15.75" customHeight="1">
      <c r="A724" s="28">
        <v>18</v>
      </c>
      <c r="B724" s="29" t="s">
        <v>5709</v>
      </c>
      <c r="C724" s="30"/>
      <c r="D724" s="31" t="s">
        <v>5710</v>
      </c>
      <c r="E724" s="30" t="s">
        <v>72</v>
      </c>
      <c r="F724" s="30" t="s">
        <v>50</v>
      </c>
      <c r="G724" s="30" t="s">
        <v>51</v>
      </c>
      <c r="H724" s="28" t="s">
        <v>52</v>
      </c>
      <c r="I724" s="30"/>
      <c r="J724" s="30" t="s">
        <v>53</v>
      </c>
      <c r="K724" s="30" t="s">
        <v>5597</v>
      </c>
      <c r="L724" s="30" t="s">
        <v>55</v>
      </c>
      <c r="M724" s="30" t="s">
        <v>5598</v>
      </c>
      <c r="N724" s="30" t="s">
        <v>5711</v>
      </c>
      <c r="O724" s="30" t="s">
        <v>4746</v>
      </c>
      <c r="P724" s="30" t="s">
        <v>5712</v>
      </c>
      <c r="Q724" s="28"/>
      <c r="R724" s="30" t="s">
        <v>5713</v>
      </c>
      <c r="S724" s="30" t="s">
        <v>53</v>
      </c>
      <c r="T724" s="30"/>
      <c r="U724" s="28" t="s">
        <v>557</v>
      </c>
      <c r="V724" s="30" t="s">
        <v>63</v>
      </c>
      <c r="W724" s="30" t="s">
        <v>64</v>
      </c>
      <c r="X724" s="32">
        <v>43831</v>
      </c>
      <c r="Y724" s="32">
        <v>45658</v>
      </c>
      <c r="Z724" s="30" t="s">
        <v>65</v>
      </c>
      <c r="AA724" s="28" t="s">
        <v>134</v>
      </c>
      <c r="AB724" s="28" t="s">
        <v>67</v>
      </c>
      <c r="AC724" s="29"/>
      <c r="AD724" s="28">
        <v>0</v>
      </c>
      <c r="AE724" s="29"/>
      <c r="AF724" s="31"/>
      <c r="AG724" s="30" t="s">
        <v>5604</v>
      </c>
      <c r="AH724" s="28"/>
      <c r="AI724" s="28" t="s">
        <v>53</v>
      </c>
      <c r="AJ724" s="33">
        <v>37299</v>
      </c>
      <c r="AK724" s="28">
        <v>8</v>
      </c>
      <c r="AL724" s="28">
        <v>15</v>
      </c>
      <c r="AM724" s="21"/>
      <c r="AN724" s="27"/>
      <c r="AO724" s="27"/>
      <c r="AP724" s="27"/>
      <c r="AQ724" s="27"/>
    </row>
    <row r="725" spans="1:43" ht="15.75" customHeight="1">
      <c r="A725" s="28">
        <v>1</v>
      </c>
      <c r="B725" s="29" t="s">
        <v>5714</v>
      </c>
      <c r="C725" s="30" t="s">
        <v>5715</v>
      </c>
      <c r="D725" s="31" t="s">
        <v>5716</v>
      </c>
      <c r="E725" s="30" t="s">
        <v>72</v>
      </c>
      <c r="F725" s="30" t="s">
        <v>84</v>
      </c>
      <c r="G725" s="30" t="s">
        <v>51</v>
      </c>
      <c r="H725" s="28" t="s">
        <v>52</v>
      </c>
      <c r="I725" s="30"/>
      <c r="J725" s="30" t="s">
        <v>53</v>
      </c>
      <c r="K725" s="30" t="s">
        <v>5717</v>
      </c>
      <c r="L725" s="30" t="s">
        <v>55</v>
      </c>
      <c r="M725" s="30" t="s">
        <v>1430</v>
      </c>
      <c r="N725" s="30" t="s">
        <v>5718</v>
      </c>
      <c r="O725" s="30" t="s">
        <v>1432</v>
      </c>
      <c r="P725" s="30" t="s">
        <v>5719</v>
      </c>
      <c r="Q725" s="28"/>
      <c r="R725" s="30" t="s">
        <v>5720</v>
      </c>
      <c r="S725" s="30" t="s">
        <v>53</v>
      </c>
      <c r="T725" s="30"/>
      <c r="U725" s="28" t="s">
        <v>5721</v>
      </c>
      <c r="V725" s="30" t="s">
        <v>63</v>
      </c>
      <c r="W725" s="30" t="s">
        <v>64</v>
      </c>
      <c r="X725" s="32">
        <v>43831</v>
      </c>
      <c r="Y725" s="32">
        <v>45627</v>
      </c>
      <c r="Z725" s="30" t="s">
        <v>65</v>
      </c>
      <c r="AA725" s="28" t="s">
        <v>66</v>
      </c>
      <c r="AB725" s="28" t="s">
        <v>67</v>
      </c>
      <c r="AC725" s="29"/>
      <c r="AD725" s="28">
        <v>0</v>
      </c>
      <c r="AE725" s="29"/>
      <c r="AF725" s="31"/>
      <c r="AG725" s="30" t="s">
        <v>5722</v>
      </c>
      <c r="AH725" s="28"/>
      <c r="AI725" s="28" t="s">
        <v>53</v>
      </c>
      <c r="AJ725" s="33">
        <v>33575</v>
      </c>
      <c r="AK725" s="28">
        <v>8</v>
      </c>
      <c r="AL725" s="28">
        <v>22</v>
      </c>
      <c r="AM725" s="21"/>
      <c r="AN725" s="27"/>
      <c r="AO725" s="27"/>
      <c r="AP725" s="27"/>
      <c r="AQ725" s="27"/>
    </row>
    <row r="726" spans="1:43" ht="15.75" customHeight="1">
      <c r="A726" s="28">
        <v>2</v>
      </c>
      <c r="B726" s="29" t="s">
        <v>5723</v>
      </c>
      <c r="C726" s="30" t="s">
        <v>5724</v>
      </c>
      <c r="D726" s="31" t="s">
        <v>5725</v>
      </c>
      <c r="E726" s="30" t="s">
        <v>72</v>
      </c>
      <c r="F726" s="30" t="s">
        <v>50</v>
      </c>
      <c r="G726" s="30" t="s">
        <v>51</v>
      </c>
      <c r="H726" s="28" t="s">
        <v>52</v>
      </c>
      <c r="I726" s="30"/>
      <c r="J726" s="30" t="s">
        <v>53</v>
      </c>
      <c r="K726" s="30" t="s">
        <v>5726</v>
      </c>
      <c r="L726" s="30" t="s">
        <v>55</v>
      </c>
      <c r="M726" s="30" t="s">
        <v>1430</v>
      </c>
      <c r="N726" s="30" t="s">
        <v>5727</v>
      </c>
      <c r="O726" s="30" t="s">
        <v>1432</v>
      </c>
      <c r="P726" s="30" t="s">
        <v>5728</v>
      </c>
      <c r="Q726" s="28"/>
      <c r="R726" s="30" t="s">
        <v>5729</v>
      </c>
      <c r="S726" s="30" t="s">
        <v>53</v>
      </c>
      <c r="T726" s="30"/>
      <c r="U726" s="28" t="s">
        <v>5730</v>
      </c>
      <c r="V726" s="30" t="s">
        <v>63</v>
      </c>
      <c r="W726" s="30" t="s">
        <v>64</v>
      </c>
      <c r="X726" s="32">
        <v>44409</v>
      </c>
      <c r="Y726" s="32">
        <v>46235</v>
      </c>
      <c r="Z726" s="30" t="s">
        <v>65</v>
      </c>
      <c r="AA726" s="28" t="s">
        <v>134</v>
      </c>
      <c r="AB726" s="28" t="s">
        <v>67</v>
      </c>
      <c r="AC726" s="29"/>
      <c r="AD726" s="28">
        <v>0</v>
      </c>
      <c r="AE726" s="29"/>
      <c r="AF726" s="31"/>
      <c r="AG726" s="30" t="s">
        <v>5722</v>
      </c>
      <c r="AH726" s="28"/>
      <c r="AI726" s="28" t="s">
        <v>53</v>
      </c>
      <c r="AJ726" s="33">
        <v>36986</v>
      </c>
      <c r="AK726" s="28">
        <v>5</v>
      </c>
      <c r="AL726" s="28">
        <v>20</v>
      </c>
      <c r="AM726" s="21"/>
      <c r="AN726" s="27"/>
      <c r="AO726" s="27"/>
      <c r="AP726" s="27"/>
      <c r="AQ726" s="27"/>
    </row>
    <row r="727" spans="1:43" ht="15.75" customHeight="1">
      <c r="A727" s="28">
        <v>3</v>
      </c>
      <c r="B727" s="29" t="s">
        <v>5731</v>
      </c>
      <c r="C727" s="30" t="s">
        <v>5732</v>
      </c>
      <c r="D727" s="31" t="s">
        <v>5733</v>
      </c>
      <c r="E727" s="30" t="s">
        <v>72</v>
      </c>
      <c r="F727" s="30" t="s">
        <v>50</v>
      </c>
      <c r="G727" s="30" t="s">
        <v>51</v>
      </c>
      <c r="H727" s="28" t="s">
        <v>52</v>
      </c>
      <c r="I727" s="30"/>
      <c r="J727" s="30" t="s">
        <v>53</v>
      </c>
      <c r="K727" s="30" t="s">
        <v>5734</v>
      </c>
      <c r="L727" s="30" t="s">
        <v>55</v>
      </c>
      <c r="M727" s="30" t="s">
        <v>1430</v>
      </c>
      <c r="N727" s="30" t="s">
        <v>5735</v>
      </c>
      <c r="O727" s="30" t="s">
        <v>1470</v>
      </c>
      <c r="P727" s="30" t="s">
        <v>5736</v>
      </c>
      <c r="Q727" s="28"/>
      <c r="R727" s="30" t="s">
        <v>5737</v>
      </c>
      <c r="S727" s="30" t="s">
        <v>53</v>
      </c>
      <c r="T727" s="30"/>
      <c r="U727" s="28" t="s">
        <v>5738</v>
      </c>
      <c r="V727" s="30" t="s">
        <v>63</v>
      </c>
      <c r="W727" s="30" t="s">
        <v>64</v>
      </c>
      <c r="X727" s="32">
        <v>44986</v>
      </c>
      <c r="Y727" s="32">
        <v>46722</v>
      </c>
      <c r="Z727" s="30" t="s">
        <v>65</v>
      </c>
      <c r="AA727" s="28" t="s">
        <v>134</v>
      </c>
      <c r="AB727" s="28" t="s">
        <v>67</v>
      </c>
      <c r="AC727" s="29"/>
      <c r="AD727" s="28">
        <v>0</v>
      </c>
      <c r="AE727" s="29"/>
      <c r="AF727" s="31"/>
      <c r="AG727" s="30" t="s">
        <v>5722</v>
      </c>
      <c r="AH727" s="28"/>
      <c r="AI727" s="28" t="s">
        <v>53</v>
      </c>
      <c r="AJ727" s="33">
        <v>38136</v>
      </c>
      <c r="AK727" s="28">
        <v>5</v>
      </c>
      <c r="AL727" s="28">
        <v>19</v>
      </c>
      <c r="AM727" s="21"/>
      <c r="AN727" s="27"/>
      <c r="AO727" s="27"/>
      <c r="AP727" s="27"/>
      <c r="AQ727" s="27"/>
    </row>
    <row r="728" spans="1:43" ht="15.75" customHeight="1">
      <c r="A728" s="28">
        <v>4</v>
      </c>
      <c r="B728" s="29" t="s">
        <v>5739</v>
      </c>
      <c r="C728" s="30" t="s">
        <v>5740</v>
      </c>
      <c r="D728" s="31" t="s">
        <v>5741</v>
      </c>
      <c r="E728" s="30" t="s">
        <v>49</v>
      </c>
      <c r="F728" s="30" t="s">
        <v>50</v>
      </c>
      <c r="G728" s="30" t="s">
        <v>51</v>
      </c>
      <c r="H728" s="28" t="s">
        <v>191</v>
      </c>
      <c r="I728" s="30"/>
      <c r="J728" s="30" t="s">
        <v>53</v>
      </c>
      <c r="K728" s="30" t="s">
        <v>5742</v>
      </c>
      <c r="L728" s="30" t="s">
        <v>112</v>
      </c>
      <c r="M728" s="30" t="s">
        <v>113</v>
      </c>
      <c r="N728" s="30" t="s">
        <v>5743</v>
      </c>
      <c r="O728" s="30" t="s">
        <v>5744</v>
      </c>
      <c r="P728" s="30" t="s">
        <v>5745</v>
      </c>
      <c r="Q728" s="28" t="s">
        <v>5746</v>
      </c>
      <c r="R728" s="30" t="s">
        <v>5747</v>
      </c>
      <c r="S728" s="30" t="s">
        <v>53</v>
      </c>
      <c r="T728" s="30"/>
      <c r="U728" s="28" t="s">
        <v>5748</v>
      </c>
      <c r="V728" s="30" t="s">
        <v>63</v>
      </c>
      <c r="W728" s="30" t="s">
        <v>64</v>
      </c>
      <c r="X728" s="32">
        <v>44197</v>
      </c>
      <c r="Y728" s="32">
        <v>46357</v>
      </c>
      <c r="Z728" s="30" t="s">
        <v>65</v>
      </c>
      <c r="AA728" s="28" t="s">
        <v>66</v>
      </c>
      <c r="AB728" s="28" t="s">
        <v>67</v>
      </c>
      <c r="AC728" s="29"/>
      <c r="AD728" s="28">
        <v>0</v>
      </c>
      <c r="AE728" s="29"/>
      <c r="AF728" s="31"/>
      <c r="AG728" s="30" t="s">
        <v>5722</v>
      </c>
      <c r="AH728" s="28"/>
      <c r="AI728" s="28" t="s">
        <v>53</v>
      </c>
      <c r="AJ728" s="33">
        <v>36190</v>
      </c>
      <c r="AK728" s="28">
        <v>5</v>
      </c>
      <c r="AL728" s="28">
        <v>17</v>
      </c>
      <c r="AM728" s="21"/>
      <c r="AN728" s="27"/>
      <c r="AO728" s="27"/>
      <c r="AP728" s="27"/>
      <c r="AQ728" s="27"/>
    </row>
    <row r="729" spans="1:43" ht="15.75" customHeight="1">
      <c r="A729" s="28">
        <v>1</v>
      </c>
      <c r="B729" s="29" t="s">
        <v>5749</v>
      </c>
      <c r="C729" s="30"/>
      <c r="D729" s="31" t="s">
        <v>5750</v>
      </c>
      <c r="E729" s="30" t="s">
        <v>72</v>
      </c>
      <c r="F729" s="30" t="s">
        <v>616</v>
      </c>
      <c r="G729" s="30" t="s">
        <v>51</v>
      </c>
      <c r="H729" s="28" t="s">
        <v>85</v>
      </c>
      <c r="I729" s="30"/>
      <c r="J729" s="30" t="s">
        <v>53</v>
      </c>
      <c r="K729" s="30" t="s">
        <v>5751</v>
      </c>
      <c r="L729" s="30" t="s">
        <v>55</v>
      </c>
      <c r="M729" s="30" t="s">
        <v>5752</v>
      </c>
      <c r="N729" s="30" t="s">
        <v>5753</v>
      </c>
      <c r="O729" s="30" t="s">
        <v>5754</v>
      </c>
      <c r="P729" s="30" t="s">
        <v>5755</v>
      </c>
      <c r="Q729" s="28"/>
      <c r="R729" s="30" t="s">
        <v>5756</v>
      </c>
      <c r="S729" s="30" t="s">
        <v>53</v>
      </c>
      <c r="T729" s="30"/>
      <c r="U729" s="28" t="s">
        <v>2437</v>
      </c>
      <c r="V729" s="30" t="s">
        <v>63</v>
      </c>
      <c r="W729" s="30" t="s">
        <v>64</v>
      </c>
      <c r="X729" s="32">
        <v>44378</v>
      </c>
      <c r="Y729" s="32">
        <v>46174</v>
      </c>
      <c r="Z729" s="30" t="s">
        <v>65</v>
      </c>
      <c r="AA729" s="28" t="s">
        <v>66</v>
      </c>
      <c r="AB729" s="28" t="s">
        <v>67</v>
      </c>
      <c r="AC729" s="29"/>
      <c r="AD729" s="28">
        <v>0</v>
      </c>
      <c r="AE729" s="29"/>
      <c r="AF729" s="31"/>
      <c r="AG729" s="30" t="s">
        <v>5757</v>
      </c>
      <c r="AH729" s="28"/>
      <c r="AI729" s="28" t="s">
        <v>118</v>
      </c>
      <c r="AJ729" s="33">
        <v>27933</v>
      </c>
      <c r="AK729" s="28">
        <v>5</v>
      </c>
      <c r="AL729" s="28">
        <v>27</v>
      </c>
      <c r="AM729" s="21"/>
      <c r="AN729" s="27"/>
      <c r="AO729" s="27"/>
      <c r="AP729" s="27"/>
      <c r="AQ729" s="27"/>
    </row>
    <row r="730" spans="1:43" ht="15.75" customHeight="1">
      <c r="A730" s="28">
        <v>2</v>
      </c>
      <c r="B730" s="29" t="s">
        <v>5758</v>
      </c>
      <c r="C730" s="30"/>
      <c r="D730" s="31" t="s">
        <v>5759</v>
      </c>
      <c r="E730" s="30" t="s">
        <v>72</v>
      </c>
      <c r="F730" s="30" t="s">
        <v>50</v>
      </c>
      <c r="G730" s="30" t="s">
        <v>51</v>
      </c>
      <c r="H730" s="28" t="s">
        <v>85</v>
      </c>
      <c r="I730" s="30"/>
      <c r="J730" s="30" t="s">
        <v>53</v>
      </c>
      <c r="K730" s="30" t="s">
        <v>5751</v>
      </c>
      <c r="L730" s="30" t="s">
        <v>55</v>
      </c>
      <c r="M730" s="30" t="s">
        <v>5752</v>
      </c>
      <c r="N730" s="30" t="s">
        <v>5760</v>
      </c>
      <c r="O730" s="30" t="s">
        <v>5761</v>
      </c>
      <c r="P730" s="30" t="s">
        <v>5762</v>
      </c>
      <c r="Q730" s="28"/>
      <c r="R730" s="30" t="s">
        <v>5763</v>
      </c>
      <c r="S730" s="30" t="s">
        <v>53</v>
      </c>
      <c r="T730" s="30"/>
      <c r="U730" s="28" t="s">
        <v>896</v>
      </c>
      <c r="V730" s="30" t="s">
        <v>63</v>
      </c>
      <c r="W730" s="30" t="s">
        <v>64</v>
      </c>
      <c r="X730" s="32">
        <v>44927</v>
      </c>
      <c r="Y730" s="32">
        <v>46722</v>
      </c>
      <c r="Z730" s="30" t="s">
        <v>65</v>
      </c>
      <c r="AA730" s="28" t="s">
        <v>66</v>
      </c>
      <c r="AB730" s="28" t="s">
        <v>67</v>
      </c>
      <c r="AC730" s="29"/>
      <c r="AD730" s="28">
        <v>0</v>
      </c>
      <c r="AE730" s="29"/>
      <c r="AF730" s="31"/>
      <c r="AG730" s="30" t="s">
        <v>5757</v>
      </c>
      <c r="AH730" s="28"/>
      <c r="AI730" s="28" t="s">
        <v>53</v>
      </c>
      <c r="AJ730" s="33">
        <v>38359</v>
      </c>
      <c r="AK730" s="28">
        <v>5</v>
      </c>
      <c r="AL730" s="28">
        <v>24</v>
      </c>
      <c r="AM730" s="21"/>
      <c r="AN730" s="27"/>
      <c r="AO730" s="27"/>
      <c r="AP730" s="27"/>
      <c r="AQ730" s="27"/>
    </row>
    <row r="731" spans="1:43" ht="15.75" customHeight="1">
      <c r="A731" s="28">
        <v>3</v>
      </c>
      <c r="B731" s="29" t="s">
        <v>5764</v>
      </c>
      <c r="C731" s="30"/>
      <c r="D731" s="31" t="s">
        <v>5765</v>
      </c>
      <c r="E731" s="30" t="s">
        <v>72</v>
      </c>
      <c r="F731" s="30" t="s">
        <v>50</v>
      </c>
      <c r="G731" s="30" t="s">
        <v>51</v>
      </c>
      <c r="H731" s="28" t="s">
        <v>85</v>
      </c>
      <c r="I731" s="30"/>
      <c r="J731" s="30" t="s">
        <v>53</v>
      </c>
      <c r="K731" s="30" t="s">
        <v>5751</v>
      </c>
      <c r="L731" s="30" t="s">
        <v>55</v>
      </c>
      <c r="M731" s="30" t="s">
        <v>5752</v>
      </c>
      <c r="N731" s="30" t="s">
        <v>5766</v>
      </c>
      <c r="O731" s="30" t="s">
        <v>5767</v>
      </c>
      <c r="P731" s="30" t="s">
        <v>5768</v>
      </c>
      <c r="Q731" s="28" t="s">
        <v>5769</v>
      </c>
      <c r="R731" s="30" t="s">
        <v>5770</v>
      </c>
      <c r="S731" s="30" t="s">
        <v>53</v>
      </c>
      <c r="T731" s="30"/>
      <c r="U731" s="28" t="s">
        <v>896</v>
      </c>
      <c r="V731" s="30" t="s">
        <v>63</v>
      </c>
      <c r="W731" s="30" t="s">
        <v>64</v>
      </c>
      <c r="X731" s="32">
        <v>43831</v>
      </c>
      <c r="Y731" s="32">
        <v>45627</v>
      </c>
      <c r="Z731" s="30" t="s">
        <v>65</v>
      </c>
      <c r="AA731" s="28" t="s">
        <v>66</v>
      </c>
      <c r="AB731" s="28" t="s">
        <v>67</v>
      </c>
      <c r="AC731" s="29"/>
      <c r="AD731" s="28">
        <v>0</v>
      </c>
      <c r="AE731" s="29"/>
      <c r="AF731" s="31"/>
      <c r="AG731" s="30" t="s">
        <v>5757</v>
      </c>
      <c r="AH731" s="28"/>
      <c r="AI731" s="28" t="s">
        <v>53</v>
      </c>
      <c r="AJ731" s="33">
        <v>37307</v>
      </c>
      <c r="AK731" s="28">
        <v>8</v>
      </c>
      <c r="AL731" s="28">
        <v>15</v>
      </c>
      <c r="AM731" s="21"/>
      <c r="AN731" s="27"/>
      <c r="AO731" s="27"/>
      <c r="AP731" s="27"/>
      <c r="AQ731" s="27"/>
    </row>
    <row r="732" spans="1:43" ht="15.75" customHeight="1">
      <c r="A732" s="28">
        <v>1</v>
      </c>
      <c r="B732" s="29" t="s">
        <v>5771</v>
      </c>
      <c r="C732" s="30" t="s">
        <v>5772</v>
      </c>
      <c r="D732" s="31" t="s">
        <v>5773</v>
      </c>
      <c r="E732" s="30" t="s">
        <v>72</v>
      </c>
      <c r="F732" s="30" t="s">
        <v>50</v>
      </c>
      <c r="G732" s="30" t="s">
        <v>51</v>
      </c>
      <c r="H732" s="28" t="s">
        <v>85</v>
      </c>
      <c r="I732" s="30"/>
      <c r="J732" s="30" t="s">
        <v>53</v>
      </c>
      <c r="K732" s="30" t="s">
        <v>5774</v>
      </c>
      <c r="L732" s="30" t="s">
        <v>55</v>
      </c>
      <c r="M732" s="30" t="s">
        <v>5775</v>
      </c>
      <c r="N732" s="30" t="s">
        <v>5776</v>
      </c>
      <c r="O732" s="30" t="s">
        <v>5777</v>
      </c>
      <c r="P732" s="30" t="s">
        <v>5778</v>
      </c>
      <c r="Q732" s="28"/>
      <c r="R732" s="30" t="s">
        <v>5779</v>
      </c>
      <c r="S732" s="30" t="s">
        <v>53</v>
      </c>
      <c r="T732" s="30"/>
      <c r="U732" s="28" t="s">
        <v>5780</v>
      </c>
      <c r="V732" s="30" t="s">
        <v>63</v>
      </c>
      <c r="W732" s="30" t="s">
        <v>64</v>
      </c>
      <c r="X732" s="32">
        <v>44228</v>
      </c>
      <c r="Y732" s="32">
        <v>45992</v>
      </c>
      <c r="Z732" s="30" t="s">
        <v>65</v>
      </c>
      <c r="AA732" s="28" t="s">
        <v>66</v>
      </c>
      <c r="AB732" s="28" t="s">
        <v>67</v>
      </c>
      <c r="AC732" s="29"/>
      <c r="AD732" s="28">
        <v>0</v>
      </c>
      <c r="AE732" s="29"/>
      <c r="AF732" s="31"/>
      <c r="AG732" s="30" t="s">
        <v>5781</v>
      </c>
      <c r="AH732" s="28"/>
      <c r="AI732" s="28" t="s">
        <v>53</v>
      </c>
      <c r="AJ732" s="33">
        <v>37459</v>
      </c>
      <c r="AK732" s="28">
        <v>6</v>
      </c>
      <c r="AL732" s="28">
        <v>26</v>
      </c>
      <c r="AM732" s="21"/>
      <c r="AN732" s="27"/>
      <c r="AO732" s="27"/>
      <c r="AP732" s="27"/>
      <c r="AQ732" s="27"/>
    </row>
    <row r="733" spans="1:43" ht="15.75" customHeight="1">
      <c r="A733" s="28">
        <v>2</v>
      </c>
      <c r="B733" s="29" t="s">
        <v>5782</v>
      </c>
      <c r="C733" s="30"/>
      <c r="D733" s="31" t="s">
        <v>5783</v>
      </c>
      <c r="E733" s="30" t="s">
        <v>49</v>
      </c>
      <c r="F733" s="30" t="s">
        <v>50</v>
      </c>
      <c r="G733" s="30" t="s">
        <v>51</v>
      </c>
      <c r="H733" s="28" t="s">
        <v>85</v>
      </c>
      <c r="I733" s="30"/>
      <c r="J733" s="30" t="s">
        <v>53</v>
      </c>
      <c r="K733" s="30" t="s">
        <v>5774</v>
      </c>
      <c r="L733" s="30" t="s">
        <v>55</v>
      </c>
      <c r="M733" s="30" t="s">
        <v>5775</v>
      </c>
      <c r="N733" s="30" t="s">
        <v>5784</v>
      </c>
      <c r="O733" s="30" t="s">
        <v>5785</v>
      </c>
      <c r="P733" s="30" t="s">
        <v>5786</v>
      </c>
      <c r="Q733" s="28"/>
      <c r="R733" s="30" t="s">
        <v>5787</v>
      </c>
      <c r="S733" s="30" t="s">
        <v>53</v>
      </c>
      <c r="T733" s="30"/>
      <c r="U733" s="28" t="s">
        <v>5788</v>
      </c>
      <c r="V733" s="30" t="s">
        <v>63</v>
      </c>
      <c r="W733" s="30" t="s">
        <v>64</v>
      </c>
      <c r="X733" s="32">
        <v>43466</v>
      </c>
      <c r="Y733" s="32">
        <v>45627</v>
      </c>
      <c r="Z733" s="30" t="s">
        <v>65</v>
      </c>
      <c r="AA733" s="28" t="s">
        <v>134</v>
      </c>
      <c r="AB733" s="28" t="s">
        <v>67</v>
      </c>
      <c r="AC733" s="29"/>
      <c r="AD733" s="28">
        <v>0</v>
      </c>
      <c r="AE733" s="29"/>
      <c r="AF733" s="31"/>
      <c r="AG733" s="30" t="s">
        <v>5781</v>
      </c>
      <c r="AH733" s="28"/>
      <c r="AI733" s="28" t="s">
        <v>53</v>
      </c>
      <c r="AJ733" s="33">
        <v>37028</v>
      </c>
      <c r="AK733" s="28">
        <v>8</v>
      </c>
      <c r="AL733" s="28">
        <v>19</v>
      </c>
      <c r="AM733" s="21"/>
      <c r="AN733" s="27"/>
      <c r="AO733" s="27"/>
      <c r="AP733" s="27"/>
      <c r="AQ733" s="27"/>
    </row>
    <row r="734" spans="1:43" ht="15.75" customHeight="1">
      <c r="A734" s="28">
        <v>3</v>
      </c>
      <c r="B734" s="29" t="s">
        <v>5789</v>
      </c>
      <c r="C734" s="30"/>
      <c r="D734" s="31" t="s">
        <v>5790</v>
      </c>
      <c r="E734" s="30" t="s">
        <v>72</v>
      </c>
      <c r="F734" s="30" t="s">
        <v>50</v>
      </c>
      <c r="G734" s="30" t="s">
        <v>51</v>
      </c>
      <c r="H734" s="28" t="s">
        <v>52</v>
      </c>
      <c r="I734" s="30"/>
      <c r="J734" s="30" t="s">
        <v>53</v>
      </c>
      <c r="K734" s="30" t="s">
        <v>5774</v>
      </c>
      <c r="L734" s="30" t="s">
        <v>55</v>
      </c>
      <c r="M734" s="30" t="s">
        <v>5775</v>
      </c>
      <c r="N734" s="30" t="s">
        <v>5791</v>
      </c>
      <c r="O734" s="30" t="s">
        <v>58</v>
      </c>
      <c r="P734" s="30" t="s">
        <v>5792</v>
      </c>
      <c r="Q734" s="28" t="s">
        <v>5793</v>
      </c>
      <c r="R734" s="30" t="s">
        <v>5794</v>
      </c>
      <c r="S734" s="30" t="s">
        <v>53</v>
      </c>
      <c r="T734" s="30"/>
      <c r="U734" s="28" t="s">
        <v>5795</v>
      </c>
      <c r="V734" s="30" t="s">
        <v>63</v>
      </c>
      <c r="W734" s="30" t="s">
        <v>64</v>
      </c>
      <c r="X734" s="32">
        <v>44562</v>
      </c>
      <c r="Y734" s="32">
        <v>46357</v>
      </c>
      <c r="Z734" s="30" t="s">
        <v>65</v>
      </c>
      <c r="AA734" s="28" t="s">
        <v>66</v>
      </c>
      <c r="AB734" s="28" t="s">
        <v>67</v>
      </c>
      <c r="AC734" s="29"/>
      <c r="AD734" s="28">
        <v>0</v>
      </c>
      <c r="AE734" s="29"/>
      <c r="AF734" s="31"/>
      <c r="AG734" s="30" t="s">
        <v>5781</v>
      </c>
      <c r="AH734" s="28"/>
      <c r="AI734" s="28" t="s">
        <v>53</v>
      </c>
      <c r="AJ734" s="33">
        <v>37473</v>
      </c>
      <c r="AK734" s="28">
        <v>5</v>
      </c>
      <c r="AL734" s="28">
        <v>17</v>
      </c>
      <c r="AM734" s="21"/>
      <c r="AN734" s="27"/>
      <c r="AO734" s="27"/>
      <c r="AP734" s="27"/>
      <c r="AQ734" s="27"/>
    </row>
    <row r="735" spans="1:43" ht="15.75" customHeight="1">
      <c r="A735" s="28">
        <v>4</v>
      </c>
      <c r="B735" s="29" t="s">
        <v>5796</v>
      </c>
      <c r="C735" s="30" t="s">
        <v>5797</v>
      </c>
      <c r="D735" s="31" t="s">
        <v>5798</v>
      </c>
      <c r="E735" s="30" t="s">
        <v>72</v>
      </c>
      <c r="F735" s="30" t="s">
        <v>84</v>
      </c>
      <c r="G735" s="30" t="s">
        <v>51</v>
      </c>
      <c r="H735" s="28" t="s">
        <v>52</v>
      </c>
      <c r="I735" s="30"/>
      <c r="J735" s="30" t="s">
        <v>53</v>
      </c>
      <c r="K735" s="30" t="s">
        <v>5774</v>
      </c>
      <c r="L735" s="30" t="s">
        <v>55</v>
      </c>
      <c r="M735" s="30" t="s">
        <v>5775</v>
      </c>
      <c r="N735" s="30" t="s">
        <v>5799</v>
      </c>
      <c r="O735" s="30" t="s">
        <v>5800</v>
      </c>
      <c r="P735" s="30" t="s">
        <v>5801</v>
      </c>
      <c r="Q735" s="28"/>
      <c r="R735" s="30" t="s">
        <v>5802</v>
      </c>
      <c r="S735" s="30" t="s">
        <v>53</v>
      </c>
      <c r="T735" s="30"/>
      <c r="U735" s="28" t="s">
        <v>5803</v>
      </c>
      <c r="V735" s="30" t="s">
        <v>63</v>
      </c>
      <c r="W735" s="30" t="s">
        <v>64</v>
      </c>
      <c r="X735" s="32">
        <v>43678</v>
      </c>
      <c r="Y735" s="32">
        <v>45261</v>
      </c>
      <c r="Z735" s="30" t="s">
        <v>65</v>
      </c>
      <c r="AA735" s="28" t="s">
        <v>66</v>
      </c>
      <c r="AB735" s="28" t="s">
        <v>67</v>
      </c>
      <c r="AC735" s="29"/>
      <c r="AD735" s="28">
        <v>0</v>
      </c>
      <c r="AE735" s="29"/>
      <c r="AF735" s="31"/>
      <c r="AG735" s="30" t="s">
        <v>5781</v>
      </c>
      <c r="AH735" s="28"/>
      <c r="AI735" s="28" t="s">
        <v>53</v>
      </c>
      <c r="AJ735" s="33">
        <v>36570</v>
      </c>
      <c r="AK735" s="28">
        <v>9</v>
      </c>
      <c r="AL735" s="28">
        <v>16</v>
      </c>
      <c r="AM735" s="21"/>
      <c r="AN735" s="27"/>
      <c r="AO735" s="27"/>
      <c r="AP735" s="27"/>
      <c r="AQ735" s="27"/>
    </row>
    <row r="736" spans="1:43" ht="15.75" customHeight="1">
      <c r="A736" s="28">
        <v>5</v>
      </c>
      <c r="B736" s="29" t="s">
        <v>5804</v>
      </c>
      <c r="C736" s="30"/>
      <c r="D736" s="31" t="s">
        <v>5805</v>
      </c>
      <c r="E736" s="30" t="s">
        <v>72</v>
      </c>
      <c r="F736" s="30" t="s">
        <v>50</v>
      </c>
      <c r="G736" s="30" t="s">
        <v>51</v>
      </c>
      <c r="H736" s="28" t="s">
        <v>85</v>
      </c>
      <c r="I736" s="30"/>
      <c r="J736" s="30" t="s">
        <v>53</v>
      </c>
      <c r="K736" s="30" t="s">
        <v>5774</v>
      </c>
      <c r="L736" s="30" t="s">
        <v>55</v>
      </c>
      <c r="M736" s="30" t="s">
        <v>5775</v>
      </c>
      <c r="N736" s="30" t="s">
        <v>5806</v>
      </c>
      <c r="O736" s="30" t="s">
        <v>5807</v>
      </c>
      <c r="P736" s="30" t="s">
        <v>5808</v>
      </c>
      <c r="Q736" s="28" t="s">
        <v>5809</v>
      </c>
      <c r="R736" s="30" t="s">
        <v>5809</v>
      </c>
      <c r="S736" s="30" t="s">
        <v>53</v>
      </c>
      <c r="T736" s="30"/>
      <c r="U736" s="28" t="s">
        <v>5810</v>
      </c>
      <c r="V736" s="30" t="s">
        <v>63</v>
      </c>
      <c r="W736" s="30" t="s">
        <v>64</v>
      </c>
      <c r="X736" s="32">
        <v>44409</v>
      </c>
      <c r="Y736" s="32">
        <v>46235</v>
      </c>
      <c r="Z736" s="30" t="s">
        <v>65</v>
      </c>
      <c r="AA736" s="28" t="s">
        <v>66</v>
      </c>
      <c r="AB736" s="28" t="s">
        <v>67</v>
      </c>
      <c r="AC736" s="29"/>
      <c r="AD736" s="28">
        <v>0</v>
      </c>
      <c r="AE736" s="29"/>
      <c r="AF736" s="31"/>
      <c r="AG736" s="30" t="s">
        <v>5781</v>
      </c>
      <c r="AH736" s="28"/>
      <c r="AI736" s="28" t="s">
        <v>118</v>
      </c>
      <c r="AJ736" s="33">
        <v>37499</v>
      </c>
      <c r="AK736" s="28">
        <v>5</v>
      </c>
      <c r="AL736" s="28">
        <v>15</v>
      </c>
      <c r="AM736" s="21"/>
      <c r="AN736" s="27"/>
      <c r="AO736" s="27"/>
      <c r="AP736" s="27"/>
      <c r="AQ736" s="27"/>
    </row>
    <row r="737" spans="1:43" ht="15.75" customHeight="1">
      <c r="A737" s="28">
        <v>1</v>
      </c>
      <c r="B737" s="29" t="s">
        <v>5811</v>
      </c>
      <c r="C737" s="30" t="s">
        <v>5812</v>
      </c>
      <c r="D737" s="31" t="s">
        <v>5813</v>
      </c>
      <c r="E737" s="30" t="s">
        <v>72</v>
      </c>
      <c r="F737" s="30" t="s">
        <v>50</v>
      </c>
      <c r="G737" s="30" t="s">
        <v>51</v>
      </c>
      <c r="H737" s="28" t="s">
        <v>52</v>
      </c>
      <c r="I737" s="30"/>
      <c r="J737" s="30" t="s">
        <v>53</v>
      </c>
      <c r="K737" s="30" t="s">
        <v>5814</v>
      </c>
      <c r="L737" s="30" t="s">
        <v>55</v>
      </c>
      <c r="M737" s="30" t="s">
        <v>5815</v>
      </c>
      <c r="N737" s="30" t="s">
        <v>5816</v>
      </c>
      <c r="O737" s="30" t="s">
        <v>5817</v>
      </c>
      <c r="P737" s="30" t="s">
        <v>5818</v>
      </c>
      <c r="Q737" s="28" t="s">
        <v>5819</v>
      </c>
      <c r="R737" s="30" t="s">
        <v>5820</v>
      </c>
      <c r="S737" s="30" t="s">
        <v>53</v>
      </c>
      <c r="T737" s="30"/>
      <c r="U737" s="28" t="s">
        <v>5821</v>
      </c>
      <c r="V737" s="30" t="s">
        <v>63</v>
      </c>
      <c r="W737" s="30" t="s">
        <v>64</v>
      </c>
      <c r="X737" s="32">
        <v>44197</v>
      </c>
      <c r="Y737" s="32">
        <v>45992</v>
      </c>
      <c r="Z737" s="30" t="s">
        <v>65</v>
      </c>
      <c r="AA737" s="28" t="s">
        <v>66</v>
      </c>
      <c r="AB737" s="28" t="s">
        <v>67</v>
      </c>
      <c r="AC737" s="29"/>
      <c r="AD737" s="28">
        <v>0</v>
      </c>
      <c r="AE737" s="29"/>
      <c r="AF737" s="31"/>
      <c r="AG737" s="30" t="s">
        <v>5822</v>
      </c>
      <c r="AH737" s="28"/>
      <c r="AI737" s="28" t="s">
        <v>118</v>
      </c>
      <c r="AJ737" s="33">
        <v>37666</v>
      </c>
      <c r="AK737" s="28">
        <v>6</v>
      </c>
      <c r="AL737" s="28">
        <v>23</v>
      </c>
      <c r="AM737" s="21"/>
      <c r="AN737" s="27"/>
      <c r="AO737" s="27"/>
      <c r="AP737" s="27"/>
      <c r="AQ737" s="27"/>
    </row>
    <row r="738" spans="1:43" ht="15.75" customHeight="1">
      <c r="A738" s="28">
        <v>2</v>
      </c>
      <c r="B738" s="29" t="s">
        <v>5823</v>
      </c>
      <c r="C738" s="30" t="s">
        <v>5824</v>
      </c>
      <c r="D738" s="31" t="s">
        <v>5825</v>
      </c>
      <c r="E738" s="30" t="s">
        <v>72</v>
      </c>
      <c r="F738" s="30" t="s">
        <v>50</v>
      </c>
      <c r="G738" s="30" t="s">
        <v>51</v>
      </c>
      <c r="H738" s="28" t="s">
        <v>85</v>
      </c>
      <c r="I738" s="30"/>
      <c r="J738" s="30" t="s">
        <v>53</v>
      </c>
      <c r="K738" s="30" t="s">
        <v>5826</v>
      </c>
      <c r="L738" s="30" t="s">
        <v>55</v>
      </c>
      <c r="M738" s="30" t="s">
        <v>5827</v>
      </c>
      <c r="N738" s="30" t="s">
        <v>5828</v>
      </c>
      <c r="O738" s="30" t="s">
        <v>58</v>
      </c>
      <c r="P738" s="30" t="s">
        <v>5829</v>
      </c>
      <c r="Q738" s="28"/>
      <c r="R738" s="30" t="s">
        <v>5830</v>
      </c>
      <c r="S738" s="30" t="s">
        <v>53</v>
      </c>
      <c r="T738" s="30"/>
      <c r="U738" s="28" t="s">
        <v>5821</v>
      </c>
      <c r="V738" s="30" t="s">
        <v>63</v>
      </c>
      <c r="W738" s="30" t="s">
        <v>64</v>
      </c>
      <c r="X738" s="32">
        <v>44562</v>
      </c>
      <c r="Y738" s="32">
        <v>46357</v>
      </c>
      <c r="Z738" s="30" t="s">
        <v>65</v>
      </c>
      <c r="AA738" s="28" t="s">
        <v>67</v>
      </c>
      <c r="AB738" s="28" t="s">
        <v>67</v>
      </c>
      <c r="AC738" s="29"/>
      <c r="AD738" s="28">
        <v>0</v>
      </c>
      <c r="AE738" s="29"/>
      <c r="AF738" s="31"/>
      <c r="AG738" s="30" t="s">
        <v>5822</v>
      </c>
      <c r="AH738" s="28"/>
      <c r="AI738" s="28" t="s">
        <v>53</v>
      </c>
      <c r="AJ738" s="33">
        <v>37901</v>
      </c>
      <c r="AK738" s="28">
        <v>5</v>
      </c>
      <c r="AL738" s="28">
        <v>23</v>
      </c>
      <c r="AM738" s="21"/>
      <c r="AN738" s="27"/>
      <c r="AO738" s="27"/>
      <c r="AP738" s="27"/>
      <c r="AQ738" s="27"/>
    </row>
    <row r="739" spans="1:43" ht="15.75" customHeight="1">
      <c r="A739" s="28">
        <v>3</v>
      </c>
      <c r="B739" s="29" t="s">
        <v>5831</v>
      </c>
      <c r="C739" s="30"/>
      <c r="D739" s="31" t="s">
        <v>5832</v>
      </c>
      <c r="E739" s="30" t="s">
        <v>72</v>
      </c>
      <c r="F739" s="30" t="s">
        <v>50</v>
      </c>
      <c r="G739" s="30" t="s">
        <v>51</v>
      </c>
      <c r="H739" s="28" t="s">
        <v>52</v>
      </c>
      <c r="I739" s="30"/>
      <c r="J739" s="30" t="s">
        <v>53</v>
      </c>
      <c r="K739" s="30" t="s">
        <v>5833</v>
      </c>
      <c r="L739" s="30" t="s">
        <v>55</v>
      </c>
      <c r="M739" s="30" t="s">
        <v>5834</v>
      </c>
      <c r="N739" s="30" t="s">
        <v>5835</v>
      </c>
      <c r="O739" s="30" t="s">
        <v>5836</v>
      </c>
      <c r="P739" s="30" t="s">
        <v>5837</v>
      </c>
      <c r="Q739" s="28"/>
      <c r="R739" s="30" t="s">
        <v>5838</v>
      </c>
      <c r="S739" s="30" t="s">
        <v>118</v>
      </c>
      <c r="T739" s="30" t="s">
        <v>5839</v>
      </c>
      <c r="U739" s="28" t="s">
        <v>5840</v>
      </c>
      <c r="V739" s="30" t="s">
        <v>63</v>
      </c>
      <c r="W739" s="30" t="s">
        <v>64</v>
      </c>
      <c r="X739" s="32">
        <v>44562</v>
      </c>
      <c r="Y739" s="32">
        <v>46722</v>
      </c>
      <c r="Z739" s="30" t="s">
        <v>65</v>
      </c>
      <c r="AA739" s="28" t="s">
        <v>66</v>
      </c>
      <c r="AB739" s="28" t="s">
        <v>67</v>
      </c>
      <c r="AC739" s="29"/>
      <c r="AD739" s="28">
        <v>0</v>
      </c>
      <c r="AE739" s="29"/>
      <c r="AF739" s="31"/>
      <c r="AG739" s="30" t="s">
        <v>5822</v>
      </c>
      <c r="AH739" s="28"/>
      <c r="AI739" s="28" t="s">
        <v>53</v>
      </c>
      <c r="AJ739" s="33">
        <v>37725</v>
      </c>
      <c r="AK739" s="28">
        <v>5</v>
      </c>
      <c r="AL739" s="28">
        <v>16</v>
      </c>
      <c r="AM739" s="21"/>
      <c r="AN739" s="27"/>
      <c r="AO739" s="27"/>
      <c r="AP739" s="27"/>
      <c r="AQ739" s="27"/>
    </row>
    <row r="740" spans="1:43" ht="15.75" customHeight="1">
      <c r="A740" s="28">
        <v>4</v>
      </c>
      <c r="B740" s="29" t="s">
        <v>5841</v>
      </c>
      <c r="C740" s="30" t="s">
        <v>5842</v>
      </c>
      <c r="D740" s="31" t="s">
        <v>5843</v>
      </c>
      <c r="E740" s="30" t="s">
        <v>72</v>
      </c>
      <c r="F740" s="30" t="s">
        <v>50</v>
      </c>
      <c r="G740" s="30" t="s">
        <v>51</v>
      </c>
      <c r="H740" s="28" t="s">
        <v>85</v>
      </c>
      <c r="I740" s="30"/>
      <c r="J740" s="30" t="s">
        <v>53</v>
      </c>
      <c r="K740" s="30" t="s">
        <v>5833</v>
      </c>
      <c r="L740" s="30" t="s">
        <v>55</v>
      </c>
      <c r="M740" s="30" t="s">
        <v>5834</v>
      </c>
      <c r="N740" s="30" t="s">
        <v>5844</v>
      </c>
      <c r="O740" s="30" t="s">
        <v>5836</v>
      </c>
      <c r="P740" s="30" t="s">
        <v>5845</v>
      </c>
      <c r="Q740" s="28"/>
      <c r="R740" s="30" t="s">
        <v>5846</v>
      </c>
      <c r="S740" s="30" t="s">
        <v>53</v>
      </c>
      <c r="T740" s="30"/>
      <c r="U740" s="28" t="s">
        <v>5847</v>
      </c>
      <c r="V740" s="30" t="s">
        <v>63</v>
      </c>
      <c r="W740" s="30" t="s">
        <v>64</v>
      </c>
      <c r="X740" s="32">
        <v>43466</v>
      </c>
      <c r="Y740" s="32">
        <v>45627</v>
      </c>
      <c r="Z740" s="30" t="s">
        <v>65</v>
      </c>
      <c r="AA740" s="28" t="s">
        <v>66</v>
      </c>
      <c r="AB740" s="28" t="s">
        <v>67</v>
      </c>
      <c r="AC740" s="29"/>
      <c r="AD740" s="28">
        <v>0</v>
      </c>
      <c r="AE740" s="29"/>
      <c r="AF740" s="31"/>
      <c r="AG740" s="30" t="s">
        <v>5822</v>
      </c>
      <c r="AH740" s="28"/>
      <c r="AI740" s="28" t="s">
        <v>118</v>
      </c>
      <c r="AJ740" s="33">
        <v>37504</v>
      </c>
      <c r="AK740" s="28">
        <v>8</v>
      </c>
      <c r="AL740" s="28">
        <v>15</v>
      </c>
      <c r="AM740" s="21"/>
      <c r="AN740" s="27"/>
      <c r="AO740" s="27"/>
      <c r="AP740" s="27"/>
      <c r="AQ740" s="27"/>
    </row>
    <row r="741" spans="1:43" ht="15.75" customHeight="1">
      <c r="A741" s="28">
        <v>1</v>
      </c>
      <c r="B741" s="29" t="s">
        <v>5848</v>
      </c>
      <c r="C741" s="30" t="s">
        <v>5849</v>
      </c>
      <c r="D741" s="31" t="s">
        <v>5850</v>
      </c>
      <c r="E741" s="30" t="s">
        <v>49</v>
      </c>
      <c r="F741" s="30" t="s">
        <v>50</v>
      </c>
      <c r="G741" s="30" t="s">
        <v>51</v>
      </c>
      <c r="H741" s="28" t="s">
        <v>85</v>
      </c>
      <c r="I741" s="30"/>
      <c r="J741" s="30" t="s">
        <v>53</v>
      </c>
      <c r="K741" s="30" t="s">
        <v>5851</v>
      </c>
      <c r="L741" s="30" t="s">
        <v>55</v>
      </c>
      <c r="M741" s="30" t="s">
        <v>5852</v>
      </c>
      <c r="N741" s="30" t="s">
        <v>5853</v>
      </c>
      <c r="O741" s="30" t="s">
        <v>58</v>
      </c>
      <c r="P741" s="30" t="s">
        <v>5854</v>
      </c>
      <c r="Q741" s="28"/>
      <c r="R741" s="30" t="s">
        <v>5855</v>
      </c>
      <c r="S741" s="30" t="s">
        <v>53</v>
      </c>
      <c r="T741" s="30"/>
      <c r="U741" s="28" t="s">
        <v>5136</v>
      </c>
      <c r="V741" s="30" t="s">
        <v>63</v>
      </c>
      <c r="W741" s="30" t="s">
        <v>266</v>
      </c>
      <c r="X741" s="32">
        <v>44562</v>
      </c>
      <c r="Y741" s="32">
        <v>45992</v>
      </c>
      <c r="Z741" s="30" t="s">
        <v>65</v>
      </c>
      <c r="AA741" s="28" t="s">
        <v>66</v>
      </c>
      <c r="AB741" s="28" t="s">
        <v>67</v>
      </c>
      <c r="AC741" s="29"/>
      <c r="AD741" s="28">
        <v>0</v>
      </c>
      <c r="AE741" s="29"/>
      <c r="AF741" s="31"/>
      <c r="AG741" s="30" t="s">
        <v>5856</v>
      </c>
      <c r="AH741" s="28"/>
      <c r="AI741" s="28" t="s">
        <v>53</v>
      </c>
      <c r="AJ741" s="33">
        <v>35756</v>
      </c>
      <c r="AK741" s="28">
        <v>4</v>
      </c>
      <c r="AL741" s="28">
        <v>15</v>
      </c>
      <c r="AM741" s="21"/>
      <c r="AN741" s="27"/>
      <c r="AO741" s="27"/>
      <c r="AP741" s="27"/>
      <c r="AQ741" s="27"/>
    </row>
    <row r="742" spans="1:43" ht="15.75" customHeight="1">
      <c r="A742" s="28">
        <v>1</v>
      </c>
      <c r="B742" s="29" t="s">
        <v>5857</v>
      </c>
      <c r="C742" s="30" t="s">
        <v>5858</v>
      </c>
      <c r="D742" s="31" t="s">
        <v>5859</v>
      </c>
      <c r="E742" s="30" t="s">
        <v>72</v>
      </c>
      <c r="F742" s="30" t="s">
        <v>50</v>
      </c>
      <c r="G742" s="30" t="s">
        <v>5860</v>
      </c>
      <c r="H742" s="28" t="s">
        <v>85</v>
      </c>
      <c r="I742" s="30"/>
      <c r="J742" s="30" t="s">
        <v>53</v>
      </c>
      <c r="K742" s="30" t="s">
        <v>5861</v>
      </c>
      <c r="L742" s="30" t="s">
        <v>55</v>
      </c>
      <c r="M742" s="30" t="s">
        <v>5862</v>
      </c>
      <c r="N742" s="30" t="s">
        <v>5863</v>
      </c>
      <c r="O742" s="30" t="s">
        <v>2770</v>
      </c>
      <c r="P742" s="30" t="s">
        <v>5864</v>
      </c>
      <c r="Q742" s="28" t="s">
        <v>5865</v>
      </c>
      <c r="R742" s="30" t="s">
        <v>5866</v>
      </c>
      <c r="S742" s="30" t="s">
        <v>53</v>
      </c>
      <c r="T742" s="30"/>
      <c r="U742" s="28" t="s">
        <v>107</v>
      </c>
      <c r="V742" s="30" t="s">
        <v>63</v>
      </c>
      <c r="W742" s="30" t="s">
        <v>64</v>
      </c>
      <c r="X742" s="32">
        <v>44197</v>
      </c>
      <c r="Y742" s="32">
        <v>46357</v>
      </c>
      <c r="Z742" s="30" t="s">
        <v>65</v>
      </c>
      <c r="AA742" s="28" t="s">
        <v>134</v>
      </c>
      <c r="AB742" s="28" t="s">
        <v>67</v>
      </c>
      <c r="AC742" s="29"/>
      <c r="AD742" s="28">
        <v>0</v>
      </c>
      <c r="AE742" s="29"/>
      <c r="AF742" s="31"/>
      <c r="AG742" s="30" t="s">
        <v>5856</v>
      </c>
      <c r="AH742" s="28"/>
      <c r="AI742" s="28" t="s">
        <v>53</v>
      </c>
      <c r="AJ742" s="33">
        <v>37542</v>
      </c>
      <c r="AK742" s="28">
        <v>5</v>
      </c>
      <c r="AL742" s="28">
        <v>28</v>
      </c>
      <c r="AM742" s="21"/>
      <c r="AN742" s="27"/>
      <c r="AO742" s="27"/>
      <c r="AP742" s="27"/>
      <c r="AQ742" s="27"/>
    </row>
    <row r="743" spans="1:43" ht="15.75" customHeight="1">
      <c r="A743" s="28">
        <v>2</v>
      </c>
      <c r="B743" s="29" t="s">
        <v>5867</v>
      </c>
      <c r="C743" s="30" t="s">
        <v>5868</v>
      </c>
      <c r="D743" s="31" t="s">
        <v>5869</v>
      </c>
      <c r="E743" s="30" t="s">
        <v>72</v>
      </c>
      <c r="F743" s="30" t="s">
        <v>50</v>
      </c>
      <c r="G743" s="30" t="s">
        <v>51</v>
      </c>
      <c r="H743" s="28" t="s">
        <v>52</v>
      </c>
      <c r="I743" s="30"/>
      <c r="J743" s="30" t="s">
        <v>53</v>
      </c>
      <c r="K743" s="30" t="s">
        <v>5870</v>
      </c>
      <c r="L743" s="30" t="s">
        <v>55</v>
      </c>
      <c r="M743" s="30" t="s">
        <v>5862</v>
      </c>
      <c r="N743" s="30" t="s">
        <v>5871</v>
      </c>
      <c r="O743" s="30" t="s">
        <v>5872</v>
      </c>
      <c r="P743" s="30" t="s">
        <v>5873</v>
      </c>
      <c r="Q743" s="28"/>
      <c r="R743" s="30" t="s">
        <v>5874</v>
      </c>
      <c r="S743" s="30" t="s">
        <v>53</v>
      </c>
      <c r="T743" s="30"/>
      <c r="U743" s="28" t="s">
        <v>79</v>
      </c>
      <c r="V743" s="30" t="s">
        <v>63</v>
      </c>
      <c r="W743" s="30" t="s">
        <v>64</v>
      </c>
      <c r="X743" s="32">
        <v>44713</v>
      </c>
      <c r="Y743" s="32">
        <v>46539</v>
      </c>
      <c r="Z743" s="30" t="s">
        <v>65</v>
      </c>
      <c r="AA743" s="28" t="s">
        <v>66</v>
      </c>
      <c r="AB743" s="28" t="s">
        <v>67</v>
      </c>
      <c r="AC743" s="29"/>
      <c r="AD743" s="28">
        <v>0</v>
      </c>
      <c r="AE743" s="29"/>
      <c r="AF743" s="31"/>
      <c r="AG743" s="30" t="s">
        <v>5856</v>
      </c>
      <c r="AH743" s="28"/>
      <c r="AI743" s="28" t="s">
        <v>118</v>
      </c>
      <c r="AJ743" s="33">
        <v>37551</v>
      </c>
      <c r="AK743" s="28">
        <v>5</v>
      </c>
      <c r="AL743" s="28">
        <v>26</v>
      </c>
      <c r="AM743" s="21"/>
      <c r="AN743" s="27"/>
      <c r="AO743" s="27"/>
      <c r="AP743" s="27"/>
      <c r="AQ743" s="27"/>
    </row>
    <row r="744" spans="1:43" ht="15.75" customHeight="1">
      <c r="A744" s="28">
        <v>3</v>
      </c>
      <c r="B744" s="29" t="s">
        <v>5875</v>
      </c>
      <c r="C744" s="30" t="s">
        <v>5876</v>
      </c>
      <c r="D744" s="31" t="s">
        <v>5877</v>
      </c>
      <c r="E744" s="30" t="s">
        <v>72</v>
      </c>
      <c r="F744" s="30" t="s">
        <v>50</v>
      </c>
      <c r="G744" s="30" t="s">
        <v>51</v>
      </c>
      <c r="H744" s="28" t="s">
        <v>85</v>
      </c>
      <c r="I744" s="30"/>
      <c r="J744" s="30" t="s">
        <v>53</v>
      </c>
      <c r="K744" s="30" t="s">
        <v>5878</v>
      </c>
      <c r="L744" s="30" t="s">
        <v>55</v>
      </c>
      <c r="M744" s="30" t="s">
        <v>5862</v>
      </c>
      <c r="N744" s="30" t="s">
        <v>5879</v>
      </c>
      <c r="O744" s="30" t="s">
        <v>5880</v>
      </c>
      <c r="P744" s="30" t="s">
        <v>5881</v>
      </c>
      <c r="Q744" s="28"/>
      <c r="R744" s="30" t="s">
        <v>5882</v>
      </c>
      <c r="S744" s="30" t="s">
        <v>53</v>
      </c>
      <c r="T744" s="30"/>
      <c r="U744" s="28" t="s">
        <v>79</v>
      </c>
      <c r="V744" s="30" t="s">
        <v>63</v>
      </c>
      <c r="W744" s="30" t="s">
        <v>64</v>
      </c>
      <c r="X744" s="32">
        <v>43831</v>
      </c>
      <c r="Y744" s="32">
        <v>45627</v>
      </c>
      <c r="Z744" s="30" t="s">
        <v>65</v>
      </c>
      <c r="AA744" s="28" t="s">
        <v>66</v>
      </c>
      <c r="AB744" s="28" t="s">
        <v>67</v>
      </c>
      <c r="AC744" s="29"/>
      <c r="AD744" s="28">
        <v>0</v>
      </c>
      <c r="AE744" s="29"/>
      <c r="AF744" s="31"/>
      <c r="AG744" s="30" t="s">
        <v>5856</v>
      </c>
      <c r="AH744" s="28"/>
      <c r="AI744" s="28" t="s">
        <v>53</v>
      </c>
      <c r="AJ744" s="33">
        <v>37022</v>
      </c>
      <c r="AK744" s="28">
        <v>8</v>
      </c>
      <c r="AL744" s="28">
        <v>25</v>
      </c>
      <c r="AM744" s="21"/>
      <c r="AN744" s="27"/>
      <c r="AO744" s="27"/>
      <c r="AP744" s="27"/>
      <c r="AQ744" s="27"/>
    </row>
    <row r="745" spans="1:43" ht="15.75" customHeight="1">
      <c r="A745" s="28">
        <v>4</v>
      </c>
      <c r="B745" s="29" t="s">
        <v>5883</v>
      </c>
      <c r="C745" s="30"/>
      <c r="D745" s="31" t="s">
        <v>5884</v>
      </c>
      <c r="E745" s="30" t="s">
        <v>72</v>
      </c>
      <c r="F745" s="30" t="s">
        <v>50</v>
      </c>
      <c r="G745" s="30" t="s">
        <v>51</v>
      </c>
      <c r="H745" s="28" t="s">
        <v>85</v>
      </c>
      <c r="I745" s="30"/>
      <c r="J745" s="30" t="s">
        <v>53</v>
      </c>
      <c r="K745" s="30" t="s">
        <v>5885</v>
      </c>
      <c r="L745" s="30" t="s">
        <v>55</v>
      </c>
      <c r="M745" s="30" t="s">
        <v>5862</v>
      </c>
      <c r="N745" s="30" t="s">
        <v>5886</v>
      </c>
      <c r="O745" s="30" t="s">
        <v>5880</v>
      </c>
      <c r="P745" s="30" t="s">
        <v>5887</v>
      </c>
      <c r="Q745" s="28" t="s">
        <v>5888</v>
      </c>
      <c r="R745" s="30" t="s">
        <v>5889</v>
      </c>
      <c r="S745" s="30" t="s">
        <v>53</v>
      </c>
      <c r="T745" s="30"/>
      <c r="U745" s="28" t="s">
        <v>5136</v>
      </c>
      <c r="V745" s="30" t="s">
        <v>63</v>
      </c>
      <c r="W745" s="30" t="s">
        <v>64</v>
      </c>
      <c r="X745" s="32">
        <v>44562</v>
      </c>
      <c r="Y745" s="32">
        <v>46327</v>
      </c>
      <c r="Z745" s="30" t="s">
        <v>65</v>
      </c>
      <c r="AA745" s="28" t="s">
        <v>134</v>
      </c>
      <c r="AB745" s="28" t="s">
        <v>67</v>
      </c>
      <c r="AC745" s="29"/>
      <c r="AD745" s="28">
        <v>0</v>
      </c>
      <c r="AE745" s="29"/>
      <c r="AF745" s="31"/>
      <c r="AG745" s="30" t="s">
        <v>5856</v>
      </c>
      <c r="AH745" s="28"/>
      <c r="AI745" s="28" t="s">
        <v>53</v>
      </c>
      <c r="AJ745" s="33">
        <v>38080</v>
      </c>
      <c r="AK745" s="28">
        <v>5</v>
      </c>
      <c r="AL745" s="28">
        <v>25</v>
      </c>
      <c r="AM745" s="21"/>
      <c r="AN745" s="27"/>
      <c r="AO745" s="27"/>
      <c r="AP745" s="27"/>
      <c r="AQ745" s="27"/>
    </row>
    <row r="746" spans="1:43" ht="15.75" customHeight="1">
      <c r="A746" s="28">
        <v>5</v>
      </c>
      <c r="B746" s="29" t="s">
        <v>5890</v>
      </c>
      <c r="C746" s="30" t="s">
        <v>5891</v>
      </c>
      <c r="D746" s="31" t="s">
        <v>5892</v>
      </c>
      <c r="E746" s="30" t="s">
        <v>72</v>
      </c>
      <c r="F746" s="30" t="s">
        <v>50</v>
      </c>
      <c r="G746" s="30" t="s">
        <v>51</v>
      </c>
      <c r="H746" s="28" t="s">
        <v>85</v>
      </c>
      <c r="I746" s="30"/>
      <c r="J746" s="30" t="s">
        <v>53</v>
      </c>
      <c r="K746" s="30" t="s">
        <v>5893</v>
      </c>
      <c r="L746" s="30" t="s">
        <v>55</v>
      </c>
      <c r="M746" s="30" t="s">
        <v>5862</v>
      </c>
      <c r="N746" s="30" t="s">
        <v>5894</v>
      </c>
      <c r="O746" s="30" t="s">
        <v>5895</v>
      </c>
      <c r="P746" s="30" t="s">
        <v>5896</v>
      </c>
      <c r="Q746" s="28" t="s">
        <v>5897</v>
      </c>
      <c r="R746" s="30" t="s">
        <v>5898</v>
      </c>
      <c r="S746" s="30" t="s">
        <v>53</v>
      </c>
      <c r="T746" s="30"/>
      <c r="U746" s="28" t="s">
        <v>5899</v>
      </c>
      <c r="V746" s="30" t="s">
        <v>63</v>
      </c>
      <c r="W746" s="30" t="s">
        <v>64</v>
      </c>
      <c r="X746" s="32">
        <v>40391</v>
      </c>
      <c r="Y746" s="32">
        <v>42156</v>
      </c>
      <c r="Z746" s="30" t="s">
        <v>65</v>
      </c>
      <c r="AA746" s="28" t="s">
        <v>66</v>
      </c>
      <c r="AB746" s="28" t="s">
        <v>67</v>
      </c>
      <c r="AC746" s="29"/>
      <c r="AD746" s="28">
        <v>0</v>
      </c>
      <c r="AE746" s="29"/>
      <c r="AF746" s="31"/>
      <c r="AG746" s="30" t="s">
        <v>5856</v>
      </c>
      <c r="AH746" s="28"/>
      <c r="AI746" s="28" t="s">
        <v>53</v>
      </c>
      <c r="AJ746" s="33">
        <v>31115</v>
      </c>
      <c r="AK746" s="28">
        <v>9</v>
      </c>
      <c r="AL746" s="28">
        <v>23</v>
      </c>
      <c r="AM746" s="21"/>
      <c r="AN746" s="27"/>
      <c r="AO746" s="27"/>
      <c r="AP746" s="27"/>
      <c r="AQ746" s="27"/>
    </row>
    <row r="747" spans="1:43" ht="15.75" customHeight="1">
      <c r="A747" s="28">
        <v>6</v>
      </c>
      <c r="B747" s="29" t="s">
        <v>5900</v>
      </c>
      <c r="C747" s="30" t="s">
        <v>5901</v>
      </c>
      <c r="D747" s="31" t="s">
        <v>5902</v>
      </c>
      <c r="E747" s="30" t="s">
        <v>72</v>
      </c>
      <c r="F747" s="30" t="s">
        <v>50</v>
      </c>
      <c r="G747" s="30" t="s">
        <v>51</v>
      </c>
      <c r="H747" s="28" t="s">
        <v>85</v>
      </c>
      <c r="I747" s="30"/>
      <c r="J747" s="30" t="s">
        <v>53</v>
      </c>
      <c r="K747" s="30" t="s">
        <v>5903</v>
      </c>
      <c r="L747" s="30" t="s">
        <v>55</v>
      </c>
      <c r="M747" s="30" t="s">
        <v>5862</v>
      </c>
      <c r="N747" s="30" t="s">
        <v>5904</v>
      </c>
      <c r="O747" s="30" t="s">
        <v>5905</v>
      </c>
      <c r="P747" s="30" t="s">
        <v>5906</v>
      </c>
      <c r="Q747" s="28"/>
      <c r="R747" s="30" t="s">
        <v>5907</v>
      </c>
      <c r="S747" s="30" t="s">
        <v>53</v>
      </c>
      <c r="T747" s="30"/>
      <c r="U747" s="28" t="s">
        <v>79</v>
      </c>
      <c r="V747" s="30" t="s">
        <v>63</v>
      </c>
      <c r="W747" s="30" t="s">
        <v>64</v>
      </c>
      <c r="X747" s="32">
        <v>43466</v>
      </c>
      <c r="Y747" s="32">
        <v>45627</v>
      </c>
      <c r="Z747" s="30" t="s">
        <v>65</v>
      </c>
      <c r="AA747" s="28" t="s">
        <v>66</v>
      </c>
      <c r="AB747" s="28" t="s">
        <v>67</v>
      </c>
      <c r="AC747" s="29"/>
      <c r="AD747" s="28">
        <v>0</v>
      </c>
      <c r="AE747" s="29"/>
      <c r="AF747" s="31"/>
      <c r="AG747" s="30" t="s">
        <v>5856</v>
      </c>
      <c r="AH747" s="28"/>
      <c r="AI747" s="28" t="s">
        <v>53</v>
      </c>
      <c r="AJ747" s="33">
        <v>36983</v>
      </c>
      <c r="AK747" s="28">
        <v>7</v>
      </c>
      <c r="AL747" s="28">
        <v>22</v>
      </c>
      <c r="AM747" s="21"/>
      <c r="AN747" s="27"/>
      <c r="AO747" s="27"/>
      <c r="AP747" s="27"/>
      <c r="AQ747" s="27"/>
    </row>
    <row r="748" spans="1:43" ht="15.75" customHeight="1">
      <c r="A748" s="28">
        <v>7</v>
      </c>
      <c r="B748" s="29" t="s">
        <v>5908</v>
      </c>
      <c r="C748" s="30" t="s">
        <v>5909</v>
      </c>
      <c r="D748" s="31" t="s">
        <v>5910</v>
      </c>
      <c r="E748" s="30" t="s">
        <v>72</v>
      </c>
      <c r="F748" s="30" t="s">
        <v>50</v>
      </c>
      <c r="G748" s="30" t="s">
        <v>51</v>
      </c>
      <c r="H748" s="28" t="s">
        <v>52</v>
      </c>
      <c r="I748" s="30"/>
      <c r="J748" s="30" t="s">
        <v>53</v>
      </c>
      <c r="K748" s="30" t="s">
        <v>5911</v>
      </c>
      <c r="L748" s="30" t="s">
        <v>55</v>
      </c>
      <c r="M748" s="30" t="s">
        <v>1168</v>
      </c>
      <c r="N748" s="30" t="s">
        <v>5912</v>
      </c>
      <c r="O748" s="30" t="s">
        <v>5913</v>
      </c>
      <c r="P748" s="30" t="s">
        <v>5914</v>
      </c>
      <c r="Q748" s="28"/>
      <c r="R748" s="30" t="s">
        <v>5915</v>
      </c>
      <c r="S748" s="30" t="s">
        <v>53</v>
      </c>
      <c r="T748" s="30"/>
      <c r="U748" s="28" t="s">
        <v>5136</v>
      </c>
      <c r="V748" s="30" t="s">
        <v>63</v>
      </c>
      <c r="W748" s="30" t="s">
        <v>64</v>
      </c>
      <c r="X748" s="32">
        <v>44197</v>
      </c>
      <c r="Y748" s="32">
        <v>45992</v>
      </c>
      <c r="Z748" s="30" t="s">
        <v>65</v>
      </c>
      <c r="AA748" s="28" t="s">
        <v>66</v>
      </c>
      <c r="AB748" s="28" t="s">
        <v>67</v>
      </c>
      <c r="AC748" s="29"/>
      <c r="AD748" s="28">
        <v>0</v>
      </c>
      <c r="AE748" s="29"/>
      <c r="AF748" s="31"/>
      <c r="AG748" s="30" t="s">
        <v>5856</v>
      </c>
      <c r="AH748" s="28"/>
      <c r="AI748" s="28" t="s">
        <v>53</v>
      </c>
      <c r="AJ748" s="33">
        <v>37736</v>
      </c>
      <c r="AK748" s="28">
        <v>6</v>
      </c>
      <c r="AL748" s="28">
        <v>22</v>
      </c>
      <c r="AM748" s="21"/>
      <c r="AN748" s="27"/>
      <c r="AO748" s="27"/>
      <c r="AP748" s="27"/>
      <c r="AQ748" s="27"/>
    </row>
    <row r="749" spans="1:43" ht="15.75" customHeight="1">
      <c r="A749" s="28">
        <v>8</v>
      </c>
      <c r="B749" s="29" t="s">
        <v>5916</v>
      </c>
      <c r="C749" s="30" t="s">
        <v>5917</v>
      </c>
      <c r="D749" s="31" t="s">
        <v>5918</v>
      </c>
      <c r="E749" s="30" t="s">
        <v>49</v>
      </c>
      <c r="F749" s="30" t="s">
        <v>50</v>
      </c>
      <c r="G749" s="30" t="s">
        <v>51</v>
      </c>
      <c r="H749" s="28" t="s">
        <v>85</v>
      </c>
      <c r="I749" s="30"/>
      <c r="J749" s="30" t="s">
        <v>53</v>
      </c>
      <c r="K749" s="30" t="s">
        <v>5123</v>
      </c>
      <c r="L749" s="30" t="s">
        <v>55</v>
      </c>
      <c r="M749" s="30" t="s">
        <v>5124</v>
      </c>
      <c r="N749" s="30" t="s">
        <v>5919</v>
      </c>
      <c r="O749" s="30" t="s">
        <v>58</v>
      </c>
      <c r="P749" s="30" t="s">
        <v>5920</v>
      </c>
      <c r="Q749" s="28" t="s">
        <v>5921</v>
      </c>
      <c r="R749" s="30" t="s">
        <v>5922</v>
      </c>
      <c r="S749" s="30" t="s">
        <v>53</v>
      </c>
      <c r="T749" s="30"/>
      <c r="U749" s="28" t="s">
        <v>107</v>
      </c>
      <c r="V749" s="30" t="s">
        <v>63</v>
      </c>
      <c r="W749" s="30" t="s">
        <v>64</v>
      </c>
      <c r="X749" s="32">
        <v>43831</v>
      </c>
      <c r="Y749" s="32">
        <v>45627</v>
      </c>
      <c r="Z749" s="30" t="s">
        <v>65</v>
      </c>
      <c r="AA749" s="28" t="s">
        <v>66</v>
      </c>
      <c r="AB749" s="28" t="s">
        <v>67</v>
      </c>
      <c r="AC749" s="29"/>
      <c r="AD749" s="28">
        <v>0</v>
      </c>
      <c r="AE749" s="29"/>
      <c r="AF749" s="31"/>
      <c r="AG749" s="30" t="s">
        <v>5856</v>
      </c>
      <c r="AH749" s="28"/>
      <c r="AI749" s="28" t="s">
        <v>53</v>
      </c>
      <c r="AJ749" s="33">
        <v>37173</v>
      </c>
      <c r="AK749" s="28">
        <v>8</v>
      </c>
      <c r="AL749" s="28">
        <v>20</v>
      </c>
      <c r="AM749" s="21"/>
      <c r="AN749" s="27"/>
      <c r="AO749" s="27"/>
      <c r="AP749" s="27"/>
      <c r="AQ749" s="27"/>
    </row>
    <row r="750" spans="1:43" ht="15.75" customHeight="1">
      <c r="A750" s="28">
        <v>9</v>
      </c>
      <c r="B750" s="29" t="s">
        <v>5923</v>
      </c>
      <c r="C750" s="30"/>
      <c r="D750" s="31" t="s">
        <v>5924</v>
      </c>
      <c r="E750" s="30" t="s">
        <v>72</v>
      </c>
      <c r="F750" s="30" t="s">
        <v>50</v>
      </c>
      <c r="G750" s="30" t="s">
        <v>51</v>
      </c>
      <c r="H750" s="28" t="s">
        <v>52</v>
      </c>
      <c r="I750" s="30"/>
      <c r="J750" s="30" t="s">
        <v>53</v>
      </c>
      <c r="K750" s="30" t="s">
        <v>5925</v>
      </c>
      <c r="L750" s="30" t="s">
        <v>55</v>
      </c>
      <c r="M750" s="30" t="s">
        <v>5862</v>
      </c>
      <c r="N750" s="30" t="s">
        <v>5926</v>
      </c>
      <c r="O750" s="30" t="s">
        <v>2987</v>
      </c>
      <c r="P750" s="30" t="s">
        <v>5927</v>
      </c>
      <c r="Q750" s="28"/>
      <c r="R750" s="30" t="s">
        <v>5928</v>
      </c>
      <c r="S750" s="30" t="s">
        <v>53</v>
      </c>
      <c r="T750" s="30"/>
      <c r="U750" s="28" t="s">
        <v>5929</v>
      </c>
      <c r="V750" s="30" t="s">
        <v>63</v>
      </c>
      <c r="W750" s="30" t="s">
        <v>64</v>
      </c>
      <c r="X750" s="32">
        <v>43678</v>
      </c>
      <c r="Y750" s="32">
        <v>45839</v>
      </c>
      <c r="Z750" s="30" t="s">
        <v>65</v>
      </c>
      <c r="AA750" s="28" t="s">
        <v>134</v>
      </c>
      <c r="AB750" s="28" t="s">
        <v>67</v>
      </c>
      <c r="AC750" s="29"/>
      <c r="AD750" s="28">
        <v>0</v>
      </c>
      <c r="AE750" s="29"/>
      <c r="AF750" s="31"/>
      <c r="AG750" s="30" t="s">
        <v>5856</v>
      </c>
      <c r="AH750" s="28"/>
      <c r="AI750" s="28" t="s">
        <v>53</v>
      </c>
      <c r="AJ750" s="33">
        <v>35827</v>
      </c>
      <c r="AK750" s="28">
        <v>6</v>
      </c>
      <c r="AL750" s="28">
        <v>19</v>
      </c>
      <c r="AM750" s="21"/>
      <c r="AN750" s="27"/>
      <c r="AO750" s="27"/>
      <c r="AP750" s="27"/>
      <c r="AQ750" s="27"/>
    </row>
    <row r="751" spans="1:43" ht="15.75" customHeight="1">
      <c r="A751" s="28">
        <v>10</v>
      </c>
      <c r="B751" s="29" t="s">
        <v>5930</v>
      </c>
      <c r="C751" s="30"/>
      <c r="D751" s="31" t="s">
        <v>5931</v>
      </c>
      <c r="E751" s="30" t="s">
        <v>72</v>
      </c>
      <c r="F751" s="30" t="s">
        <v>50</v>
      </c>
      <c r="G751" s="30" t="s">
        <v>51</v>
      </c>
      <c r="H751" s="28" t="s">
        <v>85</v>
      </c>
      <c r="I751" s="30"/>
      <c r="J751" s="30" t="s">
        <v>53</v>
      </c>
      <c r="K751" s="30" t="s">
        <v>5932</v>
      </c>
      <c r="L751" s="30" t="s">
        <v>55</v>
      </c>
      <c r="M751" s="30" t="s">
        <v>5862</v>
      </c>
      <c r="N751" s="30" t="s">
        <v>5933</v>
      </c>
      <c r="O751" s="30" t="s">
        <v>5934</v>
      </c>
      <c r="P751" s="30" t="s">
        <v>5935</v>
      </c>
      <c r="Q751" s="28" t="s">
        <v>5936</v>
      </c>
      <c r="R751" s="30" t="s">
        <v>5937</v>
      </c>
      <c r="S751" s="30" t="s">
        <v>53</v>
      </c>
      <c r="T751" s="30"/>
      <c r="U751" s="28" t="s">
        <v>107</v>
      </c>
      <c r="V751" s="30" t="s">
        <v>63</v>
      </c>
      <c r="W751" s="30" t="s">
        <v>64</v>
      </c>
      <c r="X751" s="32">
        <v>44562</v>
      </c>
      <c r="Y751" s="32">
        <v>46357</v>
      </c>
      <c r="Z751" s="30" t="s">
        <v>65</v>
      </c>
      <c r="AA751" s="28" t="s">
        <v>134</v>
      </c>
      <c r="AB751" s="28" t="s">
        <v>67</v>
      </c>
      <c r="AC751" s="29"/>
      <c r="AD751" s="28">
        <v>0</v>
      </c>
      <c r="AE751" s="29"/>
      <c r="AF751" s="31"/>
      <c r="AG751" s="30" t="s">
        <v>5856</v>
      </c>
      <c r="AH751" s="28"/>
      <c r="AI751" s="28" t="s">
        <v>53</v>
      </c>
      <c r="AJ751" s="33">
        <v>38223</v>
      </c>
      <c r="AK751" s="28">
        <v>5</v>
      </c>
      <c r="AL751" s="28">
        <v>19</v>
      </c>
      <c r="AM751" s="21"/>
      <c r="AN751" s="27"/>
      <c r="AO751" s="27"/>
      <c r="AP751" s="27"/>
      <c r="AQ751" s="27"/>
    </row>
    <row r="752" spans="1:43" ht="15.75" customHeight="1">
      <c r="A752" s="28">
        <v>11</v>
      </c>
      <c r="B752" s="29" t="s">
        <v>5938</v>
      </c>
      <c r="C752" s="30"/>
      <c r="D752" s="31" t="s">
        <v>5939</v>
      </c>
      <c r="E752" s="30" t="s">
        <v>72</v>
      </c>
      <c r="F752" s="30" t="s">
        <v>50</v>
      </c>
      <c r="G752" s="30" t="s">
        <v>51</v>
      </c>
      <c r="H752" s="28" t="s">
        <v>85</v>
      </c>
      <c r="I752" s="30"/>
      <c r="J752" s="30" t="s">
        <v>53</v>
      </c>
      <c r="K752" s="30" t="s">
        <v>5940</v>
      </c>
      <c r="L752" s="30" t="s">
        <v>55</v>
      </c>
      <c r="M752" s="30" t="s">
        <v>5862</v>
      </c>
      <c r="N752" s="30" t="s">
        <v>5941</v>
      </c>
      <c r="O752" s="30" t="s">
        <v>5942</v>
      </c>
      <c r="P752" s="30" t="s">
        <v>5943</v>
      </c>
      <c r="Q752" s="28" t="s">
        <v>5944</v>
      </c>
      <c r="R752" s="30" t="s">
        <v>5945</v>
      </c>
      <c r="S752" s="30" t="s">
        <v>53</v>
      </c>
      <c r="T752" s="30"/>
      <c r="U752" s="28" t="s">
        <v>79</v>
      </c>
      <c r="V752" s="30" t="s">
        <v>63</v>
      </c>
      <c r="W752" s="30" t="s">
        <v>64</v>
      </c>
      <c r="X752" s="32">
        <v>43678</v>
      </c>
      <c r="Y752" s="32">
        <v>45474</v>
      </c>
      <c r="Z752" s="30" t="s">
        <v>65</v>
      </c>
      <c r="AA752" s="28" t="s">
        <v>66</v>
      </c>
      <c r="AB752" s="28" t="s">
        <v>67</v>
      </c>
      <c r="AC752" s="29"/>
      <c r="AD752" s="28">
        <v>0</v>
      </c>
      <c r="AE752" s="29"/>
      <c r="AF752" s="31"/>
      <c r="AG752" s="30" t="s">
        <v>5856</v>
      </c>
      <c r="AH752" s="28"/>
      <c r="AI752" s="28" t="s">
        <v>53</v>
      </c>
      <c r="AJ752" s="33">
        <v>34215</v>
      </c>
      <c r="AK752" s="28">
        <v>9</v>
      </c>
      <c r="AL752" s="28">
        <v>19</v>
      </c>
      <c r="AM752" s="21"/>
      <c r="AN752" s="27"/>
      <c r="AO752" s="27"/>
      <c r="AP752" s="27"/>
      <c r="AQ752" s="27"/>
    </row>
    <row r="753" spans="1:43" ht="15.75" customHeight="1">
      <c r="A753" s="28">
        <v>12</v>
      </c>
      <c r="B753" s="29" t="s">
        <v>5946</v>
      </c>
      <c r="C753" s="30" t="s">
        <v>5947</v>
      </c>
      <c r="D753" s="31" t="s">
        <v>5948</v>
      </c>
      <c r="E753" s="30" t="s">
        <v>49</v>
      </c>
      <c r="F753" s="30" t="s">
        <v>50</v>
      </c>
      <c r="G753" s="30" t="s">
        <v>51</v>
      </c>
      <c r="H753" s="28" t="s">
        <v>52</v>
      </c>
      <c r="I753" s="30"/>
      <c r="J753" s="30" t="s">
        <v>53</v>
      </c>
      <c r="K753" s="30" t="s">
        <v>5949</v>
      </c>
      <c r="L753" s="30" t="s">
        <v>55</v>
      </c>
      <c r="M753" s="30" t="s">
        <v>5862</v>
      </c>
      <c r="N753" s="30" t="s">
        <v>5950</v>
      </c>
      <c r="O753" s="30" t="s">
        <v>788</v>
      </c>
      <c r="P753" s="30" t="s">
        <v>5951</v>
      </c>
      <c r="Q753" s="28" t="s">
        <v>5952</v>
      </c>
      <c r="R753" s="30" t="s">
        <v>5953</v>
      </c>
      <c r="S753" s="30" t="s">
        <v>53</v>
      </c>
      <c r="T753" s="30"/>
      <c r="U753" s="28" t="s">
        <v>5954</v>
      </c>
      <c r="V753" s="30" t="s">
        <v>63</v>
      </c>
      <c r="W753" s="30" t="s">
        <v>64</v>
      </c>
      <c r="X753" s="32">
        <v>43862</v>
      </c>
      <c r="Y753" s="32">
        <v>45627</v>
      </c>
      <c r="Z753" s="30" t="s">
        <v>65</v>
      </c>
      <c r="AA753" s="28" t="s">
        <v>66</v>
      </c>
      <c r="AB753" s="28" t="s">
        <v>67</v>
      </c>
      <c r="AC753" s="29"/>
      <c r="AD753" s="28">
        <v>0</v>
      </c>
      <c r="AE753" s="29"/>
      <c r="AF753" s="31"/>
      <c r="AG753" s="30" t="s">
        <v>5856</v>
      </c>
      <c r="AH753" s="28"/>
      <c r="AI753" s="28" t="s">
        <v>118</v>
      </c>
      <c r="AJ753" s="33">
        <v>32693</v>
      </c>
      <c r="AK753" s="28">
        <v>8</v>
      </c>
      <c r="AL753" s="28">
        <v>19</v>
      </c>
      <c r="AM753" s="21"/>
      <c r="AN753" s="27"/>
      <c r="AO753" s="27"/>
      <c r="AP753" s="27"/>
      <c r="AQ753" s="27"/>
    </row>
    <row r="754" spans="1:43" ht="15.75" customHeight="1">
      <c r="A754" s="28">
        <v>13</v>
      </c>
      <c r="B754" s="29" t="s">
        <v>5955</v>
      </c>
      <c r="C754" s="30" t="s">
        <v>5956</v>
      </c>
      <c r="D754" s="31" t="s">
        <v>5957</v>
      </c>
      <c r="E754" s="30" t="s">
        <v>72</v>
      </c>
      <c r="F754" s="30" t="s">
        <v>50</v>
      </c>
      <c r="G754" s="30" t="s">
        <v>51</v>
      </c>
      <c r="H754" s="28" t="s">
        <v>52</v>
      </c>
      <c r="I754" s="30"/>
      <c r="J754" s="30" t="s">
        <v>53</v>
      </c>
      <c r="K754" s="30" t="s">
        <v>5958</v>
      </c>
      <c r="L754" s="30" t="s">
        <v>55</v>
      </c>
      <c r="M754" s="30" t="s">
        <v>5862</v>
      </c>
      <c r="N754" s="30" t="s">
        <v>5959</v>
      </c>
      <c r="O754" s="30" t="s">
        <v>1776</v>
      </c>
      <c r="P754" s="30" t="s">
        <v>5960</v>
      </c>
      <c r="Q754" s="28" t="s">
        <v>5961</v>
      </c>
      <c r="R754" s="30" t="s">
        <v>5962</v>
      </c>
      <c r="S754" s="30" t="s">
        <v>53</v>
      </c>
      <c r="T754" s="30"/>
      <c r="U754" s="28" t="s">
        <v>5963</v>
      </c>
      <c r="V754" s="30" t="s">
        <v>63</v>
      </c>
      <c r="W754" s="30" t="s">
        <v>64</v>
      </c>
      <c r="X754" s="32">
        <v>44228</v>
      </c>
      <c r="Y754" s="32">
        <v>45689</v>
      </c>
      <c r="Z754" s="30" t="s">
        <v>65</v>
      </c>
      <c r="AA754" s="28" t="s">
        <v>66</v>
      </c>
      <c r="AB754" s="28" t="s">
        <v>67</v>
      </c>
      <c r="AC754" s="29"/>
      <c r="AD754" s="28">
        <v>0</v>
      </c>
      <c r="AE754" s="29"/>
      <c r="AF754" s="31"/>
      <c r="AG754" s="30" t="s">
        <v>5856</v>
      </c>
      <c r="AH754" s="28"/>
      <c r="AI754" s="28" t="s">
        <v>53</v>
      </c>
      <c r="AJ754" s="33">
        <v>36634</v>
      </c>
      <c r="AK754" s="28">
        <v>6</v>
      </c>
      <c r="AL754" s="28">
        <v>18</v>
      </c>
      <c r="AM754" s="21"/>
      <c r="AN754" s="27"/>
      <c r="AO754" s="27"/>
      <c r="AP754" s="27"/>
      <c r="AQ754" s="27"/>
    </row>
    <row r="755" spans="1:43" ht="15.75" customHeight="1">
      <c r="A755" s="28">
        <v>14</v>
      </c>
      <c r="B755" s="29" t="s">
        <v>5964</v>
      </c>
      <c r="C755" s="30"/>
      <c r="D755" s="31" t="s">
        <v>5965</v>
      </c>
      <c r="E755" s="30" t="s">
        <v>72</v>
      </c>
      <c r="F755" s="30" t="s">
        <v>84</v>
      </c>
      <c r="G755" s="30" t="s">
        <v>51</v>
      </c>
      <c r="H755" s="28" t="s">
        <v>85</v>
      </c>
      <c r="I755" s="30"/>
      <c r="J755" s="30" t="s">
        <v>53</v>
      </c>
      <c r="K755" s="30" t="s">
        <v>5966</v>
      </c>
      <c r="L755" s="30" t="s">
        <v>55</v>
      </c>
      <c r="M755" s="30" t="s">
        <v>5862</v>
      </c>
      <c r="N755" s="30" t="s">
        <v>5967</v>
      </c>
      <c r="O755" s="30" t="s">
        <v>5968</v>
      </c>
      <c r="P755" s="30" t="s">
        <v>5969</v>
      </c>
      <c r="Q755" s="28" t="s">
        <v>5970</v>
      </c>
      <c r="R755" s="30" t="s">
        <v>5971</v>
      </c>
      <c r="S755" s="30" t="s">
        <v>53</v>
      </c>
      <c r="T755" s="30"/>
      <c r="U755" s="28" t="s">
        <v>5136</v>
      </c>
      <c r="V755" s="30" t="s">
        <v>63</v>
      </c>
      <c r="W755" s="30" t="s">
        <v>64</v>
      </c>
      <c r="X755" s="32">
        <v>44197</v>
      </c>
      <c r="Y755" s="32">
        <v>45992</v>
      </c>
      <c r="Z755" s="30" t="s">
        <v>65</v>
      </c>
      <c r="AA755" s="28" t="s">
        <v>134</v>
      </c>
      <c r="AB755" s="28" t="s">
        <v>67</v>
      </c>
      <c r="AC755" s="29"/>
      <c r="AD755" s="28">
        <v>0</v>
      </c>
      <c r="AE755" s="29"/>
      <c r="AF755" s="31"/>
      <c r="AG755" s="30" t="s">
        <v>5856</v>
      </c>
      <c r="AH755" s="28"/>
      <c r="AI755" s="28" t="s">
        <v>53</v>
      </c>
      <c r="AJ755" s="33">
        <v>37333</v>
      </c>
      <c r="AK755" s="28">
        <v>6</v>
      </c>
      <c r="AL755" s="28">
        <v>17</v>
      </c>
      <c r="AM755" s="21"/>
      <c r="AN755" s="27"/>
      <c r="AO755" s="27"/>
      <c r="AP755" s="27"/>
      <c r="AQ755" s="27"/>
    </row>
    <row r="756" spans="1:43" ht="15.75" customHeight="1">
      <c r="A756" s="28">
        <v>15</v>
      </c>
      <c r="B756" s="29" t="s">
        <v>5972</v>
      </c>
      <c r="C756" s="30"/>
      <c r="D756" s="31" t="s">
        <v>5973</v>
      </c>
      <c r="E756" s="30" t="s">
        <v>72</v>
      </c>
      <c r="F756" s="30" t="s">
        <v>50</v>
      </c>
      <c r="G756" s="30" t="s">
        <v>51</v>
      </c>
      <c r="H756" s="28" t="s">
        <v>191</v>
      </c>
      <c r="I756" s="30"/>
      <c r="J756" s="30" t="s">
        <v>53</v>
      </c>
      <c r="K756" s="30" t="s">
        <v>5974</v>
      </c>
      <c r="L756" s="30" t="s">
        <v>55</v>
      </c>
      <c r="M756" s="30" t="s">
        <v>5862</v>
      </c>
      <c r="N756" s="30" t="s">
        <v>5975</v>
      </c>
      <c r="O756" s="30" t="s">
        <v>1776</v>
      </c>
      <c r="P756" s="30" t="s">
        <v>5976</v>
      </c>
      <c r="Q756" s="28" t="s">
        <v>5977</v>
      </c>
      <c r="R756" s="30" t="s">
        <v>5978</v>
      </c>
      <c r="S756" s="30" t="s">
        <v>53</v>
      </c>
      <c r="T756" s="30"/>
      <c r="U756" s="28" t="s">
        <v>5979</v>
      </c>
      <c r="V756" s="30" t="s">
        <v>63</v>
      </c>
      <c r="W756" s="30" t="s">
        <v>64</v>
      </c>
      <c r="X756" s="32">
        <v>43466</v>
      </c>
      <c r="Y756" s="32">
        <v>45474</v>
      </c>
      <c r="Z756" s="30" t="s">
        <v>65</v>
      </c>
      <c r="AA756" s="28" t="s">
        <v>66</v>
      </c>
      <c r="AB756" s="28" t="s">
        <v>67</v>
      </c>
      <c r="AC756" s="29"/>
      <c r="AD756" s="28">
        <v>0</v>
      </c>
      <c r="AE756" s="29"/>
      <c r="AF756" s="31"/>
      <c r="AG756" s="30" t="s">
        <v>5856</v>
      </c>
      <c r="AH756" s="28"/>
      <c r="AI756" s="28" t="s">
        <v>53</v>
      </c>
      <c r="AJ756" s="33">
        <v>32547</v>
      </c>
      <c r="AK756" s="28">
        <v>9</v>
      </c>
      <c r="AL756" s="28">
        <v>16</v>
      </c>
      <c r="AM756" s="21"/>
      <c r="AN756" s="27"/>
      <c r="AO756" s="27"/>
      <c r="AP756" s="27"/>
      <c r="AQ756" s="27"/>
    </row>
    <row r="757" spans="1:43" ht="15.75" customHeight="1">
      <c r="A757" s="28">
        <v>16</v>
      </c>
      <c r="B757" s="29" t="s">
        <v>5980</v>
      </c>
      <c r="C757" s="30" t="s">
        <v>5981</v>
      </c>
      <c r="D757" s="31" t="s">
        <v>5982</v>
      </c>
      <c r="E757" s="30" t="s">
        <v>49</v>
      </c>
      <c r="F757" s="30" t="s">
        <v>50</v>
      </c>
      <c r="G757" s="30" t="s">
        <v>51</v>
      </c>
      <c r="H757" s="28" t="s">
        <v>52</v>
      </c>
      <c r="I757" s="30"/>
      <c r="J757" s="30" t="s">
        <v>53</v>
      </c>
      <c r="K757" s="30" t="s">
        <v>5983</v>
      </c>
      <c r="L757" s="30" t="s">
        <v>55</v>
      </c>
      <c r="M757" s="30" t="s">
        <v>5862</v>
      </c>
      <c r="N757" s="30" t="s">
        <v>5984</v>
      </c>
      <c r="O757" s="30" t="s">
        <v>95</v>
      </c>
      <c r="P757" s="30" t="s">
        <v>5985</v>
      </c>
      <c r="Q757" s="28" t="s">
        <v>5986</v>
      </c>
      <c r="R757" s="30" t="s">
        <v>5987</v>
      </c>
      <c r="S757" s="30" t="s">
        <v>53</v>
      </c>
      <c r="T757" s="30"/>
      <c r="U757" s="28" t="s">
        <v>5136</v>
      </c>
      <c r="V757" s="30" t="s">
        <v>63</v>
      </c>
      <c r="W757" s="30" t="s">
        <v>64</v>
      </c>
      <c r="X757" s="32">
        <v>44562</v>
      </c>
      <c r="Y757" s="32">
        <v>46357</v>
      </c>
      <c r="Z757" s="30" t="s">
        <v>65</v>
      </c>
      <c r="AA757" s="28" t="s">
        <v>66</v>
      </c>
      <c r="AB757" s="28" t="s">
        <v>67</v>
      </c>
      <c r="AC757" s="29"/>
      <c r="AD757" s="28">
        <v>0</v>
      </c>
      <c r="AE757" s="29"/>
      <c r="AF757" s="31"/>
      <c r="AG757" s="30" t="s">
        <v>5856</v>
      </c>
      <c r="AH757" s="28"/>
      <c r="AI757" s="28" t="s">
        <v>53</v>
      </c>
      <c r="AJ757" s="33">
        <v>37876</v>
      </c>
      <c r="AK757" s="28">
        <v>5</v>
      </c>
      <c r="AL757" s="28">
        <v>16</v>
      </c>
      <c r="AM757" s="21"/>
      <c r="AN757" s="27"/>
      <c r="AO757" s="27"/>
      <c r="AP757" s="27"/>
      <c r="AQ757" s="27"/>
    </row>
    <row r="758" spans="1:43" ht="15.75" customHeight="1">
      <c r="A758" s="28">
        <v>17</v>
      </c>
      <c r="B758" s="29" t="s">
        <v>5988</v>
      </c>
      <c r="C758" s="30" t="s">
        <v>5989</v>
      </c>
      <c r="D758" s="31" t="s">
        <v>5990</v>
      </c>
      <c r="E758" s="30" t="s">
        <v>72</v>
      </c>
      <c r="F758" s="30" t="s">
        <v>50</v>
      </c>
      <c r="G758" s="30" t="s">
        <v>51</v>
      </c>
      <c r="H758" s="28" t="s">
        <v>52</v>
      </c>
      <c r="I758" s="30"/>
      <c r="J758" s="30" t="s">
        <v>53</v>
      </c>
      <c r="K758" s="30" t="s">
        <v>5851</v>
      </c>
      <c r="L758" s="30" t="s">
        <v>55</v>
      </c>
      <c r="M758" s="30" t="s">
        <v>5852</v>
      </c>
      <c r="N758" s="30" t="s">
        <v>5991</v>
      </c>
      <c r="O758" s="30" t="s">
        <v>5992</v>
      </c>
      <c r="P758" s="30" t="s">
        <v>5993</v>
      </c>
      <c r="Q758" s="28"/>
      <c r="R758" s="30" t="s">
        <v>5994</v>
      </c>
      <c r="S758" s="30" t="s">
        <v>53</v>
      </c>
      <c r="T758" s="30"/>
      <c r="U758" s="28" t="s">
        <v>5995</v>
      </c>
      <c r="V758" s="30" t="s">
        <v>63</v>
      </c>
      <c r="W758" s="30" t="s">
        <v>64</v>
      </c>
      <c r="X758" s="32">
        <v>44562</v>
      </c>
      <c r="Y758" s="32">
        <v>46357</v>
      </c>
      <c r="Z758" s="30" t="s">
        <v>65</v>
      </c>
      <c r="AA758" s="28" t="s">
        <v>66</v>
      </c>
      <c r="AB758" s="28" t="s">
        <v>67</v>
      </c>
      <c r="AC758" s="29"/>
      <c r="AD758" s="28">
        <v>0</v>
      </c>
      <c r="AE758" s="29"/>
      <c r="AF758" s="31"/>
      <c r="AG758" s="30" t="s">
        <v>5856</v>
      </c>
      <c r="AH758" s="28"/>
      <c r="AI758" s="28" t="s">
        <v>53</v>
      </c>
      <c r="AJ758" s="33">
        <v>37854</v>
      </c>
      <c r="AK758" s="28">
        <v>5</v>
      </c>
      <c r="AL758" s="28">
        <v>15</v>
      </c>
      <c r="AM758" s="21"/>
      <c r="AN758" s="27"/>
      <c r="AO758" s="27"/>
      <c r="AP758" s="27"/>
      <c r="AQ758" s="27"/>
    </row>
    <row r="759" spans="1:43" ht="15.75" customHeight="1">
      <c r="A759" s="28">
        <v>18</v>
      </c>
      <c r="B759" s="29" t="s">
        <v>5996</v>
      </c>
      <c r="C759" s="30"/>
      <c r="D759" s="31" t="s">
        <v>5997</v>
      </c>
      <c r="E759" s="30" t="s">
        <v>72</v>
      </c>
      <c r="F759" s="30" t="s">
        <v>50</v>
      </c>
      <c r="G759" s="30" t="s">
        <v>51</v>
      </c>
      <c r="H759" s="28" t="s">
        <v>85</v>
      </c>
      <c r="I759" s="30"/>
      <c r="J759" s="30" t="s">
        <v>53</v>
      </c>
      <c r="K759" s="30" t="s">
        <v>5998</v>
      </c>
      <c r="L759" s="30" t="s">
        <v>55</v>
      </c>
      <c r="M759" s="30" t="s">
        <v>5862</v>
      </c>
      <c r="N759" s="30" t="s">
        <v>5999</v>
      </c>
      <c r="O759" s="30" t="s">
        <v>6000</v>
      </c>
      <c r="P759" s="30" t="s">
        <v>6001</v>
      </c>
      <c r="Q759" s="28" t="s">
        <v>6002</v>
      </c>
      <c r="R759" s="30" t="s">
        <v>6003</v>
      </c>
      <c r="S759" s="30" t="s">
        <v>53</v>
      </c>
      <c r="T759" s="30"/>
      <c r="U759" s="28" t="s">
        <v>5136</v>
      </c>
      <c r="V759" s="30" t="s">
        <v>63</v>
      </c>
      <c r="W759" s="30" t="s">
        <v>64</v>
      </c>
      <c r="X759" s="32">
        <v>44197</v>
      </c>
      <c r="Y759" s="32">
        <v>45992</v>
      </c>
      <c r="Z759" s="30" t="s">
        <v>65</v>
      </c>
      <c r="AA759" s="28" t="s">
        <v>134</v>
      </c>
      <c r="AB759" s="28" t="s">
        <v>67</v>
      </c>
      <c r="AC759" s="29"/>
      <c r="AD759" s="28">
        <v>0</v>
      </c>
      <c r="AE759" s="29"/>
      <c r="AF759" s="31"/>
      <c r="AG759" s="30" t="s">
        <v>5856</v>
      </c>
      <c r="AH759" s="28"/>
      <c r="AI759" s="28" t="s">
        <v>53</v>
      </c>
      <c r="AJ759" s="33">
        <v>37362</v>
      </c>
      <c r="AK759" s="28">
        <v>6</v>
      </c>
      <c r="AL759" s="28">
        <v>15</v>
      </c>
      <c r="AM759" s="21"/>
      <c r="AN759" s="27"/>
      <c r="AO759" s="27"/>
      <c r="AP759" s="27"/>
      <c r="AQ759" s="27"/>
    </row>
    <row r="760" spans="1:43" ht="15.75" customHeight="1">
      <c r="A760" s="28">
        <v>19</v>
      </c>
      <c r="B760" s="29" t="s">
        <v>6004</v>
      </c>
      <c r="C760" s="30"/>
      <c r="D760" s="31" t="s">
        <v>6005</v>
      </c>
      <c r="E760" s="30" t="s">
        <v>72</v>
      </c>
      <c r="F760" s="30" t="s">
        <v>50</v>
      </c>
      <c r="G760" s="30" t="s">
        <v>51</v>
      </c>
      <c r="H760" s="28" t="s">
        <v>85</v>
      </c>
      <c r="I760" s="30"/>
      <c r="J760" s="30" t="s">
        <v>53</v>
      </c>
      <c r="K760" s="30" t="s">
        <v>5966</v>
      </c>
      <c r="L760" s="30" t="s">
        <v>55</v>
      </c>
      <c r="M760" s="30" t="s">
        <v>5862</v>
      </c>
      <c r="N760" s="30" t="s">
        <v>6006</v>
      </c>
      <c r="O760" s="30" t="s">
        <v>5968</v>
      </c>
      <c r="P760" s="30" t="s">
        <v>6007</v>
      </c>
      <c r="Q760" s="28"/>
      <c r="R760" s="30" t="s">
        <v>6008</v>
      </c>
      <c r="S760" s="30" t="s">
        <v>53</v>
      </c>
      <c r="T760" s="30"/>
      <c r="U760" s="28" t="s">
        <v>107</v>
      </c>
      <c r="V760" s="30" t="s">
        <v>63</v>
      </c>
      <c r="W760" s="30" t="s">
        <v>64</v>
      </c>
      <c r="X760" s="32">
        <v>43862</v>
      </c>
      <c r="Y760" s="32">
        <v>45992</v>
      </c>
      <c r="Z760" s="30" t="s">
        <v>65</v>
      </c>
      <c r="AA760" s="28" t="s">
        <v>66</v>
      </c>
      <c r="AB760" s="28" t="s">
        <v>67</v>
      </c>
      <c r="AC760" s="29"/>
      <c r="AD760" s="28">
        <v>0</v>
      </c>
      <c r="AE760" s="29"/>
      <c r="AF760" s="31"/>
      <c r="AG760" s="30" t="s">
        <v>5856</v>
      </c>
      <c r="AH760" s="28"/>
      <c r="AI760" s="28" t="s">
        <v>53</v>
      </c>
      <c r="AJ760" s="33">
        <v>36939</v>
      </c>
      <c r="AK760" s="28">
        <v>6</v>
      </c>
      <c r="AL760" s="28">
        <v>15</v>
      </c>
      <c r="AM760" s="21"/>
      <c r="AN760" s="27"/>
      <c r="AO760" s="27"/>
      <c r="AP760" s="27"/>
      <c r="AQ760" s="27"/>
    </row>
    <row r="761" spans="1:43" ht="15.75" customHeight="1">
      <c r="A761" s="28">
        <v>1</v>
      </c>
      <c r="B761" s="29" t="s">
        <v>6009</v>
      </c>
      <c r="C761" s="30" t="s">
        <v>6010</v>
      </c>
      <c r="D761" s="31" t="s">
        <v>6011</v>
      </c>
      <c r="E761" s="30" t="s">
        <v>49</v>
      </c>
      <c r="F761" s="30" t="s">
        <v>50</v>
      </c>
      <c r="G761" s="30" t="s">
        <v>51</v>
      </c>
      <c r="H761" s="28" t="s">
        <v>85</v>
      </c>
      <c r="I761" s="30"/>
      <c r="J761" s="30" t="s">
        <v>53</v>
      </c>
      <c r="K761" s="30" t="s">
        <v>6012</v>
      </c>
      <c r="L761" s="30" t="s">
        <v>55</v>
      </c>
      <c r="M761" s="30" t="s">
        <v>5862</v>
      </c>
      <c r="N761" s="30" t="s">
        <v>6013</v>
      </c>
      <c r="O761" s="30" t="s">
        <v>6014</v>
      </c>
      <c r="P761" s="30" t="s">
        <v>6015</v>
      </c>
      <c r="Q761" s="28"/>
      <c r="R761" s="30" t="s">
        <v>6016</v>
      </c>
      <c r="S761" s="30" t="s">
        <v>53</v>
      </c>
      <c r="T761" s="30"/>
      <c r="U761" s="28" t="s">
        <v>107</v>
      </c>
      <c r="V761" s="30" t="s">
        <v>63</v>
      </c>
      <c r="W761" s="30" t="s">
        <v>204</v>
      </c>
      <c r="X761" s="32">
        <v>43101</v>
      </c>
      <c r="Y761" s="32">
        <v>45627</v>
      </c>
      <c r="Z761" s="30" t="s">
        <v>65</v>
      </c>
      <c r="AA761" s="28" t="s">
        <v>66</v>
      </c>
      <c r="AB761" s="28" t="s">
        <v>67</v>
      </c>
      <c r="AC761" s="29"/>
      <c r="AD761" s="28">
        <v>0</v>
      </c>
      <c r="AE761" s="29"/>
      <c r="AF761" s="31"/>
      <c r="AG761" s="30" t="s">
        <v>5856</v>
      </c>
      <c r="AH761" s="28"/>
      <c r="AI761" s="28" t="s">
        <v>53</v>
      </c>
      <c r="AJ761" s="33">
        <v>36579</v>
      </c>
      <c r="AK761" s="28">
        <v>8</v>
      </c>
      <c r="AL761" s="28">
        <v>23</v>
      </c>
      <c r="AM761" s="21"/>
      <c r="AN761" s="27"/>
      <c r="AO761" s="27"/>
      <c r="AP761" s="27"/>
      <c r="AQ761" s="27"/>
    </row>
    <row r="762" spans="1:43" ht="15.75" customHeight="1">
      <c r="A762" s="28">
        <v>2</v>
      </c>
      <c r="B762" s="29" t="s">
        <v>6017</v>
      </c>
      <c r="C762" s="30"/>
      <c r="D762" s="31" t="s">
        <v>6018</v>
      </c>
      <c r="E762" s="30" t="s">
        <v>72</v>
      </c>
      <c r="F762" s="30" t="s">
        <v>50</v>
      </c>
      <c r="G762" s="30" t="s">
        <v>51</v>
      </c>
      <c r="H762" s="28" t="s">
        <v>52</v>
      </c>
      <c r="I762" s="30"/>
      <c r="J762" s="30" t="s">
        <v>53</v>
      </c>
      <c r="K762" s="30" t="s">
        <v>6019</v>
      </c>
      <c r="L762" s="30" t="s">
        <v>55</v>
      </c>
      <c r="M762" s="30" t="s">
        <v>5862</v>
      </c>
      <c r="N762" s="30" t="s">
        <v>6020</v>
      </c>
      <c r="O762" s="30" t="s">
        <v>6021</v>
      </c>
      <c r="P762" s="30" t="s">
        <v>6022</v>
      </c>
      <c r="Q762" s="28" t="s">
        <v>6023</v>
      </c>
      <c r="R762" s="30" t="s">
        <v>6024</v>
      </c>
      <c r="S762" s="30" t="s">
        <v>53</v>
      </c>
      <c r="T762" s="30"/>
      <c r="U762" s="28" t="s">
        <v>107</v>
      </c>
      <c r="V762" s="30" t="s">
        <v>63</v>
      </c>
      <c r="W762" s="30" t="s">
        <v>204</v>
      </c>
      <c r="X762" s="32">
        <v>44927</v>
      </c>
      <c r="Y762" s="32">
        <v>46357</v>
      </c>
      <c r="Z762" s="30" t="s">
        <v>65</v>
      </c>
      <c r="AA762" s="28" t="s">
        <v>66</v>
      </c>
      <c r="AB762" s="28" t="s">
        <v>67</v>
      </c>
      <c r="AC762" s="29"/>
      <c r="AD762" s="28">
        <v>0</v>
      </c>
      <c r="AE762" s="29"/>
      <c r="AF762" s="31"/>
      <c r="AG762" s="30" t="s">
        <v>5856</v>
      </c>
      <c r="AH762" s="28" t="s">
        <v>431</v>
      </c>
      <c r="AI762" s="28" t="s">
        <v>53</v>
      </c>
      <c r="AJ762" s="33">
        <v>38189</v>
      </c>
      <c r="AK762" s="28">
        <v>5</v>
      </c>
      <c r="AL762" s="28">
        <v>22</v>
      </c>
      <c r="AM762" s="21"/>
      <c r="AN762" s="27"/>
      <c r="AO762" s="27"/>
      <c r="AP762" s="27"/>
      <c r="AQ762" s="27"/>
    </row>
    <row r="763" spans="1:43" ht="15.75" customHeight="1">
      <c r="A763" s="28">
        <v>3</v>
      </c>
      <c r="B763" s="29" t="s">
        <v>6025</v>
      </c>
      <c r="C763" s="30"/>
      <c r="D763" s="31" t="s">
        <v>6026</v>
      </c>
      <c r="E763" s="30" t="s">
        <v>72</v>
      </c>
      <c r="F763" s="30" t="s">
        <v>50</v>
      </c>
      <c r="G763" s="30" t="s">
        <v>51</v>
      </c>
      <c r="H763" s="28" t="s">
        <v>85</v>
      </c>
      <c r="I763" s="30"/>
      <c r="J763" s="30" t="s">
        <v>53</v>
      </c>
      <c r="K763" s="30" t="s">
        <v>6027</v>
      </c>
      <c r="L763" s="30" t="s">
        <v>55</v>
      </c>
      <c r="M763" s="30" t="s">
        <v>5862</v>
      </c>
      <c r="N763" s="30" t="s">
        <v>6028</v>
      </c>
      <c r="O763" s="30" t="s">
        <v>6029</v>
      </c>
      <c r="P763" s="30" t="s">
        <v>6030</v>
      </c>
      <c r="Q763" s="28"/>
      <c r="R763" s="30" t="s">
        <v>6031</v>
      </c>
      <c r="S763" s="30" t="s">
        <v>53</v>
      </c>
      <c r="T763" s="30"/>
      <c r="U763" s="28" t="s">
        <v>5995</v>
      </c>
      <c r="V763" s="30" t="s">
        <v>63</v>
      </c>
      <c r="W763" s="30" t="s">
        <v>204</v>
      </c>
      <c r="X763" s="32">
        <v>44228</v>
      </c>
      <c r="Y763" s="32">
        <v>45992</v>
      </c>
      <c r="Z763" s="30" t="s">
        <v>65</v>
      </c>
      <c r="AA763" s="28" t="s">
        <v>66</v>
      </c>
      <c r="AB763" s="28" t="s">
        <v>67</v>
      </c>
      <c r="AC763" s="29"/>
      <c r="AD763" s="28">
        <v>0</v>
      </c>
      <c r="AE763" s="29"/>
      <c r="AF763" s="31"/>
      <c r="AG763" s="30" t="s">
        <v>5856</v>
      </c>
      <c r="AH763" s="28"/>
      <c r="AI763" s="28" t="s">
        <v>53</v>
      </c>
      <c r="AJ763" s="33">
        <v>37676</v>
      </c>
      <c r="AK763" s="28">
        <v>6</v>
      </c>
      <c r="AL763" s="28">
        <v>22</v>
      </c>
      <c r="AM763" s="21"/>
      <c r="AN763" s="27"/>
      <c r="AO763" s="27"/>
      <c r="AP763" s="27"/>
      <c r="AQ763" s="27"/>
    </row>
    <row r="764" spans="1:43" ht="15.75" customHeight="1">
      <c r="A764" s="28">
        <v>4</v>
      </c>
      <c r="B764" s="29" t="s">
        <v>6032</v>
      </c>
      <c r="C764" s="30" t="s">
        <v>6033</v>
      </c>
      <c r="D764" s="31" t="s">
        <v>6034</v>
      </c>
      <c r="E764" s="30" t="s">
        <v>72</v>
      </c>
      <c r="F764" s="30" t="s">
        <v>50</v>
      </c>
      <c r="G764" s="30" t="s">
        <v>51</v>
      </c>
      <c r="H764" s="28" t="s">
        <v>601</v>
      </c>
      <c r="I764" s="30"/>
      <c r="J764" s="30" t="s">
        <v>53</v>
      </c>
      <c r="K764" s="30" t="s">
        <v>6035</v>
      </c>
      <c r="L764" s="30" t="s">
        <v>55</v>
      </c>
      <c r="M764" s="30" t="s">
        <v>5862</v>
      </c>
      <c r="N764" s="30" t="s">
        <v>6036</v>
      </c>
      <c r="O764" s="30" t="s">
        <v>1768</v>
      </c>
      <c r="P764" s="30" t="s">
        <v>6037</v>
      </c>
      <c r="Q764" s="28"/>
      <c r="R764" s="30" t="s">
        <v>6038</v>
      </c>
      <c r="S764" s="30" t="s">
        <v>53</v>
      </c>
      <c r="T764" s="30"/>
      <c r="U764" s="28" t="s">
        <v>107</v>
      </c>
      <c r="V764" s="30" t="s">
        <v>63</v>
      </c>
      <c r="W764" s="30" t="s">
        <v>204</v>
      </c>
      <c r="X764" s="32">
        <v>43831</v>
      </c>
      <c r="Y764" s="32">
        <v>45627</v>
      </c>
      <c r="Z764" s="30" t="s">
        <v>65</v>
      </c>
      <c r="AA764" s="28" t="s">
        <v>66</v>
      </c>
      <c r="AB764" s="28" t="s">
        <v>67</v>
      </c>
      <c r="AC764" s="29"/>
      <c r="AD764" s="28">
        <v>0</v>
      </c>
      <c r="AE764" s="29"/>
      <c r="AF764" s="31"/>
      <c r="AG764" s="30" t="s">
        <v>5856</v>
      </c>
      <c r="AH764" s="28"/>
      <c r="AI764" s="28" t="s">
        <v>53</v>
      </c>
      <c r="AJ764" s="33">
        <v>37396</v>
      </c>
      <c r="AK764" s="28">
        <v>8</v>
      </c>
      <c r="AL764" s="28">
        <v>21</v>
      </c>
      <c r="AM764" s="21"/>
      <c r="AN764" s="27"/>
      <c r="AO764" s="27"/>
      <c r="AP764" s="27"/>
      <c r="AQ764" s="27"/>
    </row>
    <row r="765" spans="1:43" ht="15.75" customHeight="1">
      <c r="A765" s="28">
        <v>1</v>
      </c>
      <c r="B765" s="29" t="s">
        <v>6039</v>
      </c>
      <c r="C765" s="30"/>
      <c r="D765" s="31" t="s">
        <v>6040</v>
      </c>
      <c r="E765" s="30" t="s">
        <v>72</v>
      </c>
      <c r="F765" s="30" t="s">
        <v>50</v>
      </c>
      <c r="G765" s="30" t="s">
        <v>51</v>
      </c>
      <c r="H765" s="28" t="s">
        <v>85</v>
      </c>
      <c r="I765" s="30"/>
      <c r="J765" s="30" t="s">
        <v>53</v>
      </c>
      <c r="K765" s="30" t="s">
        <v>6041</v>
      </c>
      <c r="L765" s="30" t="s">
        <v>55</v>
      </c>
      <c r="M765" s="30" t="s">
        <v>5862</v>
      </c>
      <c r="N765" s="30" t="s">
        <v>6042</v>
      </c>
      <c r="O765" s="30" t="s">
        <v>6043</v>
      </c>
      <c r="P765" s="30" t="s">
        <v>6044</v>
      </c>
      <c r="Q765" s="28" t="s">
        <v>6045</v>
      </c>
      <c r="R765" s="30" t="s">
        <v>6046</v>
      </c>
      <c r="S765" s="30" t="s">
        <v>53</v>
      </c>
      <c r="T765" s="30"/>
      <c r="U765" s="28" t="s">
        <v>107</v>
      </c>
      <c r="V765" s="30" t="s">
        <v>63</v>
      </c>
      <c r="W765" s="30" t="s">
        <v>1005</v>
      </c>
      <c r="X765" s="32">
        <v>43862</v>
      </c>
      <c r="Y765" s="32">
        <v>45627</v>
      </c>
      <c r="Z765" s="30" t="s">
        <v>65</v>
      </c>
      <c r="AA765" s="28" t="s">
        <v>66</v>
      </c>
      <c r="AB765" s="28" t="s">
        <v>67</v>
      </c>
      <c r="AC765" s="29"/>
      <c r="AD765" s="28">
        <v>0</v>
      </c>
      <c r="AE765" s="29"/>
      <c r="AF765" s="31"/>
      <c r="AG765" s="30" t="s">
        <v>5856</v>
      </c>
      <c r="AH765" s="28"/>
      <c r="AI765" s="28" t="s">
        <v>118</v>
      </c>
      <c r="AJ765" s="33">
        <v>37011</v>
      </c>
      <c r="AK765" s="28">
        <v>7</v>
      </c>
      <c r="AL765" s="28">
        <v>18</v>
      </c>
      <c r="AM765" s="21"/>
      <c r="AN765" s="27"/>
      <c r="AO765" s="27"/>
      <c r="AP765" s="27"/>
      <c r="AQ765" s="27"/>
    </row>
    <row r="766" spans="1:43" ht="15.75" customHeight="1">
      <c r="A766" s="28">
        <v>2</v>
      </c>
      <c r="B766" s="29" t="s">
        <v>6047</v>
      </c>
      <c r="C766" s="30" t="s">
        <v>6048</v>
      </c>
      <c r="D766" s="31" t="s">
        <v>6049</v>
      </c>
      <c r="E766" s="30" t="s">
        <v>49</v>
      </c>
      <c r="F766" s="30" t="s">
        <v>50</v>
      </c>
      <c r="G766" s="30" t="s">
        <v>51</v>
      </c>
      <c r="H766" s="28" t="s">
        <v>52</v>
      </c>
      <c r="I766" s="30"/>
      <c r="J766" s="30" t="s">
        <v>53</v>
      </c>
      <c r="K766" s="30" t="s">
        <v>6050</v>
      </c>
      <c r="L766" s="30" t="s">
        <v>55</v>
      </c>
      <c r="M766" s="30" t="s">
        <v>5862</v>
      </c>
      <c r="N766" s="30" t="s">
        <v>6051</v>
      </c>
      <c r="O766" s="30" t="s">
        <v>6000</v>
      </c>
      <c r="P766" s="30" t="s">
        <v>6052</v>
      </c>
      <c r="Q766" s="28" t="s">
        <v>6053</v>
      </c>
      <c r="R766" s="30" t="s">
        <v>6054</v>
      </c>
      <c r="S766" s="30" t="s">
        <v>53</v>
      </c>
      <c r="T766" s="30"/>
      <c r="U766" s="28" t="s">
        <v>107</v>
      </c>
      <c r="V766" s="30" t="s">
        <v>63</v>
      </c>
      <c r="W766" s="30" t="s">
        <v>1005</v>
      </c>
      <c r="X766" s="32">
        <v>44562</v>
      </c>
      <c r="Y766" s="32">
        <v>46357</v>
      </c>
      <c r="Z766" s="30" t="s">
        <v>65</v>
      </c>
      <c r="AA766" s="28" t="s">
        <v>66</v>
      </c>
      <c r="AB766" s="28" t="s">
        <v>67</v>
      </c>
      <c r="AC766" s="29"/>
      <c r="AD766" s="28">
        <v>0</v>
      </c>
      <c r="AE766" s="29"/>
      <c r="AF766" s="31"/>
      <c r="AG766" s="30" t="s">
        <v>5856</v>
      </c>
      <c r="AH766" s="28"/>
      <c r="AI766" s="28" t="s">
        <v>53</v>
      </c>
      <c r="AJ766" s="33">
        <v>36580</v>
      </c>
      <c r="AK766" s="28">
        <v>5</v>
      </c>
      <c r="AL766" s="28">
        <v>17</v>
      </c>
      <c r="AM766" s="21"/>
      <c r="AN766" s="27"/>
      <c r="AO766" s="27"/>
      <c r="AP766" s="27"/>
      <c r="AQ766" s="27"/>
    </row>
    <row r="767" spans="1:43" ht="15.75" customHeight="1">
      <c r="A767" s="28">
        <v>1</v>
      </c>
      <c r="B767" s="29" t="s">
        <v>6055</v>
      </c>
      <c r="C767" s="30" t="s">
        <v>6056</v>
      </c>
      <c r="D767" s="31" t="s">
        <v>6057</v>
      </c>
      <c r="E767" s="30" t="s">
        <v>72</v>
      </c>
      <c r="F767" s="30" t="s">
        <v>50</v>
      </c>
      <c r="G767" s="30" t="s">
        <v>51</v>
      </c>
      <c r="H767" s="28" t="s">
        <v>85</v>
      </c>
      <c r="I767" s="30"/>
      <c r="J767" s="30" t="s">
        <v>53</v>
      </c>
      <c r="K767" s="30" t="s">
        <v>6058</v>
      </c>
      <c r="L767" s="30" t="s">
        <v>55</v>
      </c>
      <c r="M767" s="30" t="s">
        <v>6059</v>
      </c>
      <c r="N767" s="30" t="s">
        <v>6060</v>
      </c>
      <c r="O767" s="30" t="s">
        <v>58</v>
      </c>
      <c r="P767" s="30" t="s">
        <v>6061</v>
      </c>
      <c r="Q767" s="28" t="s">
        <v>6062</v>
      </c>
      <c r="R767" s="30" t="s">
        <v>6063</v>
      </c>
      <c r="S767" s="30" t="s">
        <v>53</v>
      </c>
      <c r="T767" s="30"/>
      <c r="U767" s="28" t="s">
        <v>1329</v>
      </c>
      <c r="V767" s="30" t="s">
        <v>63</v>
      </c>
      <c r="W767" s="30" t="s">
        <v>64</v>
      </c>
      <c r="X767" s="32">
        <v>44197</v>
      </c>
      <c r="Y767" s="32">
        <v>45992</v>
      </c>
      <c r="Z767" s="30" t="s">
        <v>65</v>
      </c>
      <c r="AA767" s="28" t="s">
        <v>66</v>
      </c>
      <c r="AB767" s="28" t="s">
        <v>67</v>
      </c>
      <c r="AC767" s="29"/>
      <c r="AD767" s="28">
        <v>0</v>
      </c>
      <c r="AE767" s="29"/>
      <c r="AF767" s="31"/>
      <c r="AG767" s="30" t="s">
        <v>6064</v>
      </c>
      <c r="AH767" s="28"/>
      <c r="AI767" s="28" t="s">
        <v>118</v>
      </c>
      <c r="AJ767" s="33">
        <v>37030</v>
      </c>
      <c r="AK767" s="28">
        <v>6</v>
      </c>
      <c r="AL767" s="28">
        <v>25</v>
      </c>
      <c r="AM767" s="21"/>
      <c r="AN767" s="27"/>
      <c r="AO767" s="27"/>
      <c r="AP767" s="27"/>
      <c r="AQ767" s="27"/>
    </row>
    <row r="768" spans="1:43" ht="15.75" customHeight="1">
      <c r="A768" s="28">
        <v>2</v>
      </c>
      <c r="B768" s="29" t="s">
        <v>6065</v>
      </c>
      <c r="C768" s="30"/>
      <c r="D768" s="31" t="s">
        <v>6066</v>
      </c>
      <c r="E768" s="30" t="s">
        <v>72</v>
      </c>
      <c r="F768" s="30" t="s">
        <v>50</v>
      </c>
      <c r="G768" s="30" t="s">
        <v>51</v>
      </c>
      <c r="H768" s="28" t="s">
        <v>52</v>
      </c>
      <c r="I768" s="30"/>
      <c r="J768" s="30" t="s">
        <v>53</v>
      </c>
      <c r="K768" s="30" t="s">
        <v>6058</v>
      </c>
      <c r="L768" s="30" t="s">
        <v>55</v>
      </c>
      <c r="M768" s="30" t="s">
        <v>6059</v>
      </c>
      <c r="N768" s="30" t="s">
        <v>6067</v>
      </c>
      <c r="O768" s="30" t="s">
        <v>58</v>
      </c>
      <c r="P768" s="30" t="s">
        <v>6068</v>
      </c>
      <c r="Q768" s="28" t="s">
        <v>6069</v>
      </c>
      <c r="R768" s="30" t="s">
        <v>6070</v>
      </c>
      <c r="S768" s="30" t="s">
        <v>53</v>
      </c>
      <c r="T768" s="30"/>
      <c r="U768" s="28" t="s">
        <v>1329</v>
      </c>
      <c r="V768" s="30" t="s">
        <v>63</v>
      </c>
      <c r="W768" s="30" t="s">
        <v>64</v>
      </c>
      <c r="X768" s="32">
        <v>43101</v>
      </c>
      <c r="Y768" s="32">
        <v>45627</v>
      </c>
      <c r="Z768" s="30" t="s">
        <v>65</v>
      </c>
      <c r="AA768" s="28" t="s">
        <v>66</v>
      </c>
      <c r="AB768" s="28" t="s">
        <v>67</v>
      </c>
      <c r="AC768" s="29"/>
      <c r="AD768" s="28">
        <v>0</v>
      </c>
      <c r="AE768" s="29"/>
      <c r="AF768" s="31"/>
      <c r="AG768" s="30" t="s">
        <v>6064</v>
      </c>
      <c r="AH768" s="28"/>
      <c r="AI768" s="28" t="s">
        <v>118</v>
      </c>
      <c r="AJ768" s="33">
        <v>36647</v>
      </c>
      <c r="AK768" s="28">
        <v>8</v>
      </c>
      <c r="AL768" s="28">
        <v>21</v>
      </c>
      <c r="AM768" s="21"/>
      <c r="AN768" s="27"/>
      <c r="AO768" s="27"/>
      <c r="AP768" s="27"/>
      <c r="AQ768" s="27"/>
    </row>
    <row r="769" spans="1:43" ht="15.75" customHeight="1">
      <c r="A769" s="28">
        <v>3</v>
      </c>
      <c r="B769" s="29" t="s">
        <v>6071</v>
      </c>
      <c r="C769" s="30"/>
      <c r="D769" s="31" t="s">
        <v>6072</v>
      </c>
      <c r="E769" s="30" t="s">
        <v>72</v>
      </c>
      <c r="F769" s="30" t="s">
        <v>50</v>
      </c>
      <c r="G769" s="30" t="s">
        <v>51</v>
      </c>
      <c r="H769" s="28" t="s">
        <v>52</v>
      </c>
      <c r="I769" s="30"/>
      <c r="J769" s="30" t="s">
        <v>53</v>
      </c>
      <c r="K769" s="30" t="s">
        <v>6058</v>
      </c>
      <c r="L769" s="30" t="s">
        <v>55</v>
      </c>
      <c r="M769" s="30" t="s">
        <v>6059</v>
      </c>
      <c r="N769" s="30" t="s">
        <v>6073</v>
      </c>
      <c r="O769" s="30" t="s">
        <v>6074</v>
      </c>
      <c r="P769" s="30" t="s">
        <v>6075</v>
      </c>
      <c r="Q769" s="28" t="s">
        <v>6076</v>
      </c>
      <c r="R769" s="30" t="s">
        <v>6077</v>
      </c>
      <c r="S769" s="30" t="s">
        <v>53</v>
      </c>
      <c r="T769" s="30"/>
      <c r="U769" s="28" t="s">
        <v>1329</v>
      </c>
      <c r="V769" s="30" t="s">
        <v>63</v>
      </c>
      <c r="W769" s="30" t="s">
        <v>64</v>
      </c>
      <c r="X769" s="32">
        <v>44197</v>
      </c>
      <c r="Y769" s="32">
        <v>45992</v>
      </c>
      <c r="Z769" s="30" t="s">
        <v>65</v>
      </c>
      <c r="AA769" s="28" t="s">
        <v>66</v>
      </c>
      <c r="AB769" s="28" t="s">
        <v>67</v>
      </c>
      <c r="AC769" s="29"/>
      <c r="AD769" s="28">
        <v>0</v>
      </c>
      <c r="AE769" s="29"/>
      <c r="AF769" s="31"/>
      <c r="AG769" s="30" t="s">
        <v>6064</v>
      </c>
      <c r="AH769" s="28"/>
      <c r="AI769" s="28" t="s">
        <v>118</v>
      </c>
      <c r="AJ769" s="33">
        <v>37785</v>
      </c>
      <c r="AK769" s="28">
        <v>6</v>
      </c>
      <c r="AL769" s="28">
        <v>21</v>
      </c>
      <c r="AM769" s="21"/>
      <c r="AN769" s="27"/>
      <c r="AO769" s="27"/>
      <c r="AP769" s="27"/>
      <c r="AQ769" s="27"/>
    </row>
    <row r="770" spans="1:43" ht="15.75" customHeight="1">
      <c r="A770" s="28">
        <v>4</v>
      </c>
      <c r="B770" s="29" t="s">
        <v>6078</v>
      </c>
      <c r="C770" s="30"/>
      <c r="D770" s="31" t="s">
        <v>6079</v>
      </c>
      <c r="E770" s="30" t="s">
        <v>72</v>
      </c>
      <c r="F770" s="30" t="s">
        <v>50</v>
      </c>
      <c r="G770" s="30" t="s">
        <v>51</v>
      </c>
      <c r="H770" s="28" t="s">
        <v>52</v>
      </c>
      <c r="I770" s="30"/>
      <c r="J770" s="30" t="s">
        <v>53</v>
      </c>
      <c r="K770" s="30" t="s">
        <v>6058</v>
      </c>
      <c r="L770" s="30" t="s">
        <v>55</v>
      </c>
      <c r="M770" s="30" t="s">
        <v>6059</v>
      </c>
      <c r="N770" s="30" t="s">
        <v>6080</v>
      </c>
      <c r="O770" s="30" t="s">
        <v>6081</v>
      </c>
      <c r="P770" s="30" t="s">
        <v>6082</v>
      </c>
      <c r="Q770" s="28"/>
      <c r="R770" s="30" t="s">
        <v>6083</v>
      </c>
      <c r="S770" s="30" t="s">
        <v>53</v>
      </c>
      <c r="T770" s="30"/>
      <c r="U770" s="28" t="s">
        <v>1329</v>
      </c>
      <c r="V770" s="30" t="s">
        <v>63</v>
      </c>
      <c r="W770" s="30" t="s">
        <v>64</v>
      </c>
      <c r="X770" s="32">
        <v>44593</v>
      </c>
      <c r="Y770" s="32">
        <v>45962</v>
      </c>
      <c r="Z770" s="30" t="s">
        <v>65</v>
      </c>
      <c r="AA770" s="28" t="s">
        <v>66</v>
      </c>
      <c r="AB770" s="28" t="s">
        <v>67</v>
      </c>
      <c r="AC770" s="29"/>
      <c r="AD770" s="28">
        <v>0</v>
      </c>
      <c r="AE770" s="29"/>
      <c r="AF770" s="31"/>
      <c r="AG770" s="30" t="s">
        <v>6064</v>
      </c>
      <c r="AH770" s="28"/>
      <c r="AI770" s="28" t="s">
        <v>118</v>
      </c>
      <c r="AJ770" s="33">
        <v>36979</v>
      </c>
      <c r="AK770" s="28">
        <v>5</v>
      </c>
      <c r="AL770" s="28">
        <v>19</v>
      </c>
      <c r="AM770" s="21"/>
      <c r="AN770" s="27"/>
      <c r="AO770" s="27"/>
      <c r="AP770" s="27"/>
      <c r="AQ770" s="27"/>
    </row>
    <row r="771" spans="1:43" ht="15.75" customHeight="1">
      <c r="A771" s="28">
        <v>5</v>
      </c>
      <c r="B771" s="29" t="s">
        <v>6084</v>
      </c>
      <c r="C771" s="30" t="s">
        <v>6085</v>
      </c>
      <c r="D771" s="31" t="s">
        <v>6086</v>
      </c>
      <c r="E771" s="30" t="s">
        <v>72</v>
      </c>
      <c r="F771" s="30" t="s">
        <v>50</v>
      </c>
      <c r="G771" s="30" t="s">
        <v>51</v>
      </c>
      <c r="H771" s="28" t="s">
        <v>52</v>
      </c>
      <c r="I771" s="30"/>
      <c r="J771" s="30" t="s">
        <v>53</v>
      </c>
      <c r="K771" s="30" t="s">
        <v>6058</v>
      </c>
      <c r="L771" s="30" t="s">
        <v>55</v>
      </c>
      <c r="M771" s="30" t="s">
        <v>6059</v>
      </c>
      <c r="N771" s="30" t="s">
        <v>6087</v>
      </c>
      <c r="O771" s="30" t="s">
        <v>6088</v>
      </c>
      <c r="P771" s="30" t="s">
        <v>6089</v>
      </c>
      <c r="Q771" s="28"/>
      <c r="R771" s="30" t="s">
        <v>6090</v>
      </c>
      <c r="S771" s="30" t="s">
        <v>53</v>
      </c>
      <c r="T771" s="30"/>
      <c r="U771" s="28" t="s">
        <v>1329</v>
      </c>
      <c r="V771" s="30" t="s">
        <v>63</v>
      </c>
      <c r="W771" s="30" t="s">
        <v>64</v>
      </c>
      <c r="X771" s="32">
        <v>44197</v>
      </c>
      <c r="Y771" s="32">
        <v>45992</v>
      </c>
      <c r="Z771" s="30" t="s">
        <v>65</v>
      </c>
      <c r="AA771" s="28" t="s">
        <v>66</v>
      </c>
      <c r="AB771" s="28" t="s">
        <v>67</v>
      </c>
      <c r="AC771" s="29"/>
      <c r="AD771" s="28">
        <v>0</v>
      </c>
      <c r="AE771" s="29"/>
      <c r="AF771" s="31"/>
      <c r="AG771" s="30" t="s">
        <v>6064</v>
      </c>
      <c r="AH771" s="28"/>
      <c r="AI771" s="28" t="s">
        <v>118</v>
      </c>
      <c r="AJ771" s="33">
        <v>37951</v>
      </c>
      <c r="AK771" s="28">
        <v>6</v>
      </c>
      <c r="AL771" s="28">
        <v>19</v>
      </c>
      <c r="AM771" s="21"/>
      <c r="AN771" s="27"/>
      <c r="AO771" s="27"/>
      <c r="AP771" s="27"/>
      <c r="AQ771" s="27"/>
    </row>
    <row r="772" spans="1:43" ht="15.75" customHeight="1">
      <c r="A772" s="28">
        <v>6</v>
      </c>
      <c r="B772" s="29" t="s">
        <v>6091</v>
      </c>
      <c r="C772" s="30"/>
      <c r="D772" s="31" t="s">
        <v>6092</v>
      </c>
      <c r="E772" s="30" t="s">
        <v>49</v>
      </c>
      <c r="F772" s="30" t="s">
        <v>50</v>
      </c>
      <c r="G772" s="30" t="s">
        <v>51</v>
      </c>
      <c r="H772" s="28" t="s">
        <v>52</v>
      </c>
      <c r="I772" s="30"/>
      <c r="J772" s="30" t="s">
        <v>53</v>
      </c>
      <c r="K772" s="30" t="s">
        <v>6058</v>
      </c>
      <c r="L772" s="30" t="s">
        <v>55</v>
      </c>
      <c r="M772" s="30" t="s">
        <v>6059</v>
      </c>
      <c r="N772" s="30" t="s">
        <v>6093</v>
      </c>
      <c r="O772" s="30" t="s">
        <v>58</v>
      </c>
      <c r="P772" s="30" t="s">
        <v>6094</v>
      </c>
      <c r="Q772" s="28" t="s">
        <v>6095</v>
      </c>
      <c r="R772" s="30" t="s">
        <v>6096</v>
      </c>
      <c r="S772" s="30" t="s">
        <v>53</v>
      </c>
      <c r="T772" s="30"/>
      <c r="U772" s="28" t="s">
        <v>1329</v>
      </c>
      <c r="V772" s="30" t="s">
        <v>63</v>
      </c>
      <c r="W772" s="30" t="s">
        <v>64</v>
      </c>
      <c r="X772" s="32">
        <v>43466</v>
      </c>
      <c r="Y772" s="32">
        <v>44927</v>
      </c>
      <c r="Z772" s="30" t="s">
        <v>65</v>
      </c>
      <c r="AA772" s="28" t="s">
        <v>66</v>
      </c>
      <c r="AB772" s="28" t="s">
        <v>67</v>
      </c>
      <c r="AC772" s="29"/>
      <c r="AD772" s="28">
        <v>0</v>
      </c>
      <c r="AE772" s="29"/>
      <c r="AF772" s="31"/>
      <c r="AG772" s="30" t="s">
        <v>6064</v>
      </c>
      <c r="AH772" s="28"/>
      <c r="AI772" s="28" t="s">
        <v>53</v>
      </c>
      <c r="AJ772" s="33">
        <v>37312</v>
      </c>
      <c r="AK772" s="28">
        <v>9</v>
      </c>
      <c r="AL772" s="28">
        <v>19</v>
      </c>
      <c r="AM772" s="21"/>
      <c r="AN772" s="27"/>
      <c r="AO772" s="27"/>
      <c r="AP772" s="27"/>
      <c r="AQ772" s="27"/>
    </row>
    <row r="773" spans="1:43" ht="15.75" customHeight="1">
      <c r="A773" s="28">
        <v>7</v>
      </c>
      <c r="B773" s="29" t="s">
        <v>6097</v>
      </c>
      <c r="C773" s="30"/>
      <c r="D773" s="31" t="s">
        <v>6098</v>
      </c>
      <c r="E773" s="30" t="s">
        <v>72</v>
      </c>
      <c r="F773" s="30" t="s">
        <v>50</v>
      </c>
      <c r="G773" s="30" t="s">
        <v>51</v>
      </c>
      <c r="H773" s="28" t="s">
        <v>85</v>
      </c>
      <c r="I773" s="30"/>
      <c r="J773" s="30" t="s">
        <v>53</v>
      </c>
      <c r="K773" s="30" t="s">
        <v>6058</v>
      </c>
      <c r="L773" s="30" t="s">
        <v>55</v>
      </c>
      <c r="M773" s="30" t="s">
        <v>6059</v>
      </c>
      <c r="N773" s="30" t="s">
        <v>6099</v>
      </c>
      <c r="O773" s="30" t="s">
        <v>410</v>
      </c>
      <c r="P773" s="30" t="s">
        <v>6100</v>
      </c>
      <c r="Q773" s="28"/>
      <c r="R773" s="30" t="s">
        <v>6101</v>
      </c>
      <c r="S773" s="30" t="s">
        <v>53</v>
      </c>
      <c r="T773" s="30"/>
      <c r="U773" s="28" t="s">
        <v>1329</v>
      </c>
      <c r="V773" s="30" t="s">
        <v>63</v>
      </c>
      <c r="W773" s="30" t="s">
        <v>64</v>
      </c>
      <c r="X773" s="32">
        <v>44562</v>
      </c>
      <c r="Y773" s="32">
        <v>46023</v>
      </c>
      <c r="Z773" s="30" t="s">
        <v>65</v>
      </c>
      <c r="AA773" s="28" t="s">
        <v>66</v>
      </c>
      <c r="AB773" s="28" t="s">
        <v>67</v>
      </c>
      <c r="AC773" s="29"/>
      <c r="AD773" s="28">
        <v>0</v>
      </c>
      <c r="AE773" s="29"/>
      <c r="AF773" s="31"/>
      <c r="AG773" s="30" t="s">
        <v>6064</v>
      </c>
      <c r="AH773" s="28"/>
      <c r="AI773" s="28" t="s">
        <v>53</v>
      </c>
      <c r="AJ773" s="33">
        <v>38229</v>
      </c>
      <c r="AK773" s="28">
        <v>5</v>
      </c>
      <c r="AL773" s="28">
        <v>16</v>
      </c>
      <c r="AM773" s="21"/>
      <c r="AN773" s="27"/>
      <c r="AO773" s="27"/>
      <c r="AP773" s="27"/>
      <c r="AQ773" s="27"/>
    </row>
    <row r="774" spans="1:43" ht="15.75" customHeight="1">
      <c r="A774" s="28">
        <v>1</v>
      </c>
      <c r="B774" s="29" t="s">
        <v>6102</v>
      </c>
      <c r="C774" s="30"/>
      <c r="D774" s="31" t="s">
        <v>6103</v>
      </c>
      <c r="E774" s="30" t="s">
        <v>72</v>
      </c>
      <c r="F774" s="30" t="s">
        <v>84</v>
      </c>
      <c r="G774" s="30" t="s">
        <v>51</v>
      </c>
      <c r="H774" s="28" t="s">
        <v>52</v>
      </c>
      <c r="I774" s="30"/>
      <c r="J774" s="30" t="s">
        <v>53</v>
      </c>
      <c r="K774" s="30" t="s">
        <v>6104</v>
      </c>
      <c r="L774" s="30" t="s">
        <v>55</v>
      </c>
      <c r="M774" s="30" t="s">
        <v>6105</v>
      </c>
      <c r="N774" s="30" t="s">
        <v>6106</v>
      </c>
      <c r="O774" s="30" t="s">
        <v>4811</v>
      </c>
      <c r="P774" s="30" t="s">
        <v>6107</v>
      </c>
      <c r="Q774" s="28"/>
      <c r="R774" s="30" t="s">
        <v>6108</v>
      </c>
      <c r="S774" s="30" t="s">
        <v>53</v>
      </c>
      <c r="T774" s="30"/>
      <c r="U774" s="28" t="s">
        <v>6109</v>
      </c>
      <c r="V774" s="30" t="s">
        <v>63</v>
      </c>
      <c r="W774" s="30" t="s">
        <v>64</v>
      </c>
      <c r="X774" s="32">
        <v>43831</v>
      </c>
      <c r="Y774" s="32">
        <v>45992</v>
      </c>
      <c r="Z774" s="30" t="s">
        <v>65</v>
      </c>
      <c r="AA774" s="28" t="s">
        <v>66</v>
      </c>
      <c r="AB774" s="28" t="s">
        <v>67</v>
      </c>
      <c r="AC774" s="29"/>
      <c r="AD774" s="28">
        <v>0</v>
      </c>
      <c r="AE774" s="29"/>
      <c r="AF774" s="31"/>
      <c r="AG774" s="30" t="s">
        <v>6110</v>
      </c>
      <c r="AH774" s="28"/>
      <c r="AI774" s="28" t="s">
        <v>53</v>
      </c>
      <c r="AJ774" s="33">
        <v>37898</v>
      </c>
      <c r="AK774" s="28">
        <v>6</v>
      </c>
      <c r="AL774" s="28">
        <v>18</v>
      </c>
      <c r="AM774" s="21"/>
      <c r="AN774" s="27"/>
      <c r="AO774" s="27"/>
      <c r="AP774" s="27"/>
      <c r="AQ774" s="27"/>
    </row>
    <row r="775" spans="1:43" ht="15.75" customHeight="1">
      <c r="A775" s="28">
        <v>1</v>
      </c>
      <c r="B775" s="29" t="s">
        <v>6111</v>
      </c>
      <c r="C775" s="30"/>
      <c r="D775" s="31" t="s">
        <v>6112</v>
      </c>
      <c r="E775" s="30" t="s">
        <v>49</v>
      </c>
      <c r="F775" s="30" t="s">
        <v>50</v>
      </c>
      <c r="G775" s="30" t="s">
        <v>51</v>
      </c>
      <c r="H775" s="28" t="s">
        <v>85</v>
      </c>
      <c r="I775" s="30"/>
      <c r="J775" s="30" t="s">
        <v>53</v>
      </c>
      <c r="K775" s="30" t="s">
        <v>6113</v>
      </c>
      <c r="L775" s="30" t="s">
        <v>55</v>
      </c>
      <c r="M775" s="30" t="s">
        <v>6114</v>
      </c>
      <c r="N775" s="30" t="s">
        <v>6115</v>
      </c>
      <c r="O775" s="30" t="s">
        <v>58</v>
      </c>
      <c r="P775" s="30" t="s">
        <v>6116</v>
      </c>
      <c r="Q775" s="28"/>
      <c r="R775" s="30" t="s">
        <v>6117</v>
      </c>
      <c r="S775" s="30" t="s">
        <v>53</v>
      </c>
      <c r="T775" s="30"/>
      <c r="U775" s="28" t="s">
        <v>4553</v>
      </c>
      <c r="V775" s="30" t="s">
        <v>63</v>
      </c>
      <c r="W775" s="30" t="s">
        <v>64</v>
      </c>
      <c r="X775" s="32">
        <v>44228</v>
      </c>
      <c r="Y775" s="32">
        <v>45992</v>
      </c>
      <c r="Z775" s="30" t="s">
        <v>65</v>
      </c>
      <c r="AA775" s="28" t="s">
        <v>134</v>
      </c>
      <c r="AB775" s="28" t="s">
        <v>67</v>
      </c>
      <c r="AC775" s="29"/>
      <c r="AD775" s="28">
        <v>0</v>
      </c>
      <c r="AE775" s="29"/>
      <c r="AF775" s="31"/>
      <c r="AG775" s="30" t="s">
        <v>6118</v>
      </c>
      <c r="AH775" s="28"/>
      <c r="AI775" s="28" t="s">
        <v>53</v>
      </c>
      <c r="AJ775" s="33">
        <v>37755</v>
      </c>
      <c r="AK775" s="28">
        <v>6</v>
      </c>
      <c r="AL775" s="28">
        <v>21</v>
      </c>
      <c r="AM775" s="21"/>
      <c r="AN775" s="27"/>
      <c r="AO775" s="27"/>
      <c r="AP775" s="27"/>
      <c r="AQ775" s="27"/>
    </row>
    <row r="776" spans="1:43" ht="15.75" customHeight="1">
      <c r="A776" s="28">
        <v>2</v>
      </c>
      <c r="B776" s="29" t="s">
        <v>6119</v>
      </c>
      <c r="C776" s="30"/>
      <c r="D776" s="31" t="s">
        <v>6120</v>
      </c>
      <c r="E776" s="30" t="s">
        <v>72</v>
      </c>
      <c r="F776" s="30" t="s">
        <v>50</v>
      </c>
      <c r="G776" s="30" t="s">
        <v>51</v>
      </c>
      <c r="H776" s="28" t="s">
        <v>191</v>
      </c>
      <c r="I776" s="30"/>
      <c r="J776" s="30" t="s">
        <v>53</v>
      </c>
      <c r="K776" s="30" t="s">
        <v>6113</v>
      </c>
      <c r="L776" s="30" t="s">
        <v>55</v>
      </c>
      <c r="M776" s="30" t="s">
        <v>6114</v>
      </c>
      <c r="N776" s="30" t="s">
        <v>6121</v>
      </c>
      <c r="O776" s="30" t="s">
        <v>95</v>
      </c>
      <c r="P776" s="30" t="s">
        <v>6122</v>
      </c>
      <c r="Q776" s="28"/>
      <c r="R776" s="30" t="s">
        <v>6123</v>
      </c>
      <c r="S776" s="30" t="s">
        <v>53</v>
      </c>
      <c r="T776" s="30"/>
      <c r="U776" s="28" t="s">
        <v>6124</v>
      </c>
      <c r="V776" s="30" t="s">
        <v>63</v>
      </c>
      <c r="W776" s="30" t="s">
        <v>64</v>
      </c>
      <c r="X776" s="32">
        <v>44621</v>
      </c>
      <c r="Y776" s="32">
        <v>46357</v>
      </c>
      <c r="Z776" s="30" t="s">
        <v>65</v>
      </c>
      <c r="AA776" s="28" t="s">
        <v>134</v>
      </c>
      <c r="AB776" s="28" t="s">
        <v>67</v>
      </c>
      <c r="AC776" s="29"/>
      <c r="AD776" s="28">
        <v>0</v>
      </c>
      <c r="AE776" s="29"/>
      <c r="AF776" s="31"/>
      <c r="AG776" s="30" t="s">
        <v>6118</v>
      </c>
      <c r="AH776" s="28" t="s">
        <v>431</v>
      </c>
      <c r="AI776" s="28" t="s">
        <v>53</v>
      </c>
      <c r="AJ776" s="33">
        <v>37951</v>
      </c>
      <c r="AK776" s="28">
        <v>5</v>
      </c>
      <c r="AL776" s="28">
        <v>21</v>
      </c>
      <c r="AM776" s="21"/>
      <c r="AN776" s="27"/>
      <c r="AO776" s="27"/>
      <c r="AP776" s="27"/>
      <c r="AQ776" s="27"/>
    </row>
    <row r="777" spans="1:43" ht="15.75" customHeight="1">
      <c r="A777" s="28">
        <v>3</v>
      </c>
      <c r="B777" s="29" t="s">
        <v>6125</v>
      </c>
      <c r="C777" s="30"/>
      <c r="D777" s="31" t="s">
        <v>6126</v>
      </c>
      <c r="E777" s="30" t="s">
        <v>49</v>
      </c>
      <c r="F777" s="30" t="s">
        <v>50</v>
      </c>
      <c r="G777" s="30" t="s">
        <v>51</v>
      </c>
      <c r="H777" s="28" t="s">
        <v>85</v>
      </c>
      <c r="I777" s="30"/>
      <c r="J777" s="30" t="s">
        <v>53</v>
      </c>
      <c r="K777" s="30" t="s">
        <v>6127</v>
      </c>
      <c r="L777" s="30" t="s">
        <v>55</v>
      </c>
      <c r="M777" s="30" t="s">
        <v>6128</v>
      </c>
      <c r="N777" s="30" t="s">
        <v>6129</v>
      </c>
      <c r="O777" s="30" t="s">
        <v>58</v>
      </c>
      <c r="P777" s="30" t="s">
        <v>6130</v>
      </c>
      <c r="Q777" s="28"/>
      <c r="R777" s="30" t="s">
        <v>6131</v>
      </c>
      <c r="S777" s="30" t="s">
        <v>53</v>
      </c>
      <c r="T777" s="30"/>
      <c r="U777" s="28" t="s">
        <v>3000</v>
      </c>
      <c r="V777" s="30" t="s">
        <v>63</v>
      </c>
      <c r="W777" s="30" t="s">
        <v>64</v>
      </c>
      <c r="X777" s="32">
        <v>44652</v>
      </c>
      <c r="Y777" s="32">
        <v>46327</v>
      </c>
      <c r="Z777" s="30" t="s">
        <v>65</v>
      </c>
      <c r="AA777" s="28" t="s">
        <v>134</v>
      </c>
      <c r="AB777" s="28" t="s">
        <v>67</v>
      </c>
      <c r="AC777" s="29"/>
      <c r="AD777" s="28">
        <v>0</v>
      </c>
      <c r="AE777" s="29"/>
      <c r="AF777" s="31"/>
      <c r="AG777" s="30" t="s">
        <v>6118</v>
      </c>
      <c r="AH777" s="28"/>
      <c r="AI777" s="28" t="s">
        <v>53</v>
      </c>
      <c r="AJ777" s="33">
        <v>38136</v>
      </c>
      <c r="AK777" s="28">
        <v>5</v>
      </c>
      <c r="AL777" s="28">
        <v>19</v>
      </c>
      <c r="AM777" s="21"/>
      <c r="AN777" s="27"/>
      <c r="AO777" s="27"/>
      <c r="AP777" s="27"/>
      <c r="AQ777" s="27"/>
    </row>
    <row r="778" spans="1:43" ht="15.75" customHeight="1">
      <c r="A778" s="28">
        <v>1</v>
      </c>
      <c r="B778" s="29" t="s">
        <v>6132</v>
      </c>
      <c r="C778" s="30"/>
      <c r="D778" s="31" t="s">
        <v>6133</v>
      </c>
      <c r="E778" s="30" t="s">
        <v>72</v>
      </c>
      <c r="F778" s="30" t="s">
        <v>50</v>
      </c>
      <c r="G778" s="30" t="s">
        <v>51</v>
      </c>
      <c r="H778" s="28" t="s">
        <v>85</v>
      </c>
      <c r="I778" s="30"/>
      <c r="J778" s="30" t="s">
        <v>53</v>
      </c>
      <c r="K778" s="30" t="s">
        <v>6134</v>
      </c>
      <c r="L778" s="30" t="s">
        <v>55</v>
      </c>
      <c r="M778" s="30" t="s">
        <v>6135</v>
      </c>
      <c r="N778" s="30" t="s">
        <v>6136</v>
      </c>
      <c r="O778" s="30" t="s">
        <v>58</v>
      </c>
      <c r="P778" s="30" t="s">
        <v>6137</v>
      </c>
      <c r="Q778" s="28"/>
      <c r="R778" s="30" t="s">
        <v>6138</v>
      </c>
      <c r="S778" s="30" t="s">
        <v>53</v>
      </c>
      <c r="T778" s="30"/>
      <c r="U778" s="28" t="s">
        <v>6139</v>
      </c>
      <c r="V778" s="30" t="s">
        <v>63</v>
      </c>
      <c r="W778" s="30" t="s">
        <v>64</v>
      </c>
      <c r="X778" s="32">
        <v>44562</v>
      </c>
      <c r="Y778" s="32">
        <v>46357</v>
      </c>
      <c r="Z778" s="30" t="s">
        <v>65</v>
      </c>
      <c r="AA778" s="28" t="s">
        <v>66</v>
      </c>
      <c r="AB778" s="28" t="s">
        <v>67</v>
      </c>
      <c r="AC778" s="29"/>
      <c r="AD778" s="28">
        <v>0</v>
      </c>
      <c r="AE778" s="29"/>
      <c r="AF778" s="31"/>
      <c r="AG778" s="30" t="s">
        <v>6140</v>
      </c>
      <c r="AH778" s="28"/>
      <c r="AI778" s="28" t="s">
        <v>118</v>
      </c>
      <c r="AJ778" s="33">
        <v>37964</v>
      </c>
      <c r="AK778" s="28">
        <v>5</v>
      </c>
      <c r="AL778" s="28">
        <v>22</v>
      </c>
      <c r="AM778" s="21"/>
      <c r="AN778" s="27"/>
      <c r="AO778" s="27"/>
      <c r="AP778" s="27"/>
      <c r="AQ778" s="27"/>
    </row>
    <row r="779" spans="1:43" ht="15.75" customHeight="1">
      <c r="A779" s="28">
        <v>2</v>
      </c>
      <c r="B779" s="29" t="s">
        <v>6141</v>
      </c>
      <c r="C779" s="30"/>
      <c r="D779" s="31" t="s">
        <v>6142</v>
      </c>
      <c r="E779" s="30" t="s">
        <v>72</v>
      </c>
      <c r="F779" s="30" t="s">
        <v>50</v>
      </c>
      <c r="G779" s="30" t="s">
        <v>51</v>
      </c>
      <c r="H779" s="28" t="s">
        <v>191</v>
      </c>
      <c r="I779" s="30"/>
      <c r="J779" s="30" t="s">
        <v>53</v>
      </c>
      <c r="K779" s="30" t="s">
        <v>6134</v>
      </c>
      <c r="L779" s="30" t="s">
        <v>55</v>
      </c>
      <c r="M779" s="30" t="s">
        <v>6135</v>
      </c>
      <c r="N779" s="30" t="s">
        <v>6143</v>
      </c>
      <c r="O779" s="30" t="s">
        <v>6144</v>
      </c>
      <c r="P779" s="30" t="s">
        <v>6145</v>
      </c>
      <c r="Q779" s="28" t="s">
        <v>6146</v>
      </c>
      <c r="R779" s="30" t="s">
        <v>6147</v>
      </c>
      <c r="S779" s="30" t="s">
        <v>53</v>
      </c>
      <c r="T779" s="30"/>
      <c r="U779" s="28" t="s">
        <v>1329</v>
      </c>
      <c r="V779" s="30" t="s">
        <v>63</v>
      </c>
      <c r="W779" s="30" t="s">
        <v>64</v>
      </c>
      <c r="X779" s="32">
        <v>43862</v>
      </c>
      <c r="Y779" s="32">
        <v>45992</v>
      </c>
      <c r="Z779" s="30" t="s">
        <v>65</v>
      </c>
      <c r="AA779" s="28" t="s">
        <v>66</v>
      </c>
      <c r="AB779" s="28" t="s">
        <v>67</v>
      </c>
      <c r="AC779" s="29"/>
      <c r="AD779" s="28">
        <v>0</v>
      </c>
      <c r="AE779" s="29"/>
      <c r="AF779" s="31"/>
      <c r="AG779" s="30" t="s">
        <v>6140</v>
      </c>
      <c r="AH779" s="28"/>
      <c r="AI779" s="28" t="s">
        <v>53</v>
      </c>
      <c r="AJ779" s="33">
        <v>38096</v>
      </c>
      <c r="AK779" s="28">
        <v>5</v>
      </c>
      <c r="AL779" s="28">
        <v>15</v>
      </c>
      <c r="AM779" s="21"/>
      <c r="AN779" s="27"/>
      <c r="AO779" s="27"/>
      <c r="AP779" s="27"/>
      <c r="AQ779" s="27"/>
    </row>
    <row r="780" spans="1:43" ht="15.75" customHeight="1">
      <c r="A780" s="28">
        <v>1</v>
      </c>
      <c r="B780" s="29" t="s">
        <v>6148</v>
      </c>
      <c r="C780" s="30" t="s">
        <v>6149</v>
      </c>
      <c r="D780" s="31" t="s">
        <v>6150</v>
      </c>
      <c r="E780" s="30" t="s">
        <v>72</v>
      </c>
      <c r="F780" s="30" t="s">
        <v>84</v>
      </c>
      <c r="G780" s="30" t="s">
        <v>51</v>
      </c>
      <c r="H780" s="28" t="s">
        <v>85</v>
      </c>
      <c r="I780" s="30"/>
      <c r="J780" s="30" t="s">
        <v>53</v>
      </c>
      <c r="K780" s="30" t="s">
        <v>6151</v>
      </c>
      <c r="L780" s="30" t="s">
        <v>112</v>
      </c>
      <c r="M780" s="30" t="s">
        <v>113</v>
      </c>
      <c r="N780" s="30" t="s">
        <v>6152</v>
      </c>
      <c r="O780" s="30" t="s">
        <v>6153</v>
      </c>
      <c r="P780" s="30" t="s">
        <v>6154</v>
      </c>
      <c r="Q780" s="28" t="s">
        <v>6155</v>
      </c>
      <c r="R780" s="30" t="s">
        <v>6156</v>
      </c>
      <c r="S780" s="30" t="s">
        <v>53</v>
      </c>
      <c r="T780" s="30"/>
      <c r="U780" s="28" t="s">
        <v>6157</v>
      </c>
      <c r="V780" s="30" t="s">
        <v>63</v>
      </c>
      <c r="W780" s="30" t="s">
        <v>64</v>
      </c>
      <c r="X780" s="32">
        <v>43678</v>
      </c>
      <c r="Y780" s="32">
        <v>45870</v>
      </c>
      <c r="Z780" s="30" t="s">
        <v>65</v>
      </c>
      <c r="AA780" s="28" t="s">
        <v>134</v>
      </c>
      <c r="AB780" s="28" t="s">
        <v>67</v>
      </c>
      <c r="AC780" s="29"/>
      <c r="AD780" s="28">
        <v>0</v>
      </c>
      <c r="AE780" s="29"/>
      <c r="AF780" s="31"/>
      <c r="AG780" s="30" t="s">
        <v>6158</v>
      </c>
      <c r="AH780" s="28"/>
      <c r="AI780" s="28" t="s">
        <v>53</v>
      </c>
      <c r="AJ780" s="33">
        <v>36782</v>
      </c>
      <c r="AK780" s="28">
        <v>9</v>
      </c>
      <c r="AL780" s="28">
        <v>21</v>
      </c>
      <c r="AM780" s="21"/>
      <c r="AN780" s="27"/>
      <c r="AO780" s="27"/>
      <c r="AP780" s="27"/>
      <c r="AQ780" s="27"/>
    </row>
    <row r="781" spans="1:43" ht="15.75" customHeight="1">
      <c r="A781" s="28">
        <v>2</v>
      </c>
      <c r="B781" s="29" t="s">
        <v>6159</v>
      </c>
      <c r="C781" s="30" t="s">
        <v>6160</v>
      </c>
      <c r="D781" s="31" t="s">
        <v>6161</v>
      </c>
      <c r="E781" s="30" t="s">
        <v>49</v>
      </c>
      <c r="F781" s="30" t="s">
        <v>50</v>
      </c>
      <c r="G781" s="30" t="s">
        <v>51</v>
      </c>
      <c r="H781" s="28" t="s">
        <v>52</v>
      </c>
      <c r="I781" s="30"/>
      <c r="J781" s="30" t="s">
        <v>53</v>
      </c>
      <c r="K781" s="30" t="s">
        <v>6162</v>
      </c>
      <c r="L781" s="30" t="s">
        <v>55</v>
      </c>
      <c r="M781" s="30" t="s">
        <v>3707</v>
      </c>
      <c r="N781" s="30" t="s">
        <v>6163</v>
      </c>
      <c r="O781" s="30" t="s">
        <v>58</v>
      </c>
      <c r="P781" s="30" t="s">
        <v>6164</v>
      </c>
      <c r="Q781" s="28"/>
      <c r="R781" s="30" t="s">
        <v>6165</v>
      </c>
      <c r="S781" s="30" t="s">
        <v>53</v>
      </c>
      <c r="T781" s="30"/>
      <c r="U781" s="28" t="s">
        <v>6166</v>
      </c>
      <c r="V781" s="30" t="s">
        <v>63</v>
      </c>
      <c r="W781" s="30" t="s">
        <v>64</v>
      </c>
      <c r="X781" s="32">
        <v>42401</v>
      </c>
      <c r="Y781" s="32">
        <v>45717</v>
      </c>
      <c r="Z781" s="30" t="s">
        <v>65</v>
      </c>
      <c r="AA781" s="28" t="s">
        <v>134</v>
      </c>
      <c r="AB781" s="28" t="s">
        <v>67</v>
      </c>
      <c r="AC781" s="29"/>
      <c r="AD781" s="28">
        <v>0</v>
      </c>
      <c r="AE781" s="29"/>
      <c r="AF781" s="31"/>
      <c r="AG781" s="30" t="s">
        <v>6158</v>
      </c>
      <c r="AH781" s="28"/>
      <c r="AI781" s="28" t="s">
        <v>53</v>
      </c>
      <c r="AJ781" s="33">
        <v>36334</v>
      </c>
      <c r="AK781" s="28">
        <v>6</v>
      </c>
      <c r="AL781" s="28">
        <v>20</v>
      </c>
      <c r="AM781" s="21"/>
      <c r="AN781" s="27"/>
      <c r="AO781" s="27"/>
      <c r="AP781" s="27"/>
      <c r="AQ781" s="27"/>
    </row>
    <row r="782" spans="1:43" ht="15.75" customHeight="1">
      <c r="A782" s="28">
        <v>1</v>
      </c>
      <c r="B782" s="29" t="s">
        <v>6167</v>
      </c>
      <c r="C782" s="30"/>
      <c r="D782" s="31" t="s">
        <v>6168</v>
      </c>
      <c r="E782" s="30" t="s">
        <v>72</v>
      </c>
      <c r="F782" s="30" t="s">
        <v>50</v>
      </c>
      <c r="G782" s="30" t="s">
        <v>51</v>
      </c>
      <c r="H782" s="28" t="s">
        <v>52</v>
      </c>
      <c r="I782" s="30"/>
      <c r="J782" s="30" t="s">
        <v>53</v>
      </c>
      <c r="K782" s="30" t="s">
        <v>6169</v>
      </c>
      <c r="L782" s="30" t="s">
        <v>55</v>
      </c>
      <c r="M782" s="30" t="s">
        <v>3707</v>
      </c>
      <c r="N782" s="30" t="s">
        <v>6170</v>
      </c>
      <c r="O782" s="30" t="s">
        <v>58</v>
      </c>
      <c r="P782" s="30" t="s">
        <v>6171</v>
      </c>
      <c r="Q782" s="28"/>
      <c r="R782" s="30" t="s">
        <v>6172</v>
      </c>
      <c r="S782" s="30" t="s">
        <v>53</v>
      </c>
      <c r="T782" s="30"/>
      <c r="U782" s="28" t="s">
        <v>2924</v>
      </c>
      <c r="V782" s="30" t="s">
        <v>63</v>
      </c>
      <c r="W782" s="30" t="s">
        <v>204</v>
      </c>
      <c r="X782" s="32">
        <v>44044</v>
      </c>
      <c r="Y782" s="32">
        <v>45809</v>
      </c>
      <c r="Z782" s="30" t="s">
        <v>65</v>
      </c>
      <c r="AA782" s="28" t="s">
        <v>134</v>
      </c>
      <c r="AB782" s="28" t="s">
        <v>67</v>
      </c>
      <c r="AC782" s="29"/>
      <c r="AD782" s="28">
        <v>0</v>
      </c>
      <c r="AE782" s="29"/>
      <c r="AF782" s="31"/>
      <c r="AG782" s="30" t="s">
        <v>6158</v>
      </c>
      <c r="AH782" s="28"/>
      <c r="AI782" s="28" t="s">
        <v>53</v>
      </c>
      <c r="AJ782" s="33">
        <v>37616</v>
      </c>
      <c r="AK782" s="28">
        <v>7</v>
      </c>
      <c r="AL782" s="28">
        <v>22</v>
      </c>
      <c r="AM782" s="21"/>
      <c r="AN782" s="27"/>
      <c r="AO782" s="27"/>
      <c r="AP782" s="27"/>
      <c r="AQ782" s="27"/>
    </row>
    <row r="783" spans="1:43" ht="15.75" customHeight="1">
      <c r="A783" s="28">
        <v>1</v>
      </c>
      <c r="B783" s="29" t="s">
        <v>6173</v>
      </c>
      <c r="C783" s="30"/>
      <c r="D783" s="31" t="s">
        <v>6174</v>
      </c>
      <c r="E783" s="30" t="s">
        <v>72</v>
      </c>
      <c r="F783" s="30" t="s">
        <v>3768</v>
      </c>
      <c r="G783" s="30" t="s">
        <v>51</v>
      </c>
      <c r="H783" s="28" t="s">
        <v>191</v>
      </c>
      <c r="I783" s="30"/>
      <c r="J783" s="30" t="s">
        <v>53</v>
      </c>
      <c r="K783" s="30" t="s">
        <v>6175</v>
      </c>
      <c r="L783" s="30" t="s">
        <v>55</v>
      </c>
      <c r="M783" s="30" t="s">
        <v>1573</v>
      </c>
      <c r="N783" s="30" t="s">
        <v>6176</v>
      </c>
      <c r="O783" s="30" t="s">
        <v>1904</v>
      </c>
      <c r="P783" s="30" t="s">
        <v>6177</v>
      </c>
      <c r="Q783" s="28" t="s">
        <v>6178</v>
      </c>
      <c r="R783" s="30" t="s">
        <v>6179</v>
      </c>
      <c r="S783" s="30" t="s">
        <v>53</v>
      </c>
      <c r="T783" s="30"/>
      <c r="U783" s="28" t="s">
        <v>3211</v>
      </c>
      <c r="V783" s="30" t="s">
        <v>63</v>
      </c>
      <c r="W783" s="30" t="s">
        <v>1005</v>
      </c>
      <c r="X783" s="32">
        <v>44228</v>
      </c>
      <c r="Y783" s="32">
        <v>45689</v>
      </c>
      <c r="Z783" s="30" t="s">
        <v>65</v>
      </c>
      <c r="AA783" s="28" t="s">
        <v>134</v>
      </c>
      <c r="AB783" s="28" t="s">
        <v>67</v>
      </c>
      <c r="AC783" s="29"/>
      <c r="AD783" s="28">
        <v>0</v>
      </c>
      <c r="AE783" s="29"/>
      <c r="AF783" s="31"/>
      <c r="AG783" s="30" t="s">
        <v>6158</v>
      </c>
      <c r="AH783" s="28"/>
      <c r="AI783" s="28" t="s">
        <v>53</v>
      </c>
      <c r="AJ783" s="33">
        <v>33143</v>
      </c>
      <c r="AK783" s="28">
        <v>6</v>
      </c>
      <c r="AL783" s="28">
        <v>17</v>
      </c>
      <c r="AM783" s="21"/>
      <c r="AN783" s="27"/>
      <c r="AO783" s="27"/>
      <c r="AP783" s="27"/>
      <c r="AQ783" s="27"/>
    </row>
    <row r="784" spans="1:43" ht="15.75" customHeight="1">
      <c r="A784" s="28">
        <v>1</v>
      </c>
      <c r="B784" s="29" t="s">
        <v>6180</v>
      </c>
      <c r="C784" s="30"/>
      <c r="D784" s="31" t="s">
        <v>6181</v>
      </c>
      <c r="E784" s="30" t="s">
        <v>72</v>
      </c>
      <c r="F784" s="30" t="s">
        <v>50</v>
      </c>
      <c r="G784" s="30" t="s">
        <v>51</v>
      </c>
      <c r="H784" s="28" t="s">
        <v>52</v>
      </c>
      <c r="I784" s="30"/>
      <c r="J784" s="30" t="s">
        <v>53</v>
      </c>
      <c r="K784" s="30" t="s">
        <v>6182</v>
      </c>
      <c r="L784" s="30" t="s">
        <v>55</v>
      </c>
      <c r="M784" s="30" t="s">
        <v>6183</v>
      </c>
      <c r="N784" s="30" t="s">
        <v>6184</v>
      </c>
      <c r="O784" s="30" t="s">
        <v>58</v>
      </c>
      <c r="P784" s="30" t="s">
        <v>6185</v>
      </c>
      <c r="Q784" s="28" t="s">
        <v>6186</v>
      </c>
      <c r="R784" s="30" t="s">
        <v>6187</v>
      </c>
      <c r="S784" s="30" t="s">
        <v>53</v>
      </c>
      <c r="T784" s="30"/>
      <c r="U784" s="28" t="s">
        <v>1347</v>
      </c>
      <c r="V784" s="30" t="s">
        <v>63</v>
      </c>
      <c r="W784" s="30" t="s">
        <v>64</v>
      </c>
      <c r="X784" s="32">
        <v>44593</v>
      </c>
      <c r="Y784" s="32">
        <v>46357</v>
      </c>
      <c r="Z784" s="30" t="s">
        <v>65</v>
      </c>
      <c r="AA784" s="28" t="s">
        <v>134</v>
      </c>
      <c r="AB784" s="28" t="s">
        <v>67</v>
      </c>
      <c r="AC784" s="29"/>
      <c r="AD784" s="28">
        <v>0</v>
      </c>
      <c r="AE784" s="29"/>
      <c r="AF784" s="31"/>
      <c r="AG784" s="30" t="s">
        <v>6188</v>
      </c>
      <c r="AH784" s="28"/>
      <c r="AI784" s="28" t="s">
        <v>53</v>
      </c>
      <c r="AJ784" s="33">
        <v>37812</v>
      </c>
      <c r="AK784" s="28">
        <v>5</v>
      </c>
      <c r="AL784" s="28">
        <v>26</v>
      </c>
      <c r="AM784" s="21"/>
      <c r="AN784" s="27"/>
      <c r="AO784" s="27"/>
      <c r="AP784" s="27"/>
      <c r="AQ784" s="27"/>
    </row>
    <row r="785" spans="1:43" ht="15.75" customHeight="1">
      <c r="A785" s="28">
        <v>2</v>
      </c>
      <c r="B785" s="29" t="s">
        <v>6189</v>
      </c>
      <c r="C785" s="30" t="s">
        <v>6190</v>
      </c>
      <c r="D785" s="31" t="s">
        <v>6191</v>
      </c>
      <c r="E785" s="30" t="s">
        <v>72</v>
      </c>
      <c r="F785" s="30" t="s">
        <v>50</v>
      </c>
      <c r="G785" s="30" t="s">
        <v>51</v>
      </c>
      <c r="H785" s="28" t="s">
        <v>52</v>
      </c>
      <c r="I785" s="30"/>
      <c r="J785" s="30" t="s">
        <v>53</v>
      </c>
      <c r="K785" s="30" t="s">
        <v>6182</v>
      </c>
      <c r="L785" s="30" t="s">
        <v>55</v>
      </c>
      <c r="M785" s="30" t="s">
        <v>6183</v>
      </c>
      <c r="N785" s="30" t="s">
        <v>6192</v>
      </c>
      <c r="O785" s="30" t="s">
        <v>6193</v>
      </c>
      <c r="P785" s="30" t="s">
        <v>6194</v>
      </c>
      <c r="Q785" s="28" t="s">
        <v>6195</v>
      </c>
      <c r="R785" s="30" t="s">
        <v>6196</v>
      </c>
      <c r="S785" s="30" t="s">
        <v>53</v>
      </c>
      <c r="T785" s="30"/>
      <c r="U785" s="28" t="s">
        <v>6197</v>
      </c>
      <c r="V785" s="30" t="s">
        <v>63</v>
      </c>
      <c r="W785" s="30" t="s">
        <v>64</v>
      </c>
      <c r="X785" s="32">
        <v>44562</v>
      </c>
      <c r="Y785" s="32">
        <v>46357</v>
      </c>
      <c r="Z785" s="30" t="s">
        <v>65</v>
      </c>
      <c r="AA785" s="28" t="s">
        <v>134</v>
      </c>
      <c r="AB785" s="28" t="s">
        <v>67</v>
      </c>
      <c r="AC785" s="29"/>
      <c r="AD785" s="28">
        <v>0</v>
      </c>
      <c r="AE785" s="29"/>
      <c r="AF785" s="31"/>
      <c r="AG785" s="30" t="s">
        <v>6188</v>
      </c>
      <c r="AH785" s="28"/>
      <c r="AI785" s="28" t="s">
        <v>53</v>
      </c>
      <c r="AJ785" s="33">
        <v>38031</v>
      </c>
      <c r="AK785" s="28">
        <v>5</v>
      </c>
      <c r="AL785" s="28">
        <v>24</v>
      </c>
      <c r="AM785" s="21"/>
      <c r="AN785" s="27"/>
      <c r="AO785" s="27"/>
      <c r="AP785" s="27"/>
      <c r="AQ785" s="27"/>
    </row>
    <row r="786" spans="1:43" ht="15.75" customHeight="1">
      <c r="A786" s="28">
        <v>3</v>
      </c>
      <c r="B786" s="29" t="s">
        <v>6198</v>
      </c>
      <c r="C786" s="30" t="s">
        <v>6199</v>
      </c>
      <c r="D786" s="31" t="s">
        <v>6200</v>
      </c>
      <c r="E786" s="30" t="s">
        <v>72</v>
      </c>
      <c r="F786" s="30" t="s">
        <v>50</v>
      </c>
      <c r="G786" s="30" t="s">
        <v>51</v>
      </c>
      <c r="H786" s="28" t="s">
        <v>52</v>
      </c>
      <c r="I786" s="30"/>
      <c r="J786" s="30" t="s">
        <v>53</v>
      </c>
      <c r="K786" s="30" t="s">
        <v>6182</v>
      </c>
      <c r="L786" s="30" t="s">
        <v>55</v>
      </c>
      <c r="M786" s="30" t="s">
        <v>6183</v>
      </c>
      <c r="N786" s="30" t="s">
        <v>6201</v>
      </c>
      <c r="O786" s="30" t="s">
        <v>6202</v>
      </c>
      <c r="P786" s="30" t="s">
        <v>6203</v>
      </c>
      <c r="Q786" s="28" t="s">
        <v>6204</v>
      </c>
      <c r="R786" s="30" t="s">
        <v>6205</v>
      </c>
      <c r="S786" s="30" t="s">
        <v>53</v>
      </c>
      <c r="T786" s="30"/>
      <c r="U786" s="28" t="s">
        <v>6206</v>
      </c>
      <c r="V786" s="30" t="s">
        <v>63</v>
      </c>
      <c r="W786" s="30" t="s">
        <v>64</v>
      </c>
      <c r="X786" s="32">
        <v>44593</v>
      </c>
      <c r="Y786" s="32">
        <v>46357</v>
      </c>
      <c r="Z786" s="30" t="s">
        <v>65</v>
      </c>
      <c r="AA786" s="28" t="s">
        <v>134</v>
      </c>
      <c r="AB786" s="28" t="s">
        <v>67</v>
      </c>
      <c r="AC786" s="29"/>
      <c r="AD786" s="28">
        <v>0</v>
      </c>
      <c r="AE786" s="29"/>
      <c r="AF786" s="31"/>
      <c r="AG786" s="30" t="s">
        <v>6188</v>
      </c>
      <c r="AH786" s="28"/>
      <c r="AI786" s="28" t="s">
        <v>53</v>
      </c>
      <c r="AJ786" s="33">
        <v>38043</v>
      </c>
      <c r="AK786" s="28">
        <v>5</v>
      </c>
      <c r="AL786" s="28">
        <v>23</v>
      </c>
      <c r="AM786" s="21"/>
      <c r="AN786" s="27"/>
      <c r="AO786" s="27"/>
      <c r="AP786" s="27"/>
      <c r="AQ786" s="27"/>
    </row>
    <row r="787" spans="1:43" ht="15.75" customHeight="1">
      <c r="A787" s="28">
        <v>4</v>
      </c>
      <c r="B787" s="29" t="s">
        <v>6207</v>
      </c>
      <c r="C787" s="30"/>
      <c r="D787" s="31" t="s">
        <v>6208</v>
      </c>
      <c r="E787" s="30" t="s">
        <v>72</v>
      </c>
      <c r="F787" s="30" t="s">
        <v>50</v>
      </c>
      <c r="G787" s="30" t="s">
        <v>51</v>
      </c>
      <c r="H787" s="28" t="s">
        <v>52</v>
      </c>
      <c r="I787" s="30"/>
      <c r="J787" s="30" t="s">
        <v>53</v>
      </c>
      <c r="K787" s="30" t="s">
        <v>6182</v>
      </c>
      <c r="L787" s="30" t="s">
        <v>55</v>
      </c>
      <c r="M787" s="30" t="s">
        <v>6183</v>
      </c>
      <c r="N787" s="30" t="s">
        <v>6209</v>
      </c>
      <c r="O787" s="30" t="s">
        <v>6210</v>
      </c>
      <c r="P787" s="30" t="s">
        <v>6211</v>
      </c>
      <c r="Q787" s="28" t="s">
        <v>6212</v>
      </c>
      <c r="R787" s="30" t="s">
        <v>6213</v>
      </c>
      <c r="S787" s="30" t="s">
        <v>53</v>
      </c>
      <c r="T787" s="30"/>
      <c r="U787" s="28" t="s">
        <v>1347</v>
      </c>
      <c r="V787" s="30" t="s">
        <v>63</v>
      </c>
      <c r="W787" s="30" t="s">
        <v>64</v>
      </c>
      <c r="X787" s="32">
        <v>43862</v>
      </c>
      <c r="Y787" s="32">
        <v>45627</v>
      </c>
      <c r="Z787" s="30" t="s">
        <v>65</v>
      </c>
      <c r="AA787" s="28" t="s">
        <v>66</v>
      </c>
      <c r="AB787" s="28" t="s">
        <v>67</v>
      </c>
      <c r="AC787" s="29"/>
      <c r="AD787" s="28">
        <v>0</v>
      </c>
      <c r="AE787" s="29"/>
      <c r="AF787" s="31"/>
      <c r="AG787" s="30" t="s">
        <v>6188</v>
      </c>
      <c r="AH787" s="28"/>
      <c r="AI787" s="28" t="s">
        <v>53</v>
      </c>
      <c r="AJ787" s="33">
        <v>36781</v>
      </c>
      <c r="AK787" s="28">
        <v>8</v>
      </c>
      <c r="AL787" s="28">
        <v>17</v>
      </c>
      <c r="AM787" s="21"/>
      <c r="AN787" s="27"/>
      <c r="AO787" s="27"/>
      <c r="AP787" s="27"/>
      <c r="AQ787" s="27"/>
    </row>
    <row r="788" spans="1:43" ht="15.75" customHeight="1">
      <c r="A788" s="28">
        <v>5</v>
      </c>
      <c r="B788" s="29" t="s">
        <v>6214</v>
      </c>
      <c r="C788" s="30"/>
      <c r="D788" s="31" t="s">
        <v>6215</v>
      </c>
      <c r="E788" s="30" t="s">
        <v>72</v>
      </c>
      <c r="F788" s="30" t="s">
        <v>50</v>
      </c>
      <c r="G788" s="30" t="s">
        <v>51</v>
      </c>
      <c r="H788" s="28" t="s">
        <v>52</v>
      </c>
      <c r="I788" s="30"/>
      <c r="J788" s="30" t="s">
        <v>53</v>
      </c>
      <c r="K788" s="30" t="s">
        <v>6216</v>
      </c>
      <c r="L788" s="30" t="s">
        <v>55</v>
      </c>
      <c r="M788" s="30" t="s">
        <v>6217</v>
      </c>
      <c r="N788" s="30" t="s">
        <v>6218</v>
      </c>
      <c r="O788" s="30" t="s">
        <v>6219</v>
      </c>
      <c r="P788" s="30" t="s">
        <v>6220</v>
      </c>
      <c r="Q788" s="28"/>
      <c r="R788" s="30" t="s">
        <v>6221</v>
      </c>
      <c r="S788" s="30" t="s">
        <v>53</v>
      </c>
      <c r="T788" s="30"/>
      <c r="U788" s="28" t="s">
        <v>6222</v>
      </c>
      <c r="V788" s="30" t="s">
        <v>63</v>
      </c>
      <c r="W788" s="30" t="s">
        <v>64</v>
      </c>
      <c r="X788" s="32">
        <v>43891</v>
      </c>
      <c r="Y788" s="32">
        <v>45992</v>
      </c>
      <c r="Z788" s="30" t="s">
        <v>65</v>
      </c>
      <c r="AA788" s="28" t="s">
        <v>66</v>
      </c>
      <c r="AB788" s="28" t="s">
        <v>67</v>
      </c>
      <c r="AC788" s="29"/>
      <c r="AD788" s="28">
        <v>0</v>
      </c>
      <c r="AE788" s="29"/>
      <c r="AF788" s="31"/>
      <c r="AG788" s="30" t="s">
        <v>6188</v>
      </c>
      <c r="AH788" s="28"/>
      <c r="AI788" s="28" t="s">
        <v>118</v>
      </c>
      <c r="AJ788" s="33">
        <v>36766</v>
      </c>
      <c r="AK788" s="28">
        <v>9</v>
      </c>
      <c r="AL788" s="28">
        <v>15</v>
      </c>
      <c r="AM788" s="21"/>
      <c r="AN788" s="27"/>
      <c r="AO788" s="27"/>
      <c r="AP788" s="27"/>
      <c r="AQ788" s="27"/>
    </row>
    <row r="789" spans="1:43" ht="15.75" customHeight="1">
      <c r="A789" s="28">
        <v>1</v>
      </c>
      <c r="B789" s="29" t="s">
        <v>6223</v>
      </c>
      <c r="C789" s="30" t="s">
        <v>6224</v>
      </c>
      <c r="D789" s="31" t="s">
        <v>6225</v>
      </c>
      <c r="E789" s="30" t="s">
        <v>49</v>
      </c>
      <c r="F789" s="30" t="s">
        <v>50</v>
      </c>
      <c r="G789" s="30" t="s">
        <v>51</v>
      </c>
      <c r="H789" s="28" t="s">
        <v>191</v>
      </c>
      <c r="I789" s="30"/>
      <c r="J789" s="30" t="s">
        <v>53</v>
      </c>
      <c r="K789" s="30" t="s">
        <v>6226</v>
      </c>
      <c r="L789" s="30" t="s">
        <v>55</v>
      </c>
      <c r="M789" s="30" t="s">
        <v>6227</v>
      </c>
      <c r="N789" s="30" t="s">
        <v>6228</v>
      </c>
      <c r="O789" s="30" t="s">
        <v>6229</v>
      </c>
      <c r="P789" s="30" t="s">
        <v>6230</v>
      </c>
      <c r="Q789" s="28"/>
      <c r="R789" s="30" t="s">
        <v>6231</v>
      </c>
      <c r="S789" s="30" t="s">
        <v>53</v>
      </c>
      <c r="T789" s="30"/>
      <c r="U789" s="28" t="s">
        <v>255</v>
      </c>
      <c r="V789" s="30" t="s">
        <v>63</v>
      </c>
      <c r="W789" s="30" t="s">
        <v>64</v>
      </c>
      <c r="X789" s="32">
        <v>43862</v>
      </c>
      <c r="Y789" s="32">
        <v>45627</v>
      </c>
      <c r="Z789" s="30" t="s">
        <v>65</v>
      </c>
      <c r="AA789" s="28" t="s">
        <v>134</v>
      </c>
      <c r="AB789" s="28" t="s">
        <v>67</v>
      </c>
      <c r="AC789" s="29"/>
      <c r="AD789" s="28">
        <v>0</v>
      </c>
      <c r="AE789" s="29"/>
      <c r="AF789" s="31"/>
      <c r="AG789" s="30" t="s">
        <v>6232</v>
      </c>
      <c r="AH789" s="28" t="s">
        <v>431</v>
      </c>
      <c r="AI789" s="28" t="s">
        <v>53</v>
      </c>
      <c r="AJ789" s="33">
        <v>37049</v>
      </c>
      <c r="AK789" s="28">
        <v>8</v>
      </c>
      <c r="AL789" s="28">
        <v>27</v>
      </c>
      <c r="AM789" s="21"/>
      <c r="AN789" s="27"/>
      <c r="AO789" s="27"/>
      <c r="AP789" s="27"/>
      <c r="AQ789" s="27"/>
    </row>
    <row r="790" spans="1:43" ht="15.75" customHeight="1">
      <c r="A790" s="28">
        <v>1</v>
      </c>
      <c r="B790" s="29" t="s">
        <v>6233</v>
      </c>
      <c r="C790" s="30"/>
      <c r="D790" s="31" t="s">
        <v>6234</v>
      </c>
      <c r="E790" s="30" t="s">
        <v>72</v>
      </c>
      <c r="F790" s="30" t="s">
        <v>50</v>
      </c>
      <c r="G790" s="30" t="s">
        <v>51</v>
      </c>
      <c r="H790" s="28" t="s">
        <v>85</v>
      </c>
      <c r="I790" s="30"/>
      <c r="J790" s="30" t="s">
        <v>53</v>
      </c>
      <c r="K790" s="30" t="s">
        <v>6235</v>
      </c>
      <c r="L790" s="30" t="s">
        <v>55</v>
      </c>
      <c r="M790" s="30" t="s">
        <v>6236</v>
      </c>
      <c r="N790" s="30" t="s">
        <v>6237</v>
      </c>
      <c r="O790" s="30" t="s">
        <v>6238</v>
      </c>
      <c r="P790" s="30" t="s">
        <v>6239</v>
      </c>
      <c r="Q790" s="28" t="s">
        <v>6240</v>
      </c>
      <c r="R790" s="30" t="s">
        <v>6241</v>
      </c>
      <c r="S790" s="30" t="s">
        <v>53</v>
      </c>
      <c r="T790" s="30"/>
      <c r="U790" s="28" t="s">
        <v>5840</v>
      </c>
      <c r="V790" s="30" t="s">
        <v>63</v>
      </c>
      <c r="W790" s="30" t="s">
        <v>64</v>
      </c>
      <c r="X790" s="32">
        <v>44562</v>
      </c>
      <c r="Y790" s="32">
        <v>46357</v>
      </c>
      <c r="Z790" s="30" t="s">
        <v>65</v>
      </c>
      <c r="AA790" s="28" t="s">
        <v>66</v>
      </c>
      <c r="AB790" s="28" t="s">
        <v>67</v>
      </c>
      <c r="AC790" s="29"/>
      <c r="AD790" s="28">
        <v>0</v>
      </c>
      <c r="AE790" s="29"/>
      <c r="AF790" s="31"/>
      <c r="AG790" s="30" t="s">
        <v>6242</v>
      </c>
      <c r="AH790" s="28"/>
      <c r="AI790" s="28" t="s">
        <v>53</v>
      </c>
      <c r="AJ790" s="33">
        <v>37642</v>
      </c>
      <c r="AK790" s="28">
        <v>5</v>
      </c>
      <c r="AL790" s="28">
        <v>27</v>
      </c>
      <c r="AM790" s="21"/>
      <c r="AN790" s="27"/>
      <c r="AO790" s="27"/>
      <c r="AP790" s="27"/>
      <c r="AQ790" s="27"/>
    </row>
    <row r="791" spans="1:43" ht="15.75" customHeight="1">
      <c r="A791" s="28">
        <v>1</v>
      </c>
      <c r="B791" s="29" t="s">
        <v>6243</v>
      </c>
      <c r="C791" s="30"/>
      <c r="D791" s="31" t="s">
        <v>6244</v>
      </c>
      <c r="E791" s="30" t="s">
        <v>72</v>
      </c>
      <c r="F791" s="30" t="s">
        <v>50</v>
      </c>
      <c r="G791" s="30" t="s">
        <v>51</v>
      </c>
      <c r="H791" s="28" t="s">
        <v>52</v>
      </c>
      <c r="I791" s="30"/>
      <c r="J791" s="30" t="s">
        <v>53</v>
      </c>
      <c r="K791" s="30" t="s">
        <v>6245</v>
      </c>
      <c r="L791" s="30" t="s">
        <v>55</v>
      </c>
      <c r="M791" s="30" t="s">
        <v>2449</v>
      </c>
      <c r="N791" s="30" t="s">
        <v>6246</v>
      </c>
      <c r="O791" s="30" t="s">
        <v>6247</v>
      </c>
      <c r="P791" s="30" t="s">
        <v>6248</v>
      </c>
      <c r="Q791" s="28"/>
      <c r="R791" s="30" t="s">
        <v>6249</v>
      </c>
      <c r="S791" s="30" t="s">
        <v>53</v>
      </c>
      <c r="T791" s="30"/>
      <c r="U791" s="28" t="s">
        <v>6250</v>
      </c>
      <c r="V791" s="30" t="s">
        <v>63</v>
      </c>
      <c r="W791" s="30" t="s">
        <v>64</v>
      </c>
      <c r="X791" s="32">
        <v>44228</v>
      </c>
      <c r="Y791" s="32">
        <v>45689</v>
      </c>
      <c r="Z791" s="30" t="s">
        <v>65</v>
      </c>
      <c r="AA791" s="28" t="s">
        <v>66</v>
      </c>
      <c r="AB791" s="28" t="s">
        <v>67</v>
      </c>
      <c r="AC791" s="29"/>
      <c r="AD791" s="28">
        <v>0</v>
      </c>
      <c r="AE791" s="29"/>
      <c r="AF791" s="31"/>
      <c r="AG791" s="30" t="s">
        <v>6251</v>
      </c>
      <c r="AH791" s="28"/>
      <c r="AI791" s="28" t="s">
        <v>53</v>
      </c>
      <c r="AJ791" s="33">
        <v>36983</v>
      </c>
      <c r="AK791" s="28">
        <v>6</v>
      </c>
      <c r="AL791" s="28">
        <v>23</v>
      </c>
      <c r="AM791" s="21"/>
      <c r="AN791" s="27"/>
      <c r="AO791" s="27"/>
      <c r="AP791" s="27"/>
      <c r="AQ791" s="27"/>
    </row>
    <row r="792" spans="1:43" ht="15.75" customHeight="1">
      <c r="A792" s="28">
        <v>2</v>
      </c>
      <c r="B792" s="29" t="s">
        <v>6252</v>
      </c>
      <c r="C792" s="30" t="s">
        <v>6253</v>
      </c>
      <c r="D792" s="31" t="s">
        <v>6254</v>
      </c>
      <c r="E792" s="30" t="s">
        <v>72</v>
      </c>
      <c r="F792" s="30" t="s">
        <v>50</v>
      </c>
      <c r="G792" s="30" t="s">
        <v>51</v>
      </c>
      <c r="H792" s="28" t="s">
        <v>52</v>
      </c>
      <c r="I792" s="30"/>
      <c r="J792" s="30" t="s">
        <v>53</v>
      </c>
      <c r="K792" s="30" t="s">
        <v>6255</v>
      </c>
      <c r="L792" s="30" t="s">
        <v>55</v>
      </c>
      <c r="M792" s="30" t="s">
        <v>2449</v>
      </c>
      <c r="N792" s="30" t="s">
        <v>6256</v>
      </c>
      <c r="O792" s="30" t="s">
        <v>6257</v>
      </c>
      <c r="P792" s="30" t="s">
        <v>6258</v>
      </c>
      <c r="Q792" s="28" t="s">
        <v>6259</v>
      </c>
      <c r="R792" s="30" t="s">
        <v>6260</v>
      </c>
      <c r="S792" s="30" t="s">
        <v>53</v>
      </c>
      <c r="T792" s="30"/>
      <c r="U792" s="28" t="s">
        <v>308</v>
      </c>
      <c r="V792" s="30" t="s">
        <v>63</v>
      </c>
      <c r="W792" s="30" t="s">
        <v>64</v>
      </c>
      <c r="X792" s="32">
        <v>44409</v>
      </c>
      <c r="Y792" s="32">
        <v>46235</v>
      </c>
      <c r="Z792" s="30" t="s">
        <v>65</v>
      </c>
      <c r="AA792" s="28" t="s">
        <v>67</v>
      </c>
      <c r="AB792" s="28" t="s">
        <v>67</v>
      </c>
      <c r="AC792" s="29"/>
      <c r="AD792" s="28">
        <v>0</v>
      </c>
      <c r="AE792" s="29"/>
      <c r="AF792" s="31"/>
      <c r="AG792" s="30" t="s">
        <v>6251</v>
      </c>
      <c r="AH792" s="28"/>
      <c r="AI792" s="28" t="s">
        <v>53</v>
      </c>
      <c r="AJ792" s="33">
        <v>37054</v>
      </c>
      <c r="AK792" s="28">
        <v>5</v>
      </c>
      <c r="AL792" s="28">
        <v>20</v>
      </c>
      <c r="AM792" s="21"/>
      <c r="AN792" s="27"/>
      <c r="AO792" s="27"/>
      <c r="AP792" s="27"/>
      <c r="AQ792" s="27"/>
    </row>
    <row r="793" spans="1:43" ht="15.75" customHeight="1">
      <c r="A793" s="28">
        <v>3</v>
      </c>
      <c r="B793" s="29" t="s">
        <v>6261</v>
      </c>
      <c r="C793" s="30" t="s">
        <v>6262</v>
      </c>
      <c r="D793" s="31" t="s">
        <v>6263</v>
      </c>
      <c r="E793" s="30" t="s">
        <v>72</v>
      </c>
      <c r="F793" s="30" t="s">
        <v>84</v>
      </c>
      <c r="G793" s="30" t="s">
        <v>51</v>
      </c>
      <c r="H793" s="28" t="s">
        <v>85</v>
      </c>
      <c r="I793" s="30"/>
      <c r="J793" s="30" t="s">
        <v>53</v>
      </c>
      <c r="K793" s="30" t="s">
        <v>3205</v>
      </c>
      <c r="L793" s="30" t="s">
        <v>55</v>
      </c>
      <c r="M793" s="30" t="s">
        <v>2449</v>
      </c>
      <c r="N793" s="30" t="s">
        <v>6264</v>
      </c>
      <c r="O793" s="30" t="s">
        <v>6265</v>
      </c>
      <c r="P793" s="30" t="s">
        <v>6266</v>
      </c>
      <c r="Q793" s="28" t="s">
        <v>6267</v>
      </c>
      <c r="R793" s="30" t="s">
        <v>6268</v>
      </c>
      <c r="S793" s="30" t="s">
        <v>53</v>
      </c>
      <c r="T793" s="30"/>
      <c r="U793" s="28" t="s">
        <v>6269</v>
      </c>
      <c r="V793" s="30" t="s">
        <v>63</v>
      </c>
      <c r="W793" s="30" t="s">
        <v>64</v>
      </c>
      <c r="X793" s="32">
        <v>44044</v>
      </c>
      <c r="Y793" s="32">
        <v>45870</v>
      </c>
      <c r="Z793" s="30" t="s">
        <v>65</v>
      </c>
      <c r="AA793" s="28" t="s">
        <v>66</v>
      </c>
      <c r="AB793" s="28" t="s">
        <v>67</v>
      </c>
      <c r="AC793" s="29"/>
      <c r="AD793" s="28">
        <v>0</v>
      </c>
      <c r="AE793" s="29"/>
      <c r="AF793" s="31"/>
      <c r="AG793" s="30" t="s">
        <v>6251</v>
      </c>
      <c r="AH793" s="28"/>
      <c r="AI793" s="28" t="s">
        <v>53</v>
      </c>
      <c r="AJ793" s="33">
        <v>23307.041666666701</v>
      </c>
      <c r="AK793" s="28">
        <v>7</v>
      </c>
      <c r="AL793" s="28">
        <v>20</v>
      </c>
      <c r="AM793" s="21"/>
      <c r="AN793" s="27"/>
      <c r="AO793" s="27"/>
      <c r="AP793" s="27"/>
      <c r="AQ793" s="27"/>
    </row>
    <row r="794" spans="1:43" ht="15.75" customHeight="1">
      <c r="A794" s="28">
        <v>4</v>
      </c>
      <c r="B794" s="29" t="s">
        <v>6270</v>
      </c>
      <c r="C794" s="30"/>
      <c r="D794" s="31" t="s">
        <v>6271</v>
      </c>
      <c r="E794" s="30" t="s">
        <v>72</v>
      </c>
      <c r="F794" s="30" t="s">
        <v>50</v>
      </c>
      <c r="G794" s="30" t="s">
        <v>51</v>
      </c>
      <c r="H794" s="28" t="s">
        <v>52</v>
      </c>
      <c r="I794" s="30"/>
      <c r="J794" s="30" t="s">
        <v>53</v>
      </c>
      <c r="K794" s="30" t="s">
        <v>6272</v>
      </c>
      <c r="L794" s="30" t="s">
        <v>55</v>
      </c>
      <c r="M794" s="30" t="s">
        <v>2449</v>
      </c>
      <c r="N794" s="30" t="s">
        <v>6273</v>
      </c>
      <c r="O794" s="30" t="s">
        <v>6274</v>
      </c>
      <c r="P794" s="30" t="s">
        <v>6275</v>
      </c>
      <c r="Q794" s="28" t="s">
        <v>6276</v>
      </c>
      <c r="R794" s="30" t="s">
        <v>6277</v>
      </c>
      <c r="S794" s="30" t="s">
        <v>53</v>
      </c>
      <c r="T794" s="30"/>
      <c r="U794" s="28" t="s">
        <v>62</v>
      </c>
      <c r="V794" s="30" t="s">
        <v>63</v>
      </c>
      <c r="W794" s="30" t="s">
        <v>64</v>
      </c>
      <c r="X794" s="32">
        <v>43497</v>
      </c>
      <c r="Y794" s="32">
        <v>45839</v>
      </c>
      <c r="Z794" s="30" t="s">
        <v>65</v>
      </c>
      <c r="AA794" s="28" t="s">
        <v>66</v>
      </c>
      <c r="AB794" s="28" t="s">
        <v>67</v>
      </c>
      <c r="AC794" s="29"/>
      <c r="AD794" s="28">
        <v>0</v>
      </c>
      <c r="AE794" s="29"/>
      <c r="AF794" s="31"/>
      <c r="AG794" s="30" t="s">
        <v>6251</v>
      </c>
      <c r="AH794" s="28"/>
      <c r="AI794" s="28" t="s">
        <v>53</v>
      </c>
      <c r="AJ794" s="33">
        <v>33896</v>
      </c>
      <c r="AK794" s="28">
        <v>7</v>
      </c>
      <c r="AL794" s="28">
        <v>19</v>
      </c>
      <c r="AM794" s="21"/>
      <c r="AN794" s="27"/>
      <c r="AO794" s="27"/>
      <c r="AP794" s="27"/>
      <c r="AQ794" s="27"/>
    </row>
    <row r="795" spans="1:43" ht="15.75" customHeight="1">
      <c r="A795" s="28">
        <v>5</v>
      </c>
      <c r="B795" s="29" t="s">
        <v>6278</v>
      </c>
      <c r="C795" s="30" t="s">
        <v>6279</v>
      </c>
      <c r="D795" s="31" t="s">
        <v>6280</v>
      </c>
      <c r="E795" s="30" t="s">
        <v>49</v>
      </c>
      <c r="F795" s="30" t="s">
        <v>50</v>
      </c>
      <c r="G795" s="30" t="s">
        <v>51</v>
      </c>
      <c r="H795" s="28" t="s">
        <v>85</v>
      </c>
      <c r="I795" s="30"/>
      <c r="J795" s="30" t="s">
        <v>53</v>
      </c>
      <c r="K795" s="30" t="s">
        <v>6281</v>
      </c>
      <c r="L795" s="30" t="s">
        <v>55</v>
      </c>
      <c r="M795" s="30" t="s">
        <v>2449</v>
      </c>
      <c r="N795" s="30" t="s">
        <v>6282</v>
      </c>
      <c r="O795" s="30" t="s">
        <v>3753</v>
      </c>
      <c r="P795" s="30" t="s">
        <v>6283</v>
      </c>
      <c r="Q795" s="28"/>
      <c r="R795" s="30" t="s">
        <v>6284</v>
      </c>
      <c r="S795" s="30" t="s">
        <v>53</v>
      </c>
      <c r="T795" s="30"/>
      <c r="U795" s="28" t="s">
        <v>2726</v>
      </c>
      <c r="V795" s="30" t="s">
        <v>63</v>
      </c>
      <c r="W795" s="30" t="s">
        <v>64</v>
      </c>
      <c r="X795" s="32">
        <v>43525</v>
      </c>
      <c r="Y795" s="32">
        <v>45383</v>
      </c>
      <c r="Z795" s="30" t="s">
        <v>65</v>
      </c>
      <c r="AA795" s="28" t="s">
        <v>134</v>
      </c>
      <c r="AB795" s="28" t="s">
        <v>67</v>
      </c>
      <c r="AC795" s="29"/>
      <c r="AD795" s="28">
        <v>0</v>
      </c>
      <c r="AE795" s="29"/>
      <c r="AF795" s="31"/>
      <c r="AG795" s="30" t="s">
        <v>6251</v>
      </c>
      <c r="AH795" s="28"/>
      <c r="AI795" s="28" t="s">
        <v>53</v>
      </c>
      <c r="AJ795" s="33">
        <v>36989</v>
      </c>
      <c r="AK795" s="28">
        <v>9</v>
      </c>
      <c r="AL795" s="28">
        <v>19</v>
      </c>
      <c r="AM795" s="21"/>
      <c r="AN795" s="27"/>
      <c r="AO795" s="27"/>
      <c r="AP795" s="27"/>
      <c r="AQ795" s="27"/>
    </row>
    <row r="796" spans="1:43" ht="15.75" customHeight="1">
      <c r="A796" s="28">
        <v>6</v>
      </c>
      <c r="B796" s="29" t="s">
        <v>6285</v>
      </c>
      <c r="C796" s="30"/>
      <c r="D796" s="31" t="s">
        <v>6286</v>
      </c>
      <c r="E796" s="30" t="s">
        <v>49</v>
      </c>
      <c r="F796" s="30" t="s">
        <v>50</v>
      </c>
      <c r="G796" s="30" t="s">
        <v>51</v>
      </c>
      <c r="H796" s="28" t="s">
        <v>52</v>
      </c>
      <c r="I796" s="30"/>
      <c r="J796" s="30" t="s">
        <v>53</v>
      </c>
      <c r="K796" s="30" t="s">
        <v>6287</v>
      </c>
      <c r="L796" s="30" t="s">
        <v>55</v>
      </c>
      <c r="M796" s="30" t="s">
        <v>2449</v>
      </c>
      <c r="N796" s="30" t="s">
        <v>6288</v>
      </c>
      <c r="O796" s="30" t="s">
        <v>6289</v>
      </c>
      <c r="P796" s="30" t="s">
        <v>6290</v>
      </c>
      <c r="Q796" s="28"/>
      <c r="R796" s="30" t="s">
        <v>6291</v>
      </c>
      <c r="S796" s="30" t="s">
        <v>53</v>
      </c>
      <c r="T796" s="30"/>
      <c r="U796" s="28" t="s">
        <v>6250</v>
      </c>
      <c r="V796" s="30" t="s">
        <v>63</v>
      </c>
      <c r="W796" s="30" t="s">
        <v>64</v>
      </c>
      <c r="X796" s="32">
        <v>43891</v>
      </c>
      <c r="Y796" s="32">
        <v>45627</v>
      </c>
      <c r="Z796" s="30" t="s">
        <v>65</v>
      </c>
      <c r="AA796" s="28" t="s">
        <v>66</v>
      </c>
      <c r="AB796" s="28" t="s">
        <v>67</v>
      </c>
      <c r="AC796" s="29"/>
      <c r="AD796" s="28">
        <v>0</v>
      </c>
      <c r="AE796" s="29"/>
      <c r="AF796" s="31"/>
      <c r="AG796" s="30" t="s">
        <v>6251</v>
      </c>
      <c r="AH796" s="28"/>
      <c r="AI796" s="28" t="s">
        <v>53</v>
      </c>
      <c r="AJ796" s="33">
        <v>37040</v>
      </c>
      <c r="AK796" s="28">
        <v>8</v>
      </c>
      <c r="AL796" s="28">
        <v>16</v>
      </c>
      <c r="AM796" s="21"/>
      <c r="AN796" s="27"/>
      <c r="AO796" s="27"/>
      <c r="AP796" s="27"/>
      <c r="AQ796" s="27"/>
    </row>
    <row r="797" spans="1:43" ht="15.75" customHeight="1">
      <c r="A797" s="28">
        <v>1</v>
      </c>
      <c r="B797" s="29" t="s">
        <v>6292</v>
      </c>
      <c r="C797" s="30" t="s">
        <v>6293</v>
      </c>
      <c r="D797" s="31" t="s">
        <v>6294</v>
      </c>
      <c r="E797" s="30" t="s">
        <v>72</v>
      </c>
      <c r="F797" s="30" t="s">
        <v>50</v>
      </c>
      <c r="G797" s="30" t="s">
        <v>51</v>
      </c>
      <c r="H797" s="28" t="s">
        <v>85</v>
      </c>
      <c r="I797" s="30"/>
      <c r="J797" s="30" t="s">
        <v>53</v>
      </c>
      <c r="K797" s="30" t="s">
        <v>4987</v>
      </c>
      <c r="L797" s="30" t="s">
        <v>55</v>
      </c>
      <c r="M797" s="30" t="s">
        <v>4988</v>
      </c>
      <c r="N797" s="30" t="s">
        <v>6295</v>
      </c>
      <c r="O797" s="30" t="s">
        <v>58</v>
      </c>
      <c r="P797" s="30" t="s">
        <v>6296</v>
      </c>
      <c r="Q797" s="28"/>
      <c r="R797" s="30" t="s">
        <v>6297</v>
      </c>
      <c r="S797" s="30" t="s">
        <v>53</v>
      </c>
      <c r="T797" s="30"/>
      <c r="U797" s="28" t="s">
        <v>348</v>
      </c>
      <c r="V797" s="30" t="s">
        <v>63</v>
      </c>
      <c r="W797" s="30" t="s">
        <v>64</v>
      </c>
      <c r="X797" s="32">
        <v>44197</v>
      </c>
      <c r="Y797" s="32">
        <v>45992</v>
      </c>
      <c r="Z797" s="30" t="s">
        <v>65</v>
      </c>
      <c r="AA797" s="28" t="s">
        <v>66</v>
      </c>
      <c r="AB797" s="28" t="s">
        <v>67</v>
      </c>
      <c r="AC797" s="29"/>
      <c r="AD797" s="28">
        <v>0</v>
      </c>
      <c r="AE797" s="29"/>
      <c r="AF797" s="31"/>
      <c r="AG797" s="30" t="s">
        <v>6298</v>
      </c>
      <c r="AH797" s="28"/>
      <c r="AI797" s="28" t="s">
        <v>53</v>
      </c>
      <c r="AJ797" s="33">
        <v>35270</v>
      </c>
      <c r="AK797" s="28">
        <v>6</v>
      </c>
      <c r="AL797" s="28">
        <v>22</v>
      </c>
      <c r="AM797" s="21"/>
      <c r="AN797" s="27"/>
      <c r="AO797" s="27"/>
      <c r="AP797" s="27"/>
      <c r="AQ797" s="27"/>
    </row>
    <row r="798" spans="1:43" ht="15.75" customHeight="1">
      <c r="A798" s="28">
        <v>1</v>
      </c>
      <c r="B798" s="29" t="s">
        <v>6299</v>
      </c>
      <c r="C798" s="30"/>
      <c r="D798" s="31" t="s">
        <v>6300</v>
      </c>
      <c r="E798" s="30" t="s">
        <v>49</v>
      </c>
      <c r="F798" s="30" t="s">
        <v>50</v>
      </c>
      <c r="G798" s="30" t="s">
        <v>51</v>
      </c>
      <c r="H798" s="28" t="s">
        <v>52</v>
      </c>
      <c r="I798" s="30"/>
      <c r="J798" s="30" t="s">
        <v>53</v>
      </c>
      <c r="K798" s="30" t="s">
        <v>6301</v>
      </c>
      <c r="L798" s="30" t="s">
        <v>55</v>
      </c>
      <c r="M798" s="30" t="s">
        <v>6302</v>
      </c>
      <c r="N798" s="30" t="s">
        <v>6303</v>
      </c>
      <c r="O798" s="30" t="s">
        <v>58</v>
      </c>
      <c r="P798" s="30" t="s">
        <v>6304</v>
      </c>
      <c r="Q798" s="28" t="s">
        <v>6305</v>
      </c>
      <c r="R798" s="30" t="s">
        <v>6306</v>
      </c>
      <c r="S798" s="30" t="s">
        <v>53</v>
      </c>
      <c r="T798" s="30"/>
      <c r="U798" s="28" t="s">
        <v>3250</v>
      </c>
      <c r="V798" s="30" t="s">
        <v>63</v>
      </c>
      <c r="W798" s="30" t="s">
        <v>64</v>
      </c>
      <c r="X798" s="32">
        <v>44197</v>
      </c>
      <c r="Y798" s="32">
        <v>45658</v>
      </c>
      <c r="Z798" s="30" t="s">
        <v>65</v>
      </c>
      <c r="AA798" s="28" t="s">
        <v>66</v>
      </c>
      <c r="AB798" s="28" t="s">
        <v>67</v>
      </c>
      <c r="AC798" s="29"/>
      <c r="AD798" s="28">
        <v>0</v>
      </c>
      <c r="AE798" s="29"/>
      <c r="AF798" s="31"/>
      <c r="AG798" s="30" t="s">
        <v>6307</v>
      </c>
      <c r="AH798" s="28"/>
      <c r="AI798" s="28" t="s">
        <v>118</v>
      </c>
      <c r="AJ798" s="33">
        <v>37587</v>
      </c>
      <c r="AK798" s="28">
        <v>6</v>
      </c>
      <c r="AL798" s="28">
        <v>20</v>
      </c>
      <c r="AM798" s="21"/>
      <c r="AN798" s="27"/>
      <c r="AO798" s="27"/>
      <c r="AP798" s="27"/>
      <c r="AQ798" s="27"/>
    </row>
    <row r="799" spans="1:43" ht="15.75" customHeight="1">
      <c r="A799" s="28">
        <v>1</v>
      </c>
      <c r="B799" s="29" t="s">
        <v>6308</v>
      </c>
      <c r="C799" s="30" t="s">
        <v>6309</v>
      </c>
      <c r="D799" s="31" t="s">
        <v>6310</v>
      </c>
      <c r="E799" s="30" t="s">
        <v>72</v>
      </c>
      <c r="F799" s="30" t="s">
        <v>50</v>
      </c>
      <c r="G799" s="30" t="s">
        <v>51</v>
      </c>
      <c r="H799" s="28" t="s">
        <v>6311</v>
      </c>
      <c r="I799" s="30"/>
      <c r="J799" s="30" t="s">
        <v>53</v>
      </c>
      <c r="K799" s="30" t="s">
        <v>6312</v>
      </c>
      <c r="L799" s="30" t="s">
        <v>55</v>
      </c>
      <c r="M799" s="30" t="s">
        <v>1573</v>
      </c>
      <c r="N799" s="30" t="s">
        <v>6313</v>
      </c>
      <c r="O799" s="30" t="s">
        <v>6314</v>
      </c>
      <c r="P799" s="30" t="s">
        <v>6315</v>
      </c>
      <c r="Q799" s="28" t="s">
        <v>6316</v>
      </c>
      <c r="R799" s="30" t="s">
        <v>6317</v>
      </c>
      <c r="S799" s="30" t="s">
        <v>53</v>
      </c>
      <c r="T799" s="30"/>
      <c r="U799" s="28" t="s">
        <v>6318</v>
      </c>
      <c r="V799" s="30" t="s">
        <v>63</v>
      </c>
      <c r="W799" s="30" t="s">
        <v>64</v>
      </c>
      <c r="X799" s="32">
        <v>44348</v>
      </c>
      <c r="Y799" s="32">
        <v>45809</v>
      </c>
      <c r="Z799" s="30" t="s">
        <v>65</v>
      </c>
      <c r="AA799" s="28" t="s">
        <v>134</v>
      </c>
      <c r="AB799" s="28" t="s">
        <v>67</v>
      </c>
      <c r="AC799" s="29"/>
      <c r="AD799" s="28">
        <v>0</v>
      </c>
      <c r="AE799" s="29"/>
      <c r="AF799" s="31"/>
      <c r="AG799" s="30" t="s">
        <v>6319</v>
      </c>
      <c r="AH799" s="28"/>
      <c r="AI799" s="28" t="s">
        <v>53</v>
      </c>
      <c r="AJ799" s="33">
        <v>35491</v>
      </c>
      <c r="AK799" s="28">
        <v>7</v>
      </c>
      <c r="AL799" s="28">
        <v>20</v>
      </c>
      <c r="AM799" s="21"/>
      <c r="AN799" s="27"/>
      <c r="AO799" s="27"/>
      <c r="AP799" s="27"/>
      <c r="AQ799" s="27"/>
    </row>
    <row r="800" spans="1:43" ht="15.75" customHeight="1">
      <c r="A800" s="28">
        <v>2</v>
      </c>
      <c r="B800" s="29" t="s">
        <v>6320</v>
      </c>
      <c r="C800" s="30"/>
      <c r="D800" s="31" t="s">
        <v>6321</v>
      </c>
      <c r="E800" s="30" t="s">
        <v>72</v>
      </c>
      <c r="F800" s="30" t="s">
        <v>50</v>
      </c>
      <c r="G800" s="30" t="s">
        <v>51</v>
      </c>
      <c r="H800" s="28" t="s">
        <v>52</v>
      </c>
      <c r="I800" s="30"/>
      <c r="J800" s="30" t="s">
        <v>53</v>
      </c>
      <c r="K800" s="30" t="s">
        <v>5497</v>
      </c>
      <c r="L800" s="30" t="s">
        <v>55</v>
      </c>
      <c r="M800" s="30" t="s">
        <v>5498</v>
      </c>
      <c r="N800" s="30" t="s">
        <v>6322</v>
      </c>
      <c r="O800" s="30" t="s">
        <v>6323</v>
      </c>
      <c r="P800" s="30" t="s">
        <v>6324</v>
      </c>
      <c r="Q800" s="28" t="s">
        <v>6325</v>
      </c>
      <c r="R800" s="30" t="s">
        <v>6326</v>
      </c>
      <c r="S800" s="30" t="s">
        <v>53</v>
      </c>
      <c r="T800" s="30"/>
      <c r="U800" s="28" t="s">
        <v>6327</v>
      </c>
      <c r="V800" s="30" t="s">
        <v>63</v>
      </c>
      <c r="W800" s="30" t="s">
        <v>64</v>
      </c>
      <c r="X800" s="32">
        <v>44228</v>
      </c>
      <c r="Y800" s="32">
        <v>45992</v>
      </c>
      <c r="Z800" s="30" t="s">
        <v>65</v>
      </c>
      <c r="AA800" s="28" t="s">
        <v>66</v>
      </c>
      <c r="AB800" s="28" t="s">
        <v>67</v>
      </c>
      <c r="AC800" s="29"/>
      <c r="AD800" s="28">
        <v>0</v>
      </c>
      <c r="AE800" s="29"/>
      <c r="AF800" s="31"/>
      <c r="AG800" s="30" t="s">
        <v>6319</v>
      </c>
      <c r="AH800" s="28"/>
      <c r="AI800" s="28" t="s">
        <v>53</v>
      </c>
      <c r="AJ800" s="33">
        <v>37888</v>
      </c>
      <c r="AK800" s="28">
        <v>6</v>
      </c>
      <c r="AL800" s="28">
        <v>20</v>
      </c>
      <c r="AM800" s="21"/>
      <c r="AN800" s="27"/>
      <c r="AO800" s="27"/>
      <c r="AP800" s="27"/>
      <c r="AQ800" s="27"/>
    </row>
    <row r="801" spans="1:43" ht="15.75" customHeight="1">
      <c r="A801" s="28">
        <v>3</v>
      </c>
      <c r="B801" s="29" t="s">
        <v>6328</v>
      </c>
      <c r="C801" s="30"/>
      <c r="D801" s="31" t="s">
        <v>6329</v>
      </c>
      <c r="E801" s="30" t="s">
        <v>72</v>
      </c>
      <c r="F801" s="30" t="s">
        <v>50</v>
      </c>
      <c r="G801" s="30" t="s">
        <v>51</v>
      </c>
      <c r="H801" s="28" t="s">
        <v>52</v>
      </c>
      <c r="I801" s="30"/>
      <c r="J801" s="30" t="s">
        <v>53</v>
      </c>
      <c r="K801" s="30" t="s">
        <v>5497</v>
      </c>
      <c r="L801" s="30" t="s">
        <v>55</v>
      </c>
      <c r="M801" s="30" t="s">
        <v>5498</v>
      </c>
      <c r="N801" s="30" t="s">
        <v>6330</v>
      </c>
      <c r="O801" s="30" t="s">
        <v>6331</v>
      </c>
      <c r="P801" s="30" t="s">
        <v>6332</v>
      </c>
      <c r="Q801" s="28"/>
      <c r="R801" s="30" t="s">
        <v>6333</v>
      </c>
      <c r="S801" s="30" t="s">
        <v>53</v>
      </c>
      <c r="T801" s="30"/>
      <c r="U801" s="28" t="s">
        <v>6327</v>
      </c>
      <c r="V801" s="30" t="s">
        <v>63</v>
      </c>
      <c r="W801" s="30" t="s">
        <v>64</v>
      </c>
      <c r="X801" s="32">
        <v>44197</v>
      </c>
      <c r="Y801" s="32">
        <v>45658</v>
      </c>
      <c r="Z801" s="30" t="s">
        <v>65</v>
      </c>
      <c r="AA801" s="28" t="s">
        <v>66</v>
      </c>
      <c r="AB801" s="28" t="s">
        <v>67</v>
      </c>
      <c r="AC801" s="29"/>
      <c r="AD801" s="28">
        <v>0</v>
      </c>
      <c r="AE801" s="29"/>
      <c r="AF801" s="31"/>
      <c r="AG801" s="30" t="s">
        <v>6319</v>
      </c>
      <c r="AH801" s="28"/>
      <c r="AI801" s="28" t="s">
        <v>53</v>
      </c>
      <c r="AJ801" s="33">
        <v>37495</v>
      </c>
      <c r="AK801" s="28">
        <v>6</v>
      </c>
      <c r="AL801" s="28">
        <v>19</v>
      </c>
      <c r="AM801" s="21"/>
      <c r="AN801" s="27"/>
      <c r="AO801" s="27"/>
      <c r="AP801" s="27"/>
      <c r="AQ801" s="27"/>
    </row>
    <row r="802" spans="1:43" ht="15.75" customHeight="1">
      <c r="A802" s="28">
        <v>4</v>
      </c>
      <c r="B802" s="29" t="s">
        <v>6334</v>
      </c>
      <c r="C802" s="30"/>
      <c r="D802" s="31" t="s">
        <v>6335</v>
      </c>
      <c r="E802" s="30" t="s">
        <v>72</v>
      </c>
      <c r="F802" s="30" t="s">
        <v>50</v>
      </c>
      <c r="G802" s="30" t="s">
        <v>51</v>
      </c>
      <c r="H802" s="28" t="s">
        <v>85</v>
      </c>
      <c r="I802" s="30"/>
      <c r="J802" s="30" t="s">
        <v>53</v>
      </c>
      <c r="K802" s="30" t="s">
        <v>6336</v>
      </c>
      <c r="L802" s="30" t="s">
        <v>55</v>
      </c>
      <c r="M802" s="30" t="s">
        <v>1620</v>
      </c>
      <c r="N802" s="30" t="s">
        <v>6337</v>
      </c>
      <c r="O802" s="30" t="s">
        <v>6338</v>
      </c>
      <c r="P802" s="30" t="s">
        <v>6339</v>
      </c>
      <c r="Q802" s="28" t="s">
        <v>6340</v>
      </c>
      <c r="R802" s="30" t="s">
        <v>6341</v>
      </c>
      <c r="S802" s="30" t="s">
        <v>53</v>
      </c>
      <c r="T802" s="30"/>
      <c r="U802" s="28" t="s">
        <v>6342</v>
      </c>
      <c r="V802" s="30" t="s">
        <v>63</v>
      </c>
      <c r="W802" s="30" t="s">
        <v>64</v>
      </c>
      <c r="X802" s="32">
        <v>43831</v>
      </c>
      <c r="Y802" s="32">
        <v>45627</v>
      </c>
      <c r="Z802" s="30" t="s">
        <v>65</v>
      </c>
      <c r="AA802" s="28" t="s">
        <v>66</v>
      </c>
      <c r="AB802" s="28" t="s">
        <v>67</v>
      </c>
      <c r="AC802" s="29"/>
      <c r="AD802" s="28">
        <v>0</v>
      </c>
      <c r="AE802" s="29"/>
      <c r="AF802" s="31"/>
      <c r="AG802" s="30" t="s">
        <v>6319</v>
      </c>
      <c r="AH802" s="28"/>
      <c r="AI802" s="28" t="s">
        <v>53</v>
      </c>
      <c r="AJ802" s="33">
        <v>37435</v>
      </c>
      <c r="AK802" s="28">
        <v>8</v>
      </c>
      <c r="AL802" s="28">
        <v>18</v>
      </c>
      <c r="AM802" s="21"/>
      <c r="AN802" s="27"/>
      <c r="AO802" s="27"/>
      <c r="AP802" s="27"/>
      <c r="AQ802" s="27"/>
    </row>
    <row r="803" spans="1:43" ht="15.75" customHeight="1">
      <c r="A803" s="28">
        <v>5</v>
      </c>
      <c r="B803" s="29" t="s">
        <v>6343</v>
      </c>
      <c r="C803" s="30" t="s">
        <v>6344</v>
      </c>
      <c r="D803" s="31" t="s">
        <v>6345</v>
      </c>
      <c r="E803" s="30" t="s">
        <v>72</v>
      </c>
      <c r="F803" s="30" t="s">
        <v>50</v>
      </c>
      <c r="G803" s="30" t="s">
        <v>51</v>
      </c>
      <c r="H803" s="28" t="s">
        <v>52</v>
      </c>
      <c r="I803" s="30"/>
      <c r="J803" s="30" t="s">
        <v>53</v>
      </c>
      <c r="K803" s="30" t="s">
        <v>6346</v>
      </c>
      <c r="L803" s="30" t="s">
        <v>55</v>
      </c>
      <c r="M803" s="30" t="s">
        <v>1620</v>
      </c>
      <c r="N803" s="30" t="s">
        <v>6347</v>
      </c>
      <c r="O803" s="30" t="s">
        <v>6348</v>
      </c>
      <c r="P803" s="30" t="s">
        <v>6349</v>
      </c>
      <c r="Q803" s="28"/>
      <c r="R803" s="30" t="s">
        <v>6350</v>
      </c>
      <c r="S803" s="30" t="s">
        <v>53</v>
      </c>
      <c r="T803" s="30"/>
      <c r="U803" s="28" t="s">
        <v>6351</v>
      </c>
      <c r="V803" s="30" t="s">
        <v>63</v>
      </c>
      <c r="W803" s="30" t="s">
        <v>64</v>
      </c>
      <c r="X803" s="32">
        <v>42217</v>
      </c>
      <c r="Y803" s="32">
        <v>45992</v>
      </c>
      <c r="Z803" s="30" t="s">
        <v>65</v>
      </c>
      <c r="AA803" s="28" t="s">
        <v>66</v>
      </c>
      <c r="AB803" s="28" t="s">
        <v>67</v>
      </c>
      <c r="AC803" s="29"/>
      <c r="AD803" s="28">
        <v>0</v>
      </c>
      <c r="AE803" s="29"/>
      <c r="AF803" s="31"/>
      <c r="AG803" s="30" t="s">
        <v>6319</v>
      </c>
      <c r="AH803" s="28"/>
      <c r="AI803" s="28" t="s">
        <v>53</v>
      </c>
      <c r="AJ803" s="33">
        <v>33766</v>
      </c>
      <c r="AK803" s="28">
        <v>6</v>
      </c>
      <c r="AL803" s="28">
        <v>17</v>
      </c>
      <c r="AM803" s="21"/>
      <c r="AN803" s="27"/>
      <c r="AO803" s="27"/>
      <c r="AP803" s="27"/>
      <c r="AQ803" s="27"/>
    </row>
    <row r="804" spans="1:43" ht="15.75" customHeight="1">
      <c r="A804" s="28">
        <v>1</v>
      </c>
      <c r="B804" s="29" t="s">
        <v>6352</v>
      </c>
      <c r="C804" s="30" t="s">
        <v>6353</v>
      </c>
      <c r="D804" s="31" t="s">
        <v>6354</v>
      </c>
      <c r="E804" s="30" t="s">
        <v>72</v>
      </c>
      <c r="F804" s="30" t="s">
        <v>50</v>
      </c>
      <c r="G804" s="30" t="s">
        <v>51</v>
      </c>
      <c r="H804" s="28" t="s">
        <v>52</v>
      </c>
      <c r="I804" s="30"/>
      <c r="J804" s="30" t="s">
        <v>53</v>
      </c>
      <c r="K804" s="30" t="s">
        <v>6355</v>
      </c>
      <c r="L804" s="30" t="s">
        <v>55</v>
      </c>
      <c r="M804" s="30" t="s">
        <v>1620</v>
      </c>
      <c r="N804" s="30" t="s">
        <v>6356</v>
      </c>
      <c r="O804" s="30" t="s">
        <v>6357</v>
      </c>
      <c r="P804" s="30" t="s">
        <v>6358</v>
      </c>
      <c r="Q804" s="28"/>
      <c r="R804" s="30" t="s">
        <v>6359</v>
      </c>
      <c r="S804" s="30" t="s">
        <v>53</v>
      </c>
      <c r="T804" s="30"/>
      <c r="U804" s="28" t="s">
        <v>1615</v>
      </c>
      <c r="V804" s="30" t="s">
        <v>63</v>
      </c>
      <c r="W804" s="30" t="s">
        <v>204</v>
      </c>
      <c r="X804" s="32">
        <v>44228</v>
      </c>
      <c r="Y804" s="32">
        <v>45962</v>
      </c>
      <c r="Z804" s="30" t="s">
        <v>65</v>
      </c>
      <c r="AA804" s="28" t="s">
        <v>66</v>
      </c>
      <c r="AB804" s="28" t="s">
        <v>67</v>
      </c>
      <c r="AC804" s="29"/>
      <c r="AD804" s="28">
        <v>0</v>
      </c>
      <c r="AE804" s="29"/>
      <c r="AF804" s="31"/>
      <c r="AG804" s="30" t="s">
        <v>6319</v>
      </c>
      <c r="AH804" s="28"/>
      <c r="AI804" s="28" t="s">
        <v>118</v>
      </c>
      <c r="AJ804" s="33">
        <v>37475</v>
      </c>
      <c r="AK804" s="28">
        <v>6</v>
      </c>
      <c r="AL804" s="28">
        <v>20</v>
      </c>
      <c r="AM804" s="21"/>
      <c r="AN804" s="27"/>
      <c r="AO804" s="27"/>
      <c r="AP804" s="27"/>
      <c r="AQ804" s="27"/>
    </row>
    <row r="805" spans="1:43" ht="15.75" customHeight="1">
      <c r="A805" s="28">
        <v>2</v>
      </c>
      <c r="B805" s="29" t="s">
        <v>6360</v>
      </c>
      <c r="C805" s="30"/>
      <c r="D805" s="31" t="s">
        <v>6361</v>
      </c>
      <c r="E805" s="30" t="s">
        <v>72</v>
      </c>
      <c r="F805" s="30" t="s">
        <v>50</v>
      </c>
      <c r="G805" s="30" t="s">
        <v>51</v>
      </c>
      <c r="H805" s="28" t="s">
        <v>52</v>
      </c>
      <c r="I805" s="30"/>
      <c r="J805" s="30" t="s">
        <v>53</v>
      </c>
      <c r="K805" s="30" t="s">
        <v>6362</v>
      </c>
      <c r="L805" s="30" t="s">
        <v>55</v>
      </c>
      <c r="M805" s="30" t="s">
        <v>1573</v>
      </c>
      <c r="N805" s="30" t="s">
        <v>6363</v>
      </c>
      <c r="O805" s="30" t="s">
        <v>2997</v>
      </c>
      <c r="P805" s="30" t="s">
        <v>6364</v>
      </c>
      <c r="Q805" s="28"/>
      <c r="R805" s="30" t="s">
        <v>6365</v>
      </c>
      <c r="S805" s="30" t="s">
        <v>53</v>
      </c>
      <c r="T805" s="30"/>
      <c r="U805" s="28" t="s">
        <v>3211</v>
      </c>
      <c r="V805" s="30" t="s">
        <v>63</v>
      </c>
      <c r="W805" s="30" t="s">
        <v>204</v>
      </c>
      <c r="X805" s="32">
        <v>43647</v>
      </c>
      <c r="Y805" s="32">
        <v>45839</v>
      </c>
      <c r="Z805" s="30" t="s">
        <v>65</v>
      </c>
      <c r="AA805" s="28" t="s">
        <v>66</v>
      </c>
      <c r="AB805" s="28" t="s">
        <v>67</v>
      </c>
      <c r="AC805" s="29"/>
      <c r="AD805" s="28">
        <v>0</v>
      </c>
      <c r="AE805" s="29"/>
      <c r="AF805" s="31"/>
      <c r="AG805" s="30" t="s">
        <v>6319</v>
      </c>
      <c r="AH805" s="28"/>
      <c r="AI805" s="28" t="s">
        <v>118</v>
      </c>
      <c r="AJ805" s="33">
        <v>36254</v>
      </c>
      <c r="AK805" s="28">
        <v>7</v>
      </c>
      <c r="AL805" s="28">
        <v>15</v>
      </c>
      <c r="AM805" s="21"/>
      <c r="AN805" s="27"/>
      <c r="AO805" s="27"/>
      <c r="AP805" s="27"/>
      <c r="AQ805" s="27"/>
    </row>
    <row r="806" spans="1:43" ht="15.75" customHeight="1">
      <c r="A806" s="28">
        <v>1</v>
      </c>
      <c r="B806" s="29" t="s">
        <v>6366</v>
      </c>
      <c r="C806" s="30"/>
      <c r="D806" s="31" t="s">
        <v>6367</v>
      </c>
      <c r="E806" s="30" t="s">
        <v>72</v>
      </c>
      <c r="F806" s="30" t="s">
        <v>50</v>
      </c>
      <c r="G806" s="30" t="s">
        <v>51</v>
      </c>
      <c r="H806" s="28" t="s">
        <v>85</v>
      </c>
      <c r="I806" s="30"/>
      <c r="J806" s="30" t="s">
        <v>53</v>
      </c>
      <c r="K806" s="30" t="s">
        <v>6368</v>
      </c>
      <c r="L806" s="30" t="s">
        <v>55</v>
      </c>
      <c r="M806" s="30" t="s">
        <v>1620</v>
      </c>
      <c r="N806" s="30" t="s">
        <v>6369</v>
      </c>
      <c r="O806" s="30" t="s">
        <v>6370</v>
      </c>
      <c r="P806" s="30" t="s">
        <v>6371</v>
      </c>
      <c r="Q806" s="28"/>
      <c r="R806" s="30" t="s">
        <v>6372</v>
      </c>
      <c r="S806" s="30" t="s">
        <v>53</v>
      </c>
      <c r="T806" s="30"/>
      <c r="U806" s="28" t="s">
        <v>765</v>
      </c>
      <c r="V806" s="30" t="s">
        <v>63</v>
      </c>
      <c r="W806" s="30" t="s">
        <v>1005</v>
      </c>
      <c r="X806" s="32">
        <v>44044</v>
      </c>
      <c r="Y806" s="32">
        <v>45474</v>
      </c>
      <c r="Z806" s="30" t="s">
        <v>65</v>
      </c>
      <c r="AA806" s="28" t="s">
        <v>66</v>
      </c>
      <c r="AB806" s="28" t="s">
        <v>67</v>
      </c>
      <c r="AC806" s="29"/>
      <c r="AD806" s="28">
        <v>0</v>
      </c>
      <c r="AE806" s="29"/>
      <c r="AF806" s="31"/>
      <c r="AG806" s="30" t="s">
        <v>6319</v>
      </c>
      <c r="AH806" s="28"/>
      <c r="AI806" s="28" t="s">
        <v>53</v>
      </c>
      <c r="AJ806" s="33">
        <v>37163</v>
      </c>
      <c r="AK806" s="28">
        <v>8</v>
      </c>
      <c r="AL806" s="28">
        <v>18</v>
      </c>
      <c r="AM806" s="21"/>
      <c r="AN806" s="27"/>
      <c r="AO806" s="27"/>
      <c r="AP806" s="27"/>
      <c r="AQ806" s="27"/>
    </row>
    <row r="807" spans="1:43" ht="15.75" customHeight="1">
      <c r="A807" s="28">
        <v>1</v>
      </c>
      <c r="B807" s="29" t="s">
        <v>6373</v>
      </c>
      <c r="C807" s="30"/>
      <c r="D807" s="31" t="s">
        <v>6374</v>
      </c>
      <c r="E807" s="30" t="s">
        <v>49</v>
      </c>
      <c r="F807" s="30" t="s">
        <v>50</v>
      </c>
      <c r="G807" s="30" t="s">
        <v>51</v>
      </c>
      <c r="H807" s="28" t="s">
        <v>191</v>
      </c>
      <c r="I807" s="30"/>
      <c r="J807" s="30" t="s">
        <v>53</v>
      </c>
      <c r="K807" s="30" t="s">
        <v>1366</v>
      </c>
      <c r="L807" s="30" t="s">
        <v>55</v>
      </c>
      <c r="M807" s="30" t="s">
        <v>1367</v>
      </c>
      <c r="N807" s="30" t="s">
        <v>6375</v>
      </c>
      <c r="O807" s="30" t="s">
        <v>6376</v>
      </c>
      <c r="P807" s="30" t="s">
        <v>6377</v>
      </c>
      <c r="Q807" s="28" t="s">
        <v>6378</v>
      </c>
      <c r="R807" s="30" t="s">
        <v>6379</v>
      </c>
      <c r="S807" s="30" t="s">
        <v>53</v>
      </c>
      <c r="T807" s="30"/>
      <c r="U807" s="28" t="s">
        <v>6380</v>
      </c>
      <c r="V807" s="30" t="s">
        <v>63</v>
      </c>
      <c r="W807" s="30" t="s">
        <v>64</v>
      </c>
      <c r="X807" s="32">
        <v>45139</v>
      </c>
      <c r="Y807" s="32">
        <v>45992</v>
      </c>
      <c r="Z807" s="30" t="s">
        <v>65</v>
      </c>
      <c r="AA807" s="28" t="s">
        <v>66</v>
      </c>
      <c r="AB807" s="28" t="s">
        <v>67</v>
      </c>
      <c r="AC807" s="29"/>
      <c r="AD807" s="28">
        <v>0</v>
      </c>
      <c r="AE807" s="29"/>
      <c r="AF807" s="31"/>
      <c r="AG807" s="30" t="s">
        <v>6381</v>
      </c>
      <c r="AH807" s="28" t="s">
        <v>431</v>
      </c>
      <c r="AI807" s="28" t="s">
        <v>53</v>
      </c>
      <c r="AJ807" s="33">
        <v>36600</v>
      </c>
      <c r="AK807" s="28">
        <v>5</v>
      </c>
      <c r="AL807" s="28">
        <v>26</v>
      </c>
      <c r="AM807" s="21"/>
      <c r="AN807" s="27"/>
      <c r="AO807" s="27"/>
      <c r="AP807" s="27"/>
      <c r="AQ807" s="27"/>
    </row>
    <row r="808" spans="1:43" ht="15.75" customHeight="1">
      <c r="A808" s="28">
        <v>1</v>
      </c>
      <c r="B808" s="29" t="s">
        <v>6382</v>
      </c>
      <c r="C808" s="30"/>
      <c r="D808" s="31" t="s">
        <v>6383</v>
      </c>
      <c r="E808" s="30" t="s">
        <v>72</v>
      </c>
      <c r="F808" s="30" t="s">
        <v>50</v>
      </c>
      <c r="G808" s="30" t="s">
        <v>51</v>
      </c>
      <c r="H808" s="28" t="s">
        <v>52</v>
      </c>
      <c r="I808" s="30"/>
      <c r="J808" s="30" t="s">
        <v>53</v>
      </c>
      <c r="K808" s="30" t="s">
        <v>6226</v>
      </c>
      <c r="L808" s="30" t="s">
        <v>55</v>
      </c>
      <c r="M808" s="30" t="s">
        <v>6227</v>
      </c>
      <c r="N808" s="30" t="s">
        <v>6384</v>
      </c>
      <c r="O808" s="30" t="s">
        <v>6385</v>
      </c>
      <c r="P808" s="30" t="s">
        <v>6386</v>
      </c>
      <c r="Q808" s="28"/>
      <c r="R808" s="30" t="s">
        <v>6387</v>
      </c>
      <c r="S808" s="30" t="s">
        <v>53</v>
      </c>
      <c r="T808" s="30"/>
      <c r="U808" s="28" t="s">
        <v>255</v>
      </c>
      <c r="V808" s="30" t="s">
        <v>63</v>
      </c>
      <c r="W808" s="30" t="s">
        <v>64</v>
      </c>
      <c r="X808" s="32">
        <v>44409</v>
      </c>
      <c r="Y808" s="32">
        <v>45992</v>
      </c>
      <c r="Z808" s="30" t="s">
        <v>65</v>
      </c>
      <c r="AA808" s="28" t="s">
        <v>134</v>
      </c>
      <c r="AB808" s="28" t="s">
        <v>67</v>
      </c>
      <c r="AC808" s="29"/>
      <c r="AD808" s="28">
        <v>0</v>
      </c>
      <c r="AE808" s="29"/>
      <c r="AF808" s="31"/>
      <c r="AG808" s="30" t="s">
        <v>6388</v>
      </c>
      <c r="AH808" s="28"/>
      <c r="AI808" s="28" t="s">
        <v>53</v>
      </c>
      <c r="AJ808" s="33">
        <v>37529</v>
      </c>
      <c r="AK808" s="28">
        <v>6</v>
      </c>
      <c r="AL808" s="28">
        <v>21</v>
      </c>
      <c r="AM808" s="21"/>
      <c r="AN808" s="27"/>
      <c r="AO808" s="27"/>
      <c r="AP808" s="27"/>
      <c r="AQ808" s="27"/>
    </row>
    <row r="809" spans="1:43" ht="15.75" customHeight="1">
      <c r="A809" s="28">
        <v>2</v>
      </c>
      <c r="B809" s="29" t="s">
        <v>6389</v>
      </c>
      <c r="C809" s="30" t="s">
        <v>6390</v>
      </c>
      <c r="D809" s="31" t="s">
        <v>6391</v>
      </c>
      <c r="E809" s="30" t="s">
        <v>49</v>
      </c>
      <c r="F809" s="30" t="s">
        <v>50</v>
      </c>
      <c r="G809" s="30" t="s">
        <v>51</v>
      </c>
      <c r="H809" s="28" t="s">
        <v>52</v>
      </c>
      <c r="I809" s="30"/>
      <c r="J809" s="30" t="s">
        <v>53</v>
      </c>
      <c r="K809" s="30" t="s">
        <v>6226</v>
      </c>
      <c r="L809" s="30" t="s">
        <v>55</v>
      </c>
      <c r="M809" s="30" t="s">
        <v>6227</v>
      </c>
      <c r="N809" s="30" t="s">
        <v>6392</v>
      </c>
      <c r="O809" s="30" t="s">
        <v>58</v>
      </c>
      <c r="P809" s="30" t="s">
        <v>6393</v>
      </c>
      <c r="Q809" s="28"/>
      <c r="R809" s="30" t="s">
        <v>6394</v>
      </c>
      <c r="S809" s="30" t="s">
        <v>53</v>
      </c>
      <c r="T809" s="30"/>
      <c r="U809" s="28" t="s">
        <v>6395</v>
      </c>
      <c r="V809" s="30" t="s">
        <v>63</v>
      </c>
      <c r="W809" s="30" t="s">
        <v>64</v>
      </c>
      <c r="X809" s="32">
        <v>43891</v>
      </c>
      <c r="Y809" s="32">
        <v>45717</v>
      </c>
      <c r="Z809" s="30" t="s">
        <v>65</v>
      </c>
      <c r="AA809" s="28" t="s">
        <v>134</v>
      </c>
      <c r="AB809" s="28" t="s">
        <v>67</v>
      </c>
      <c r="AC809" s="29"/>
      <c r="AD809" s="28">
        <v>0</v>
      </c>
      <c r="AE809" s="29"/>
      <c r="AF809" s="31"/>
      <c r="AG809" s="30" t="s">
        <v>6388</v>
      </c>
      <c r="AH809" s="28"/>
      <c r="AI809" s="28" t="s">
        <v>53</v>
      </c>
      <c r="AJ809" s="33">
        <v>37385</v>
      </c>
      <c r="AK809" s="28">
        <v>8</v>
      </c>
      <c r="AL809" s="28">
        <v>19</v>
      </c>
      <c r="AM809" s="21"/>
      <c r="AN809" s="27"/>
      <c r="AO809" s="27"/>
      <c r="AP809" s="27"/>
      <c r="AQ809" s="27"/>
    </row>
    <row r="810" spans="1:43" ht="15.75" customHeight="1">
      <c r="A810" s="28">
        <v>3</v>
      </c>
      <c r="B810" s="29" t="s">
        <v>6396</v>
      </c>
      <c r="C810" s="30"/>
      <c r="D810" s="31" t="s">
        <v>6397</v>
      </c>
      <c r="E810" s="30" t="s">
        <v>72</v>
      </c>
      <c r="F810" s="30" t="s">
        <v>50</v>
      </c>
      <c r="G810" s="30" t="s">
        <v>51</v>
      </c>
      <c r="H810" s="28" t="s">
        <v>85</v>
      </c>
      <c r="I810" s="30"/>
      <c r="J810" s="30" t="s">
        <v>53</v>
      </c>
      <c r="K810" s="30" t="s">
        <v>6226</v>
      </c>
      <c r="L810" s="30" t="s">
        <v>55</v>
      </c>
      <c r="M810" s="30" t="s">
        <v>6227</v>
      </c>
      <c r="N810" s="30" t="s">
        <v>6398</v>
      </c>
      <c r="O810" s="30" t="s">
        <v>6399</v>
      </c>
      <c r="P810" s="30" t="s">
        <v>6400</v>
      </c>
      <c r="Q810" s="28" t="s">
        <v>6401</v>
      </c>
      <c r="R810" s="30" t="s">
        <v>6402</v>
      </c>
      <c r="S810" s="30" t="s">
        <v>53</v>
      </c>
      <c r="T810" s="30"/>
      <c r="U810" s="28" t="s">
        <v>6403</v>
      </c>
      <c r="V810" s="30" t="s">
        <v>63</v>
      </c>
      <c r="W810" s="30" t="s">
        <v>64</v>
      </c>
      <c r="X810" s="32">
        <v>44256</v>
      </c>
      <c r="Y810" s="32">
        <v>45992</v>
      </c>
      <c r="Z810" s="30" t="s">
        <v>65</v>
      </c>
      <c r="AA810" s="28" t="s">
        <v>134</v>
      </c>
      <c r="AB810" s="28" t="s">
        <v>67</v>
      </c>
      <c r="AC810" s="29"/>
      <c r="AD810" s="28">
        <v>0</v>
      </c>
      <c r="AE810" s="29"/>
      <c r="AF810" s="31"/>
      <c r="AG810" s="30" t="s">
        <v>6388</v>
      </c>
      <c r="AH810" s="28"/>
      <c r="AI810" s="28" t="s">
        <v>53</v>
      </c>
      <c r="AJ810" s="33">
        <v>38246</v>
      </c>
      <c r="AK810" s="28">
        <v>6</v>
      </c>
      <c r="AL810" s="28">
        <v>16</v>
      </c>
      <c r="AM810" s="21"/>
      <c r="AN810" s="27"/>
      <c r="AO810" s="27"/>
      <c r="AP810" s="27"/>
      <c r="AQ810" s="27"/>
    </row>
    <row r="811" spans="1:43" ht="15.75" customHeight="1">
      <c r="A811" s="28">
        <v>4</v>
      </c>
      <c r="B811" s="29" t="s">
        <v>6404</v>
      </c>
      <c r="C811" s="30"/>
      <c r="D811" s="31" t="s">
        <v>6405</v>
      </c>
      <c r="E811" s="30" t="s">
        <v>72</v>
      </c>
      <c r="F811" s="30" t="s">
        <v>84</v>
      </c>
      <c r="G811" s="30" t="s">
        <v>51</v>
      </c>
      <c r="H811" s="28" t="s">
        <v>85</v>
      </c>
      <c r="I811" s="30"/>
      <c r="J811" s="30" t="s">
        <v>53</v>
      </c>
      <c r="K811" s="30" t="s">
        <v>6226</v>
      </c>
      <c r="L811" s="30" t="s">
        <v>55</v>
      </c>
      <c r="M811" s="30" t="s">
        <v>6227</v>
      </c>
      <c r="N811" s="30" t="s">
        <v>6406</v>
      </c>
      <c r="O811" s="30" t="s">
        <v>6407</v>
      </c>
      <c r="P811" s="30" t="s">
        <v>6408</v>
      </c>
      <c r="Q811" s="28"/>
      <c r="R811" s="30" t="s">
        <v>6409</v>
      </c>
      <c r="S811" s="30" t="s">
        <v>53</v>
      </c>
      <c r="T811" s="30"/>
      <c r="U811" s="28" t="s">
        <v>6410</v>
      </c>
      <c r="V811" s="30" t="s">
        <v>63</v>
      </c>
      <c r="W811" s="30" t="s">
        <v>64</v>
      </c>
      <c r="X811" s="32">
        <v>44409</v>
      </c>
      <c r="Y811" s="32">
        <v>46204</v>
      </c>
      <c r="Z811" s="30" t="s">
        <v>65</v>
      </c>
      <c r="AA811" s="28" t="s">
        <v>246</v>
      </c>
      <c r="AB811" s="28" t="s">
        <v>67</v>
      </c>
      <c r="AC811" s="29"/>
      <c r="AD811" s="28">
        <v>0</v>
      </c>
      <c r="AE811" s="29"/>
      <c r="AF811" s="31"/>
      <c r="AG811" s="30" t="s">
        <v>6388</v>
      </c>
      <c r="AH811" s="28"/>
      <c r="AI811" s="28" t="s">
        <v>53</v>
      </c>
      <c r="AJ811" s="33">
        <v>26608</v>
      </c>
      <c r="AK811" s="28">
        <v>5</v>
      </c>
      <c r="AL811" s="28">
        <v>15</v>
      </c>
      <c r="AM811" s="21"/>
      <c r="AN811" s="27"/>
      <c r="AO811" s="27"/>
      <c r="AP811" s="27"/>
      <c r="AQ811" s="27"/>
    </row>
    <row r="812" spans="1:43" ht="15.75" customHeight="1">
      <c r="A812" s="28">
        <v>5</v>
      </c>
      <c r="B812" s="29" t="s">
        <v>6411</v>
      </c>
      <c r="C812" s="30"/>
      <c r="D812" s="31" t="s">
        <v>6412</v>
      </c>
      <c r="E812" s="30" t="s">
        <v>72</v>
      </c>
      <c r="F812" s="30" t="s">
        <v>50</v>
      </c>
      <c r="G812" s="30" t="s">
        <v>51</v>
      </c>
      <c r="H812" s="28" t="s">
        <v>191</v>
      </c>
      <c r="I812" s="30"/>
      <c r="J812" s="30" t="s">
        <v>53</v>
      </c>
      <c r="K812" s="30" t="s">
        <v>6226</v>
      </c>
      <c r="L812" s="30" t="s">
        <v>55</v>
      </c>
      <c r="M812" s="30" t="s">
        <v>6227</v>
      </c>
      <c r="N812" s="30" t="s">
        <v>6413</v>
      </c>
      <c r="O812" s="30" t="s">
        <v>6414</v>
      </c>
      <c r="P812" s="30" t="s">
        <v>6415</v>
      </c>
      <c r="Q812" s="28"/>
      <c r="R812" s="30" t="s">
        <v>6416</v>
      </c>
      <c r="S812" s="30" t="s">
        <v>53</v>
      </c>
      <c r="T812" s="30"/>
      <c r="U812" s="28" t="s">
        <v>255</v>
      </c>
      <c r="V812" s="30" t="s">
        <v>63</v>
      </c>
      <c r="W812" s="30" t="s">
        <v>64</v>
      </c>
      <c r="X812" s="32">
        <v>43831</v>
      </c>
      <c r="Y812" s="32">
        <v>45627</v>
      </c>
      <c r="Z812" s="30" t="s">
        <v>65</v>
      </c>
      <c r="AA812" s="28" t="s">
        <v>134</v>
      </c>
      <c r="AB812" s="28" t="s">
        <v>67</v>
      </c>
      <c r="AC812" s="29"/>
      <c r="AD812" s="28">
        <v>0</v>
      </c>
      <c r="AE812" s="29"/>
      <c r="AF812" s="31"/>
      <c r="AG812" s="30" t="s">
        <v>6388</v>
      </c>
      <c r="AH812" s="28"/>
      <c r="AI812" s="28" t="s">
        <v>53</v>
      </c>
      <c r="AJ812" s="33">
        <v>37160</v>
      </c>
      <c r="AK812" s="28">
        <v>8</v>
      </c>
      <c r="AL812" s="28">
        <v>15</v>
      </c>
      <c r="AM812" s="21"/>
      <c r="AN812" s="27"/>
      <c r="AO812" s="27"/>
      <c r="AP812" s="27"/>
      <c r="AQ812" s="27"/>
    </row>
    <row r="813" spans="1:43" ht="15.75" customHeight="1">
      <c r="A813" s="28">
        <v>1</v>
      </c>
      <c r="B813" s="29" t="s">
        <v>6417</v>
      </c>
      <c r="C813" s="30"/>
      <c r="D813" s="31" t="s">
        <v>6418</v>
      </c>
      <c r="E813" s="30" t="s">
        <v>72</v>
      </c>
      <c r="F813" s="30" t="s">
        <v>50</v>
      </c>
      <c r="G813" s="30" t="s">
        <v>51</v>
      </c>
      <c r="H813" s="28" t="s">
        <v>52</v>
      </c>
      <c r="I813" s="30"/>
      <c r="J813" s="30" t="s">
        <v>53</v>
      </c>
      <c r="K813" s="30" t="s">
        <v>6419</v>
      </c>
      <c r="L813" s="30" t="s">
        <v>55</v>
      </c>
      <c r="M813" s="30" t="s">
        <v>6420</v>
      </c>
      <c r="N813" s="30" t="s">
        <v>6421</v>
      </c>
      <c r="O813" s="30" t="s">
        <v>6422</v>
      </c>
      <c r="P813" s="30" t="s">
        <v>6423</v>
      </c>
      <c r="Q813" s="28"/>
      <c r="R813" s="30" t="s">
        <v>6424</v>
      </c>
      <c r="S813" s="30" t="s">
        <v>53</v>
      </c>
      <c r="T813" s="30"/>
      <c r="U813" s="28" t="s">
        <v>6425</v>
      </c>
      <c r="V813" s="30" t="s">
        <v>63</v>
      </c>
      <c r="W813" s="30" t="s">
        <v>64</v>
      </c>
      <c r="X813" s="32">
        <v>43862</v>
      </c>
      <c r="Y813" s="32">
        <v>45627</v>
      </c>
      <c r="Z813" s="30" t="s">
        <v>65</v>
      </c>
      <c r="AA813" s="28" t="s">
        <v>66</v>
      </c>
      <c r="AB813" s="28" t="s">
        <v>67</v>
      </c>
      <c r="AC813" s="29"/>
      <c r="AD813" s="28">
        <v>0</v>
      </c>
      <c r="AE813" s="29"/>
      <c r="AF813" s="31"/>
      <c r="AG813" s="30" t="s">
        <v>6426</v>
      </c>
      <c r="AH813" s="28"/>
      <c r="AI813" s="28" t="s">
        <v>118</v>
      </c>
      <c r="AJ813" s="33">
        <v>37346</v>
      </c>
      <c r="AK813" s="28">
        <v>8</v>
      </c>
      <c r="AL813" s="28">
        <v>22</v>
      </c>
      <c r="AM813" s="21"/>
      <c r="AN813" s="27"/>
      <c r="AO813" s="27"/>
      <c r="AP813" s="27"/>
      <c r="AQ813" s="27"/>
    </row>
    <row r="814" spans="1:43" ht="15.75" customHeight="1">
      <c r="A814" s="28">
        <v>2</v>
      </c>
      <c r="B814" s="29" t="s">
        <v>6427</v>
      </c>
      <c r="C814" s="30"/>
      <c r="D814" s="31" t="s">
        <v>6428</v>
      </c>
      <c r="E814" s="30" t="s">
        <v>72</v>
      </c>
      <c r="F814" s="30" t="s">
        <v>50</v>
      </c>
      <c r="G814" s="30" t="s">
        <v>51</v>
      </c>
      <c r="H814" s="28" t="s">
        <v>52</v>
      </c>
      <c r="I814" s="30"/>
      <c r="J814" s="30" t="s">
        <v>53</v>
      </c>
      <c r="K814" s="30" t="s">
        <v>6419</v>
      </c>
      <c r="L814" s="30" t="s">
        <v>55</v>
      </c>
      <c r="M814" s="30" t="s">
        <v>6420</v>
      </c>
      <c r="N814" s="30" t="s">
        <v>6429</v>
      </c>
      <c r="O814" s="30" t="s">
        <v>6430</v>
      </c>
      <c r="P814" s="30" t="s">
        <v>6431</v>
      </c>
      <c r="Q814" s="28"/>
      <c r="R814" s="30" t="s">
        <v>6432</v>
      </c>
      <c r="S814" s="30" t="s">
        <v>53</v>
      </c>
      <c r="T814" s="30"/>
      <c r="U814" s="28" t="s">
        <v>1183</v>
      </c>
      <c r="V814" s="30" t="s">
        <v>63</v>
      </c>
      <c r="W814" s="30" t="s">
        <v>64</v>
      </c>
      <c r="X814" s="32">
        <v>44409</v>
      </c>
      <c r="Y814" s="32">
        <v>46174</v>
      </c>
      <c r="Z814" s="30" t="s">
        <v>65</v>
      </c>
      <c r="AA814" s="28" t="s">
        <v>66</v>
      </c>
      <c r="AB814" s="28" t="s">
        <v>67</v>
      </c>
      <c r="AC814" s="29"/>
      <c r="AD814" s="28">
        <v>0</v>
      </c>
      <c r="AE814" s="29"/>
      <c r="AF814" s="31"/>
      <c r="AG814" s="30" t="s">
        <v>6426</v>
      </c>
      <c r="AH814" s="28"/>
      <c r="AI814" s="28" t="s">
        <v>118</v>
      </c>
      <c r="AJ814" s="33">
        <v>37568</v>
      </c>
      <c r="AK814" s="28">
        <v>5</v>
      </c>
      <c r="AL814" s="28">
        <v>16</v>
      </c>
      <c r="AM814" s="21"/>
      <c r="AN814" s="27"/>
      <c r="AO814" s="27"/>
      <c r="AP814" s="27"/>
      <c r="AQ814" s="27"/>
    </row>
    <row r="815" spans="1:43" ht="15.75" customHeight="1">
      <c r="A815" s="28">
        <v>1</v>
      </c>
      <c r="B815" s="29" t="s">
        <v>6433</v>
      </c>
      <c r="C815" s="30"/>
      <c r="D815" s="31" t="s">
        <v>6434</v>
      </c>
      <c r="E815" s="30" t="s">
        <v>72</v>
      </c>
      <c r="F815" s="30" t="s">
        <v>50</v>
      </c>
      <c r="G815" s="30" t="s">
        <v>51</v>
      </c>
      <c r="H815" s="28" t="s">
        <v>601</v>
      </c>
      <c r="I815" s="30"/>
      <c r="J815" s="30" t="s">
        <v>53</v>
      </c>
      <c r="K815" s="30" t="s">
        <v>5668</v>
      </c>
      <c r="L815" s="30" t="s">
        <v>55</v>
      </c>
      <c r="M815" s="30" t="s">
        <v>5669</v>
      </c>
      <c r="N815" s="30" t="s">
        <v>6435</v>
      </c>
      <c r="O815" s="30" t="s">
        <v>58</v>
      </c>
      <c r="P815" s="30" t="s">
        <v>6436</v>
      </c>
      <c r="Q815" s="28" t="s">
        <v>6437</v>
      </c>
      <c r="R815" s="30" t="s">
        <v>6438</v>
      </c>
      <c r="S815" s="30" t="s">
        <v>53</v>
      </c>
      <c r="T815" s="30"/>
      <c r="U815" s="28" t="s">
        <v>5673</v>
      </c>
      <c r="V815" s="30" t="s">
        <v>63</v>
      </c>
      <c r="W815" s="30" t="s">
        <v>64</v>
      </c>
      <c r="X815" s="32">
        <v>44228</v>
      </c>
      <c r="Y815" s="32">
        <v>46357</v>
      </c>
      <c r="Z815" s="30" t="s">
        <v>65</v>
      </c>
      <c r="AA815" s="28" t="s">
        <v>66</v>
      </c>
      <c r="AB815" s="28" t="s">
        <v>67</v>
      </c>
      <c r="AC815" s="29"/>
      <c r="AD815" s="28">
        <v>0</v>
      </c>
      <c r="AE815" s="29"/>
      <c r="AF815" s="31"/>
      <c r="AG815" s="30" t="s">
        <v>6439</v>
      </c>
      <c r="AH815" s="28"/>
      <c r="AI815" s="28" t="s">
        <v>53</v>
      </c>
      <c r="AJ815" s="33">
        <v>37550</v>
      </c>
      <c r="AK815" s="28">
        <v>5</v>
      </c>
      <c r="AL815" s="28">
        <v>23</v>
      </c>
      <c r="AM815" s="21"/>
      <c r="AN815" s="27"/>
      <c r="AO815" s="27"/>
      <c r="AP815" s="27"/>
      <c r="AQ815" s="27"/>
    </row>
    <row r="816" spans="1:43" ht="15.75" customHeight="1">
      <c r="A816" s="28">
        <v>1</v>
      </c>
      <c r="B816" s="29" t="s">
        <v>6440</v>
      </c>
      <c r="C816" s="30" t="s">
        <v>6441</v>
      </c>
      <c r="D816" s="31" t="s">
        <v>6442</v>
      </c>
      <c r="E816" s="30" t="s">
        <v>72</v>
      </c>
      <c r="F816" s="30" t="s">
        <v>50</v>
      </c>
      <c r="G816" s="30" t="s">
        <v>51</v>
      </c>
      <c r="H816" s="28" t="s">
        <v>52</v>
      </c>
      <c r="I816" s="30"/>
      <c r="J816" s="30" t="s">
        <v>53</v>
      </c>
      <c r="K816" s="30" t="s">
        <v>6443</v>
      </c>
      <c r="L816" s="30" t="s">
        <v>55</v>
      </c>
      <c r="M816" s="30" t="s">
        <v>3632</v>
      </c>
      <c r="N816" s="30" t="s">
        <v>6444</v>
      </c>
      <c r="O816" s="30" t="s">
        <v>6445</v>
      </c>
      <c r="P816" s="30" t="s">
        <v>6446</v>
      </c>
      <c r="Q816" s="28" t="s">
        <v>6447</v>
      </c>
      <c r="R816" s="30" t="s">
        <v>6448</v>
      </c>
      <c r="S816" s="30" t="s">
        <v>53</v>
      </c>
      <c r="T816" s="30"/>
      <c r="U816" s="28" t="s">
        <v>4919</v>
      </c>
      <c r="V816" s="30" t="s">
        <v>63</v>
      </c>
      <c r="W816" s="30" t="s">
        <v>80</v>
      </c>
      <c r="X816" s="32">
        <v>44228</v>
      </c>
      <c r="Y816" s="32">
        <v>45627</v>
      </c>
      <c r="Z816" s="30" t="s">
        <v>65</v>
      </c>
      <c r="AA816" s="28" t="s">
        <v>246</v>
      </c>
      <c r="AB816" s="28" t="s">
        <v>67</v>
      </c>
      <c r="AC816" s="29"/>
      <c r="AD816" s="28">
        <v>0</v>
      </c>
      <c r="AE816" s="29"/>
      <c r="AF816" s="31"/>
      <c r="AG816" s="30" t="s">
        <v>6449</v>
      </c>
      <c r="AH816" s="28" t="s">
        <v>431</v>
      </c>
      <c r="AI816" s="28" t="s">
        <v>53</v>
      </c>
      <c r="AJ816" s="33">
        <v>32424</v>
      </c>
      <c r="AK816" s="28">
        <v>4</v>
      </c>
      <c r="AL816" s="28">
        <v>20</v>
      </c>
      <c r="AM816" s="21"/>
      <c r="AN816" s="27"/>
      <c r="AO816" s="27"/>
      <c r="AP816" s="27"/>
      <c r="AQ816" s="27"/>
    </row>
    <row r="817" spans="1:43" ht="15.75" customHeight="1">
      <c r="A817" s="28">
        <v>1</v>
      </c>
      <c r="B817" s="29" t="s">
        <v>6450</v>
      </c>
      <c r="C817" s="30" t="s">
        <v>6451</v>
      </c>
      <c r="D817" s="31" t="s">
        <v>6452</v>
      </c>
      <c r="E817" s="30" t="s">
        <v>72</v>
      </c>
      <c r="F817" s="30" t="s">
        <v>50</v>
      </c>
      <c r="G817" s="30" t="s">
        <v>51</v>
      </c>
      <c r="H817" s="28" t="s">
        <v>52</v>
      </c>
      <c r="I817" s="30"/>
      <c r="J817" s="30" t="s">
        <v>53</v>
      </c>
      <c r="K817" s="30" t="s">
        <v>6453</v>
      </c>
      <c r="L817" s="30" t="s">
        <v>112</v>
      </c>
      <c r="M817" s="30" t="s">
        <v>113</v>
      </c>
      <c r="N817" s="30" t="s">
        <v>6454</v>
      </c>
      <c r="O817" s="30" t="s">
        <v>6455</v>
      </c>
      <c r="P817" s="30" t="s">
        <v>6456</v>
      </c>
      <c r="Q817" s="28" t="s">
        <v>6457</v>
      </c>
      <c r="R817" s="30" t="s">
        <v>6458</v>
      </c>
      <c r="S817" s="30" t="s">
        <v>53</v>
      </c>
      <c r="T817" s="30"/>
      <c r="U817" s="28" t="s">
        <v>1598</v>
      </c>
      <c r="V817" s="30" t="s">
        <v>63</v>
      </c>
      <c r="W817" s="30" t="s">
        <v>266</v>
      </c>
      <c r="X817" s="32">
        <v>44593</v>
      </c>
      <c r="Y817" s="32">
        <v>45992</v>
      </c>
      <c r="Z817" s="30" t="s">
        <v>65</v>
      </c>
      <c r="AA817" s="28" t="s">
        <v>246</v>
      </c>
      <c r="AB817" s="28" t="s">
        <v>67</v>
      </c>
      <c r="AC817" s="29"/>
      <c r="AD817" s="28">
        <v>0</v>
      </c>
      <c r="AE817" s="29"/>
      <c r="AF817" s="31"/>
      <c r="AG817" s="30" t="s">
        <v>6449</v>
      </c>
      <c r="AH817" s="28"/>
      <c r="AI817" s="28" t="s">
        <v>53</v>
      </c>
      <c r="AJ817" s="33">
        <v>37796</v>
      </c>
      <c r="AK817" s="28">
        <v>4</v>
      </c>
      <c r="AL817" s="28">
        <v>25</v>
      </c>
      <c r="AM817" s="21"/>
      <c r="AN817" s="27"/>
      <c r="AO817" s="27"/>
      <c r="AP817" s="27"/>
      <c r="AQ817" s="27"/>
    </row>
    <row r="818" spans="1:43" ht="15.75" customHeight="1">
      <c r="A818" s="28">
        <v>1</v>
      </c>
      <c r="B818" s="29" t="s">
        <v>6459</v>
      </c>
      <c r="C818" s="30"/>
      <c r="D818" s="31" t="s">
        <v>6460</v>
      </c>
      <c r="E818" s="30" t="s">
        <v>72</v>
      </c>
      <c r="F818" s="30" t="s">
        <v>50</v>
      </c>
      <c r="G818" s="30" t="s">
        <v>51</v>
      </c>
      <c r="H818" s="28" t="s">
        <v>52</v>
      </c>
      <c r="I818" s="30"/>
      <c r="J818" s="30" t="s">
        <v>53</v>
      </c>
      <c r="K818" s="30" t="s">
        <v>6461</v>
      </c>
      <c r="L818" s="30" t="s">
        <v>55</v>
      </c>
      <c r="M818" s="30" t="s">
        <v>3632</v>
      </c>
      <c r="N818" s="30" t="s">
        <v>6462</v>
      </c>
      <c r="O818" s="30" t="s">
        <v>6463</v>
      </c>
      <c r="P818" s="30" t="s">
        <v>6464</v>
      </c>
      <c r="Q818" s="28"/>
      <c r="R818" s="30" t="s">
        <v>6465</v>
      </c>
      <c r="S818" s="30" t="s">
        <v>53</v>
      </c>
      <c r="T818" s="30"/>
      <c r="U818" s="28" t="s">
        <v>1204</v>
      </c>
      <c r="V818" s="30" t="s">
        <v>63</v>
      </c>
      <c r="W818" s="30" t="s">
        <v>64</v>
      </c>
      <c r="X818" s="32">
        <v>43678</v>
      </c>
      <c r="Y818" s="32">
        <v>45444</v>
      </c>
      <c r="Z818" s="30" t="s">
        <v>65</v>
      </c>
      <c r="AA818" s="28" t="s">
        <v>66</v>
      </c>
      <c r="AB818" s="28" t="s">
        <v>67</v>
      </c>
      <c r="AC818" s="29"/>
      <c r="AD818" s="28">
        <v>0</v>
      </c>
      <c r="AE818" s="29"/>
      <c r="AF818" s="31"/>
      <c r="AG818" s="30" t="s">
        <v>6449</v>
      </c>
      <c r="AH818" s="28"/>
      <c r="AI818" s="28" t="s">
        <v>53</v>
      </c>
      <c r="AJ818" s="33">
        <v>37056</v>
      </c>
      <c r="AK818" s="28">
        <v>9</v>
      </c>
      <c r="AL818" s="28">
        <v>25</v>
      </c>
      <c r="AM818" s="21"/>
      <c r="AN818" s="27"/>
      <c r="AO818" s="27"/>
      <c r="AP818" s="27"/>
      <c r="AQ818" s="27"/>
    </row>
    <row r="819" spans="1:43" ht="15.75" customHeight="1">
      <c r="A819" s="28">
        <v>2</v>
      </c>
      <c r="B819" s="29" t="s">
        <v>6466</v>
      </c>
      <c r="C819" s="30" t="s">
        <v>6467</v>
      </c>
      <c r="D819" s="31" t="s">
        <v>6468</v>
      </c>
      <c r="E819" s="30" t="s">
        <v>72</v>
      </c>
      <c r="F819" s="30" t="s">
        <v>84</v>
      </c>
      <c r="G819" s="30" t="s">
        <v>51</v>
      </c>
      <c r="H819" s="28" t="s">
        <v>85</v>
      </c>
      <c r="I819" s="30"/>
      <c r="J819" s="30" t="s">
        <v>53</v>
      </c>
      <c r="K819" s="30" t="s">
        <v>6469</v>
      </c>
      <c r="L819" s="30" t="s">
        <v>55</v>
      </c>
      <c r="M819" s="30" t="s">
        <v>3632</v>
      </c>
      <c r="N819" s="30" t="s">
        <v>6470</v>
      </c>
      <c r="O819" s="30" t="s">
        <v>6471</v>
      </c>
      <c r="P819" s="30" t="s">
        <v>6472</v>
      </c>
      <c r="Q819" s="28"/>
      <c r="R819" s="30" t="s">
        <v>6473</v>
      </c>
      <c r="S819" s="30" t="s">
        <v>118</v>
      </c>
      <c r="T819" s="30" t="s">
        <v>6474</v>
      </c>
      <c r="U819" s="28" t="s">
        <v>6475</v>
      </c>
      <c r="V819" s="30" t="s">
        <v>63</v>
      </c>
      <c r="W819" s="30" t="s">
        <v>64</v>
      </c>
      <c r="X819" s="32">
        <v>42917</v>
      </c>
      <c r="Y819" s="32">
        <v>45261</v>
      </c>
      <c r="Z819" s="30" t="s">
        <v>65</v>
      </c>
      <c r="AA819" s="28" t="s">
        <v>66</v>
      </c>
      <c r="AB819" s="28" t="s">
        <v>67</v>
      </c>
      <c r="AC819" s="29"/>
      <c r="AD819" s="28">
        <v>0</v>
      </c>
      <c r="AE819" s="29"/>
      <c r="AF819" s="31"/>
      <c r="AG819" s="30" t="s">
        <v>6449</v>
      </c>
      <c r="AH819" s="28" t="s">
        <v>122</v>
      </c>
      <c r="AI819" s="28" t="s">
        <v>53</v>
      </c>
      <c r="AJ819" s="33">
        <v>35845</v>
      </c>
      <c r="AK819" s="28">
        <v>9</v>
      </c>
      <c r="AL819" s="28">
        <v>24</v>
      </c>
      <c r="AM819" s="21"/>
      <c r="AN819" s="27"/>
      <c r="AO819" s="27"/>
      <c r="AP819" s="27"/>
      <c r="AQ819" s="27"/>
    </row>
    <row r="820" spans="1:43" ht="15.75" customHeight="1">
      <c r="A820" s="28">
        <v>3</v>
      </c>
      <c r="B820" s="29" t="s">
        <v>6476</v>
      </c>
      <c r="C820" s="30" t="s">
        <v>6477</v>
      </c>
      <c r="D820" s="31" t="s">
        <v>6478</v>
      </c>
      <c r="E820" s="30" t="s">
        <v>49</v>
      </c>
      <c r="F820" s="30" t="s">
        <v>50</v>
      </c>
      <c r="G820" s="30" t="s">
        <v>51</v>
      </c>
      <c r="H820" s="28" t="s">
        <v>191</v>
      </c>
      <c r="I820" s="30"/>
      <c r="J820" s="30" t="s">
        <v>53</v>
      </c>
      <c r="K820" s="30" t="s">
        <v>6479</v>
      </c>
      <c r="L820" s="30" t="s">
        <v>55</v>
      </c>
      <c r="M820" s="30" t="s">
        <v>3632</v>
      </c>
      <c r="N820" s="30" t="s">
        <v>6480</v>
      </c>
      <c r="O820" s="30" t="s">
        <v>6471</v>
      </c>
      <c r="P820" s="30" t="s">
        <v>6481</v>
      </c>
      <c r="Q820" s="28"/>
      <c r="R820" s="30" t="s">
        <v>6482</v>
      </c>
      <c r="S820" s="30" t="s">
        <v>53</v>
      </c>
      <c r="T820" s="30"/>
      <c r="U820" s="28" t="s">
        <v>6483</v>
      </c>
      <c r="V820" s="30" t="s">
        <v>63</v>
      </c>
      <c r="W820" s="30" t="s">
        <v>64</v>
      </c>
      <c r="X820" s="32">
        <v>43862</v>
      </c>
      <c r="Y820" s="32">
        <v>45627</v>
      </c>
      <c r="Z820" s="30" t="s">
        <v>65</v>
      </c>
      <c r="AA820" s="28" t="s">
        <v>134</v>
      </c>
      <c r="AB820" s="28" t="s">
        <v>67</v>
      </c>
      <c r="AC820" s="29"/>
      <c r="AD820" s="28">
        <v>0</v>
      </c>
      <c r="AE820" s="29"/>
      <c r="AF820" s="31"/>
      <c r="AG820" s="30" t="s">
        <v>6449</v>
      </c>
      <c r="AH820" s="28" t="s">
        <v>431</v>
      </c>
      <c r="AI820" s="28" t="s">
        <v>53</v>
      </c>
      <c r="AJ820" s="33">
        <v>37233</v>
      </c>
      <c r="AK820" s="28">
        <v>8</v>
      </c>
      <c r="AL820" s="28">
        <v>24</v>
      </c>
      <c r="AM820" s="21"/>
      <c r="AN820" s="27"/>
      <c r="AO820" s="27"/>
      <c r="AP820" s="27"/>
      <c r="AQ820" s="27"/>
    </row>
    <row r="821" spans="1:43" ht="15.75" customHeight="1">
      <c r="A821" s="28">
        <v>4</v>
      </c>
      <c r="B821" s="29" t="s">
        <v>6484</v>
      </c>
      <c r="C821" s="30" t="s">
        <v>6485</v>
      </c>
      <c r="D821" s="31" t="s">
        <v>6486</v>
      </c>
      <c r="E821" s="30" t="s">
        <v>72</v>
      </c>
      <c r="F821" s="30" t="s">
        <v>50</v>
      </c>
      <c r="G821" s="30" t="s">
        <v>51</v>
      </c>
      <c r="H821" s="28" t="s">
        <v>85</v>
      </c>
      <c r="I821" s="30"/>
      <c r="J821" s="30" t="s">
        <v>53</v>
      </c>
      <c r="K821" s="30" t="s">
        <v>6487</v>
      </c>
      <c r="L821" s="30" t="s">
        <v>55</v>
      </c>
      <c r="M821" s="30" t="s">
        <v>3632</v>
      </c>
      <c r="N821" s="30" t="s">
        <v>6488</v>
      </c>
      <c r="O821" s="30" t="s">
        <v>6463</v>
      </c>
      <c r="P821" s="30" t="s">
        <v>6489</v>
      </c>
      <c r="Q821" s="28"/>
      <c r="R821" s="30" t="s">
        <v>6490</v>
      </c>
      <c r="S821" s="30" t="s">
        <v>53</v>
      </c>
      <c r="T821" s="30"/>
      <c r="U821" s="28" t="s">
        <v>1204</v>
      </c>
      <c r="V821" s="30" t="s">
        <v>63</v>
      </c>
      <c r="W821" s="30" t="s">
        <v>64</v>
      </c>
      <c r="X821" s="32">
        <v>44409</v>
      </c>
      <c r="Y821" s="32">
        <v>46357</v>
      </c>
      <c r="Z821" s="30" t="s">
        <v>65</v>
      </c>
      <c r="AA821" s="28" t="s">
        <v>246</v>
      </c>
      <c r="AB821" s="28" t="s">
        <v>67</v>
      </c>
      <c r="AC821" s="29"/>
      <c r="AD821" s="28">
        <v>0</v>
      </c>
      <c r="AE821" s="29"/>
      <c r="AF821" s="31"/>
      <c r="AG821" s="30" t="s">
        <v>6449</v>
      </c>
      <c r="AH821" s="28"/>
      <c r="AI821" s="28" t="s">
        <v>53</v>
      </c>
      <c r="AJ821" s="33">
        <v>37388</v>
      </c>
      <c r="AK821" s="28">
        <v>5</v>
      </c>
      <c r="AL821" s="28">
        <v>23</v>
      </c>
      <c r="AM821" s="21"/>
      <c r="AN821" s="27"/>
      <c r="AO821" s="27"/>
      <c r="AP821" s="27"/>
      <c r="AQ821" s="27"/>
    </row>
    <row r="822" spans="1:43" ht="15.75" customHeight="1">
      <c r="A822" s="28">
        <v>5</v>
      </c>
      <c r="B822" s="29" t="s">
        <v>6491</v>
      </c>
      <c r="C822" s="30" t="s">
        <v>6492</v>
      </c>
      <c r="D822" s="31" t="s">
        <v>6493</v>
      </c>
      <c r="E822" s="30" t="s">
        <v>49</v>
      </c>
      <c r="F822" s="30" t="s">
        <v>50</v>
      </c>
      <c r="G822" s="30" t="s">
        <v>51</v>
      </c>
      <c r="H822" s="28" t="s">
        <v>52</v>
      </c>
      <c r="I822" s="30"/>
      <c r="J822" s="30" t="s">
        <v>53</v>
      </c>
      <c r="K822" s="30" t="s">
        <v>6494</v>
      </c>
      <c r="L822" s="30" t="s">
        <v>112</v>
      </c>
      <c r="M822" s="30" t="s">
        <v>113</v>
      </c>
      <c r="N822" s="30" t="s">
        <v>6495</v>
      </c>
      <c r="O822" s="30" t="s">
        <v>6496</v>
      </c>
      <c r="P822" s="30" t="s">
        <v>6497</v>
      </c>
      <c r="Q822" s="28" t="s">
        <v>6498</v>
      </c>
      <c r="R822" s="30" t="s">
        <v>6499</v>
      </c>
      <c r="S822" s="30" t="s">
        <v>53</v>
      </c>
      <c r="T822" s="30"/>
      <c r="U822" s="28" t="s">
        <v>6500</v>
      </c>
      <c r="V822" s="30" t="s">
        <v>63</v>
      </c>
      <c r="W822" s="30" t="s">
        <v>64</v>
      </c>
      <c r="X822" s="32">
        <v>43678</v>
      </c>
      <c r="Y822" s="32">
        <v>45444</v>
      </c>
      <c r="Z822" s="30" t="s">
        <v>65</v>
      </c>
      <c r="AA822" s="28" t="s">
        <v>134</v>
      </c>
      <c r="AB822" s="28" t="s">
        <v>67</v>
      </c>
      <c r="AC822" s="29"/>
      <c r="AD822" s="28">
        <v>0</v>
      </c>
      <c r="AE822" s="29"/>
      <c r="AF822" s="31"/>
      <c r="AG822" s="30" t="s">
        <v>6449</v>
      </c>
      <c r="AH822" s="28"/>
      <c r="AI822" s="28" t="s">
        <v>53</v>
      </c>
      <c r="AJ822" s="33">
        <v>35070</v>
      </c>
      <c r="AK822" s="28">
        <v>9</v>
      </c>
      <c r="AL822" s="28">
        <v>22</v>
      </c>
      <c r="AM822" s="21"/>
      <c r="AN822" s="27"/>
      <c r="AO822" s="27"/>
      <c r="AP822" s="27"/>
      <c r="AQ822" s="27"/>
    </row>
    <row r="823" spans="1:43" ht="15.75" customHeight="1">
      <c r="A823" s="28">
        <v>6</v>
      </c>
      <c r="B823" s="29" t="s">
        <v>6501</v>
      </c>
      <c r="C823" s="30"/>
      <c r="D823" s="31" t="s">
        <v>6502</v>
      </c>
      <c r="E823" s="30" t="s">
        <v>72</v>
      </c>
      <c r="F823" s="30" t="s">
        <v>50</v>
      </c>
      <c r="G823" s="30" t="s">
        <v>51</v>
      </c>
      <c r="H823" s="28" t="s">
        <v>52</v>
      </c>
      <c r="I823" s="30"/>
      <c r="J823" s="30" t="s">
        <v>53</v>
      </c>
      <c r="K823" s="30" t="s">
        <v>6503</v>
      </c>
      <c r="L823" s="30" t="s">
        <v>112</v>
      </c>
      <c r="M823" s="30" t="s">
        <v>113</v>
      </c>
      <c r="N823" s="30" t="s">
        <v>6504</v>
      </c>
      <c r="O823" s="30" t="s">
        <v>6505</v>
      </c>
      <c r="P823" s="30" t="s">
        <v>6506</v>
      </c>
      <c r="Q823" s="28"/>
      <c r="R823" s="30" t="s">
        <v>6507</v>
      </c>
      <c r="S823" s="30" t="s">
        <v>53</v>
      </c>
      <c r="T823" s="30"/>
      <c r="U823" s="28" t="s">
        <v>1204</v>
      </c>
      <c r="V823" s="30" t="s">
        <v>63</v>
      </c>
      <c r="W823" s="30" t="s">
        <v>64</v>
      </c>
      <c r="X823" s="32">
        <v>44228</v>
      </c>
      <c r="Y823" s="32">
        <v>45992</v>
      </c>
      <c r="Z823" s="30" t="s">
        <v>65</v>
      </c>
      <c r="AA823" s="28" t="s">
        <v>134</v>
      </c>
      <c r="AB823" s="28" t="s">
        <v>67</v>
      </c>
      <c r="AC823" s="29"/>
      <c r="AD823" s="28">
        <v>0</v>
      </c>
      <c r="AE823" s="29"/>
      <c r="AF823" s="31"/>
      <c r="AG823" s="30" t="s">
        <v>6449</v>
      </c>
      <c r="AH823" s="28"/>
      <c r="AI823" s="28" t="s">
        <v>53</v>
      </c>
      <c r="AJ823" s="33">
        <v>37473</v>
      </c>
      <c r="AK823" s="28">
        <v>6</v>
      </c>
      <c r="AL823" s="28">
        <v>21</v>
      </c>
      <c r="AM823" s="21"/>
      <c r="AN823" s="27"/>
      <c r="AO823" s="27"/>
      <c r="AP823" s="27"/>
      <c r="AQ823" s="27"/>
    </row>
    <row r="824" spans="1:43" ht="15.75" customHeight="1">
      <c r="A824" s="28">
        <v>7</v>
      </c>
      <c r="B824" s="29" t="s">
        <v>6508</v>
      </c>
      <c r="C824" s="30" t="s">
        <v>6509</v>
      </c>
      <c r="D824" s="31" t="s">
        <v>6510</v>
      </c>
      <c r="E824" s="30" t="s">
        <v>72</v>
      </c>
      <c r="F824" s="30" t="s">
        <v>50</v>
      </c>
      <c r="G824" s="30" t="s">
        <v>51</v>
      </c>
      <c r="H824" s="28" t="s">
        <v>52</v>
      </c>
      <c r="I824" s="30"/>
      <c r="J824" s="30" t="s">
        <v>53</v>
      </c>
      <c r="K824" s="30" t="s">
        <v>6511</v>
      </c>
      <c r="L824" s="30" t="s">
        <v>55</v>
      </c>
      <c r="M824" s="30" t="s">
        <v>3632</v>
      </c>
      <c r="N824" s="30" t="s">
        <v>6512</v>
      </c>
      <c r="O824" s="30" t="s">
        <v>6513</v>
      </c>
      <c r="P824" s="30" t="s">
        <v>6514</v>
      </c>
      <c r="Q824" s="28" t="s">
        <v>6515</v>
      </c>
      <c r="R824" s="30" t="s">
        <v>6516</v>
      </c>
      <c r="S824" s="30" t="s">
        <v>53</v>
      </c>
      <c r="T824" s="30"/>
      <c r="U824" s="28" t="s">
        <v>1204</v>
      </c>
      <c r="V824" s="30" t="s">
        <v>63</v>
      </c>
      <c r="W824" s="30" t="s">
        <v>64</v>
      </c>
      <c r="X824" s="32">
        <v>44044</v>
      </c>
      <c r="Y824" s="32">
        <v>45839</v>
      </c>
      <c r="Z824" s="30" t="s">
        <v>65</v>
      </c>
      <c r="AA824" s="28" t="s">
        <v>66</v>
      </c>
      <c r="AB824" s="28" t="s">
        <v>67</v>
      </c>
      <c r="AC824" s="29"/>
      <c r="AD824" s="28">
        <v>0</v>
      </c>
      <c r="AE824" s="29"/>
      <c r="AF824" s="31"/>
      <c r="AG824" s="30" t="s">
        <v>6449</v>
      </c>
      <c r="AH824" s="28"/>
      <c r="AI824" s="28" t="s">
        <v>53</v>
      </c>
      <c r="AJ824" s="33">
        <v>37171</v>
      </c>
      <c r="AK824" s="28">
        <v>7</v>
      </c>
      <c r="AL824" s="28">
        <v>21</v>
      </c>
      <c r="AM824" s="21"/>
      <c r="AN824" s="27"/>
      <c r="AO824" s="27"/>
      <c r="AP824" s="27"/>
      <c r="AQ824" s="27"/>
    </row>
    <row r="825" spans="1:43" ht="15.75" customHeight="1">
      <c r="A825" s="28">
        <v>8</v>
      </c>
      <c r="B825" s="29" t="s">
        <v>6517</v>
      </c>
      <c r="C825" s="30" t="s">
        <v>6518</v>
      </c>
      <c r="D825" s="31" t="s">
        <v>6519</v>
      </c>
      <c r="E825" s="30" t="s">
        <v>72</v>
      </c>
      <c r="F825" s="30" t="s">
        <v>50</v>
      </c>
      <c r="G825" s="30" t="s">
        <v>51</v>
      </c>
      <c r="H825" s="28" t="s">
        <v>191</v>
      </c>
      <c r="I825" s="30"/>
      <c r="J825" s="30" t="s">
        <v>53</v>
      </c>
      <c r="K825" s="30" t="s">
        <v>6520</v>
      </c>
      <c r="L825" s="30" t="s">
        <v>112</v>
      </c>
      <c r="M825" s="30" t="s">
        <v>113</v>
      </c>
      <c r="N825" s="30" t="s">
        <v>6521</v>
      </c>
      <c r="O825" s="30" t="s">
        <v>5462</v>
      </c>
      <c r="P825" s="30" t="s">
        <v>6522</v>
      </c>
      <c r="Q825" s="28"/>
      <c r="R825" s="30" t="s">
        <v>6523</v>
      </c>
      <c r="S825" s="30" t="s">
        <v>53</v>
      </c>
      <c r="T825" s="30"/>
      <c r="U825" s="28" t="s">
        <v>5457</v>
      </c>
      <c r="V825" s="30" t="s">
        <v>63</v>
      </c>
      <c r="W825" s="30" t="s">
        <v>64</v>
      </c>
      <c r="X825" s="32">
        <v>43617</v>
      </c>
      <c r="Y825" s="32">
        <v>45444</v>
      </c>
      <c r="Z825" s="30" t="s">
        <v>65</v>
      </c>
      <c r="AA825" s="28" t="s">
        <v>134</v>
      </c>
      <c r="AB825" s="28" t="s">
        <v>67</v>
      </c>
      <c r="AC825" s="29"/>
      <c r="AD825" s="28">
        <v>0</v>
      </c>
      <c r="AE825" s="29"/>
      <c r="AF825" s="31"/>
      <c r="AG825" s="30" t="s">
        <v>6449</v>
      </c>
      <c r="AH825" s="28"/>
      <c r="AI825" s="28" t="s">
        <v>53</v>
      </c>
      <c r="AJ825" s="33">
        <v>34364</v>
      </c>
      <c r="AK825" s="28">
        <v>9</v>
      </c>
      <c r="AL825" s="28">
        <v>21</v>
      </c>
      <c r="AM825" s="21"/>
      <c r="AN825" s="27"/>
      <c r="AO825" s="27"/>
      <c r="AP825" s="27"/>
      <c r="AQ825" s="27"/>
    </row>
    <row r="826" spans="1:43" ht="15.75" customHeight="1">
      <c r="A826" s="28">
        <v>9</v>
      </c>
      <c r="B826" s="29" t="s">
        <v>6524</v>
      </c>
      <c r="C826" s="30" t="s">
        <v>6525</v>
      </c>
      <c r="D826" s="31" t="s">
        <v>6526</v>
      </c>
      <c r="E826" s="30" t="s">
        <v>72</v>
      </c>
      <c r="F826" s="30" t="s">
        <v>84</v>
      </c>
      <c r="G826" s="30" t="s">
        <v>51</v>
      </c>
      <c r="H826" s="28" t="s">
        <v>52</v>
      </c>
      <c r="I826" s="30"/>
      <c r="J826" s="30" t="s">
        <v>53</v>
      </c>
      <c r="K826" s="30" t="s">
        <v>6527</v>
      </c>
      <c r="L826" s="30" t="s">
        <v>112</v>
      </c>
      <c r="M826" s="30" t="s">
        <v>113</v>
      </c>
      <c r="N826" s="30" t="s">
        <v>6528</v>
      </c>
      <c r="O826" s="30" t="s">
        <v>5462</v>
      </c>
      <c r="P826" s="30" t="s">
        <v>6529</v>
      </c>
      <c r="Q826" s="28" t="s">
        <v>6530</v>
      </c>
      <c r="R826" s="30" t="s">
        <v>6531</v>
      </c>
      <c r="S826" s="30" t="s">
        <v>53</v>
      </c>
      <c r="T826" s="30"/>
      <c r="U826" s="28" t="s">
        <v>5457</v>
      </c>
      <c r="V826" s="30" t="s">
        <v>63</v>
      </c>
      <c r="W826" s="30" t="s">
        <v>64</v>
      </c>
      <c r="X826" s="32">
        <v>43525</v>
      </c>
      <c r="Y826" s="32">
        <v>45627</v>
      </c>
      <c r="Z826" s="30" t="s">
        <v>65</v>
      </c>
      <c r="AA826" s="28" t="s">
        <v>134</v>
      </c>
      <c r="AB826" s="28" t="s">
        <v>67</v>
      </c>
      <c r="AC826" s="29"/>
      <c r="AD826" s="28">
        <v>0</v>
      </c>
      <c r="AE826" s="29"/>
      <c r="AF826" s="31"/>
      <c r="AG826" s="30" t="s">
        <v>6449</v>
      </c>
      <c r="AH826" s="28"/>
      <c r="AI826" s="28" t="s">
        <v>53</v>
      </c>
      <c r="AJ826" s="33">
        <v>33227</v>
      </c>
      <c r="AK826" s="28">
        <v>7</v>
      </c>
      <c r="AL826" s="28">
        <v>21</v>
      </c>
      <c r="AM826" s="21"/>
      <c r="AN826" s="27"/>
      <c r="AO826" s="27"/>
      <c r="AP826" s="27"/>
      <c r="AQ826" s="27"/>
    </row>
    <row r="827" spans="1:43" ht="15.75" customHeight="1">
      <c r="A827" s="28">
        <v>10</v>
      </c>
      <c r="B827" s="29" t="s">
        <v>6532</v>
      </c>
      <c r="C827" s="30"/>
      <c r="D827" s="31" t="s">
        <v>6533</v>
      </c>
      <c r="E827" s="30" t="s">
        <v>49</v>
      </c>
      <c r="F827" s="30" t="s">
        <v>50</v>
      </c>
      <c r="G827" s="30" t="s">
        <v>51</v>
      </c>
      <c r="H827" s="28" t="s">
        <v>85</v>
      </c>
      <c r="I827" s="30"/>
      <c r="J827" s="30" t="s">
        <v>53</v>
      </c>
      <c r="K827" s="30" t="s">
        <v>6534</v>
      </c>
      <c r="L827" s="30" t="s">
        <v>112</v>
      </c>
      <c r="M827" s="30" t="s">
        <v>113</v>
      </c>
      <c r="N827" s="30" t="s">
        <v>6535</v>
      </c>
      <c r="O827" s="30" t="s">
        <v>5462</v>
      </c>
      <c r="P827" s="30" t="s">
        <v>6536</v>
      </c>
      <c r="Q827" s="28"/>
      <c r="R827" s="30" t="s">
        <v>6537</v>
      </c>
      <c r="S827" s="30" t="s">
        <v>53</v>
      </c>
      <c r="T827" s="30"/>
      <c r="U827" s="28" t="s">
        <v>6483</v>
      </c>
      <c r="V827" s="30" t="s">
        <v>63</v>
      </c>
      <c r="W827" s="30" t="s">
        <v>64</v>
      </c>
      <c r="X827" s="32">
        <v>43862</v>
      </c>
      <c r="Y827" s="32">
        <v>45627</v>
      </c>
      <c r="Z827" s="30" t="s">
        <v>65</v>
      </c>
      <c r="AA827" s="28" t="s">
        <v>134</v>
      </c>
      <c r="AB827" s="28" t="s">
        <v>67</v>
      </c>
      <c r="AC827" s="29"/>
      <c r="AD827" s="28">
        <v>0</v>
      </c>
      <c r="AE827" s="29"/>
      <c r="AF827" s="31"/>
      <c r="AG827" s="30" t="s">
        <v>6449</v>
      </c>
      <c r="AH827" s="28"/>
      <c r="AI827" s="28" t="s">
        <v>53</v>
      </c>
      <c r="AJ827" s="33">
        <v>37701</v>
      </c>
      <c r="AK827" s="28">
        <v>8</v>
      </c>
      <c r="AL827" s="28">
        <v>20</v>
      </c>
      <c r="AM827" s="21"/>
      <c r="AN827" s="27"/>
      <c r="AO827" s="27"/>
      <c r="AP827" s="27"/>
      <c r="AQ827" s="27"/>
    </row>
    <row r="828" spans="1:43" ht="15.75" customHeight="1">
      <c r="A828" s="28">
        <v>11</v>
      </c>
      <c r="B828" s="29" t="s">
        <v>6538</v>
      </c>
      <c r="C828" s="30" t="s">
        <v>6539</v>
      </c>
      <c r="D828" s="31" t="s">
        <v>6540</v>
      </c>
      <c r="E828" s="30" t="s">
        <v>49</v>
      </c>
      <c r="F828" s="30" t="s">
        <v>50</v>
      </c>
      <c r="G828" s="30" t="s">
        <v>51</v>
      </c>
      <c r="H828" s="28" t="s">
        <v>52</v>
      </c>
      <c r="I828" s="30"/>
      <c r="J828" s="30" t="s">
        <v>53</v>
      </c>
      <c r="K828" s="30" t="s">
        <v>6541</v>
      </c>
      <c r="L828" s="30" t="s">
        <v>55</v>
      </c>
      <c r="M828" s="30" t="s">
        <v>3632</v>
      </c>
      <c r="N828" s="30" t="s">
        <v>6542</v>
      </c>
      <c r="O828" s="30" t="s">
        <v>5100</v>
      </c>
      <c r="P828" s="30" t="s">
        <v>6543</v>
      </c>
      <c r="Q828" s="28" t="s">
        <v>6544</v>
      </c>
      <c r="R828" s="30" t="s">
        <v>6545</v>
      </c>
      <c r="S828" s="30" t="s">
        <v>53</v>
      </c>
      <c r="T828" s="30"/>
      <c r="U828" s="28" t="s">
        <v>6546</v>
      </c>
      <c r="V828" s="30" t="s">
        <v>63</v>
      </c>
      <c r="W828" s="30" t="s">
        <v>64</v>
      </c>
      <c r="X828" s="32">
        <v>44348</v>
      </c>
      <c r="Y828" s="32">
        <v>46174</v>
      </c>
      <c r="Z828" s="30" t="s">
        <v>65</v>
      </c>
      <c r="AA828" s="28" t="s">
        <v>66</v>
      </c>
      <c r="AB828" s="28" t="s">
        <v>67</v>
      </c>
      <c r="AC828" s="29"/>
      <c r="AD828" s="28">
        <v>0</v>
      </c>
      <c r="AE828" s="29"/>
      <c r="AF828" s="31"/>
      <c r="AG828" s="30" t="s">
        <v>6449</v>
      </c>
      <c r="AH828" s="28"/>
      <c r="AI828" s="28" t="s">
        <v>53</v>
      </c>
      <c r="AJ828" s="33">
        <v>37602</v>
      </c>
      <c r="AK828" s="28">
        <v>5</v>
      </c>
      <c r="AL828" s="28">
        <v>18</v>
      </c>
      <c r="AM828" s="21"/>
      <c r="AN828" s="27"/>
      <c r="AO828" s="27"/>
      <c r="AP828" s="27"/>
      <c r="AQ828" s="27"/>
    </row>
    <row r="829" spans="1:43" ht="15.75" customHeight="1">
      <c r="A829" s="28">
        <v>12</v>
      </c>
      <c r="B829" s="29" t="s">
        <v>6547</v>
      </c>
      <c r="C829" s="30" t="s">
        <v>6548</v>
      </c>
      <c r="D829" s="31" t="s">
        <v>6549</v>
      </c>
      <c r="E829" s="30" t="s">
        <v>72</v>
      </c>
      <c r="F829" s="30" t="s">
        <v>50</v>
      </c>
      <c r="G829" s="30" t="s">
        <v>51</v>
      </c>
      <c r="H829" s="28" t="s">
        <v>85</v>
      </c>
      <c r="I829" s="30"/>
      <c r="J829" s="30" t="s">
        <v>53</v>
      </c>
      <c r="K829" s="30" t="s">
        <v>6550</v>
      </c>
      <c r="L829" s="30" t="s">
        <v>55</v>
      </c>
      <c r="M829" s="30" t="s">
        <v>3632</v>
      </c>
      <c r="N829" s="30" t="s">
        <v>6551</v>
      </c>
      <c r="O829" s="30" t="s">
        <v>6552</v>
      </c>
      <c r="P829" s="30" t="s">
        <v>6553</v>
      </c>
      <c r="Q829" s="28"/>
      <c r="R829" s="30" t="s">
        <v>6554</v>
      </c>
      <c r="S829" s="30" t="s">
        <v>53</v>
      </c>
      <c r="T829" s="30"/>
      <c r="U829" s="28" t="s">
        <v>6555</v>
      </c>
      <c r="V829" s="30" t="s">
        <v>63</v>
      </c>
      <c r="W829" s="30" t="s">
        <v>64</v>
      </c>
      <c r="X829" s="32">
        <v>44562</v>
      </c>
      <c r="Y829" s="32">
        <v>46357</v>
      </c>
      <c r="Z829" s="30" t="s">
        <v>65</v>
      </c>
      <c r="AA829" s="28" t="s">
        <v>134</v>
      </c>
      <c r="AB829" s="28" t="s">
        <v>67</v>
      </c>
      <c r="AC829" s="29"/>
      <c r="AD829" s="28">
        <v>0</v>
      </c>
      <c r="AE829" s="29"/>
      <c r="AF829" s="31"/>
      <c r="AG829" s="30" t="s">
        <v>6449</v>
      </c>
      <c r="AH829" s="28"/>
      <c r="AI829" s="28" t="s">
        <v>53</v>
      </c>
      <c r="AJ829" s="33">
        <v>37763</v>
      </c>
      <c r="AK829" s="28">
        <v>5</v>
      </c>
      <c r="AL829" s="28">
        <v>18</v>
      </c>
      <c r="AM829" s="21"/>
      <c r="AN829" s="27"/>
      <c r="AO829" s="27"/>
      <c r="AP829" s="27"/>
      <c r="AQ829" s="27"/>
    </row>
    <row r="830" spans="1:43" ht="15.75" customHeight="1">
      <c r="A830" s="28">
        <v>13</v>
      </c>
      <c r="B830" s="29" t="s">
        <v>6556</v>
      </c>
      <c r="C830" s="30" t="s">
        <v>6557</v>
      </c>
      <c r="D830" s="31" t="s">
        <v>6558</v>
      </c>
      <c r="E830" s="30" t="s">
        <v>49</v>
      </c>
      <c r="F830" s="30" t="s">
        <v>50</v>
      </c>
      <c r="G830" s="30" t="s">
        <v>51</v>
      </c>
      <c r="H830" s="28" t="s">
        <v>52</v>
      </c>
      <c r="I830" s="30"/>
      <c r="J830" s="30" t="s">
        <v>53</v>
      </c>
      <c r="K830" s="30" t="s">
        <v>6559</v>
      </c>
      <c r="L830" s="30" t="s">
        <v>55</v>
      </c>
      <c r="M830" s="30" t="s">
        <v>4996</v>
      </c>
      <c r="N830" s="30" t="s">
        <v>6560</v>
      </c>
      <c r="O830" s="30" t="s">
        <v>6561</v>
      </c>
      <c r="P830" s="30" t="s">
        <v>6562</v>
      </c>
      <c r="Q830" s="28"/>
      <c r="R830" s="30" t="s">
        <v>6563</v>
      </c>
      <c r="S830" s="30" t="s">
        <v>53</v>
      </c>
      <c r="T830" s="30"/>
      <c r="U830" s="28" t="s">
        <v>1221</v>
      </c>
      <c r="V830" s="30" t="s">
        <v>63</v>
      </c>
      <c r="W830" s="30" t="s">
        <v>64</v>
      </c>
      <c r="X830" s="32">
        <v>43891</v>
      </c>
      <c r="Y830" s="32">
        <v>45627</v>
      </c>
      <c r="Z830" s="30" t="s">
        <v>65</v>
      </c>
      <c r="AA830" s="28" t="s">
        <v>134</v>
      </c>
      <c r="AB830" s="28" t="s">
        <v>67</v>
      </c>
      <c r="AC830" s="29"/>
      <c r="AD830" s="28">
        <v>0</v>
      </c>
      <c r="AE830" s="29"/>
      <c r="AF830" s="31"/>
      <c r="AG830" s="30" t="s">
        <v>6449</v>
      </c>
      <c r="AH830" s="28"/>
      <c r="AI830" s="28" t="s">
        <v>53</v>
      </c>
      <c r="AJ830" s="33">
        <v>37162</v>
      </c>
      <c r="AK830" s="28">
        <v>8</v>
      </c>
      <c r="AL830" s="28">
        <v>17</v>
      </c>
      <c r="AM830" s="21"/>
      <c r="AN830" s="27"/>
      <c r="AO830" s="27"/>
      <c r="AP830" s="27"/>
      <c r="AQ830" s="27"/>
    </row>
    <row r="831" spans="1:43" ht="15.75" customHeight="1">
      <c r="A831" s="28">
        <v>14</v>
      </c>
      <c r="B831" s="29" t="s">
        <v>6564</v>
      </c>
      <c r="C831" s="30" t="s">
        <v>6565</v>
      </c>
      <c r="D831" s="31" t="s">
        <v>6566</v>
      </c>
      <c r="E831" s="30" t="s">
        <v>72</v>
      </c>
      <c r="F831" s="30" t="s">
        <v>84</v>
      </c>
      <c r="G831" s="30" t="s">
        <v>51</v>
      </c>
      <c r="H831" s="28" t="s">
        <v>191</v>
      </c>
      <c r="I831" s="30"/>
      <c r="J831" s="30" t="s">
        <v>53</v>
      </c>
      <c r="K831" s="30" t="s">
        <v>6567</v>
      </c>
      <c r="L831" s="30" t="s">
        <v>55</v>
      </c>
      <c r="M831" s="30" t="s">
        <v>3632</v>
      </c>
      <c r="N831" s="30" t="s">
        <v>6568</v>
      </c>
      <c r="O831" s="30" t="s">
        <v>6569</v>
      </c>
      <c r="P831" s="30" t="s">
        <v>6570</v>
      </c>
      <c r="Q831" s="28"/>
      <c r="R831" s="30" t="s">
        <v>6571</v>
      </c>
      <c r="S831" s="30" t="s">
        <v>53</v>
      </c>
      <c r="T831" s="30"/>
      <c r="U831" s="28" t="s">
        <v>6546</v>
      </c>
      <c r="V831" s="30" t="s">
        <v>63</v>
      </c>
      <c r="W831" s="30" t="s">
        <v>64</v>
      </c>
      <c r="X831" s="32">
        <v>43831</v>
      </c>
      <c r="Y831" s="32">
        <v>45627</v>
      </c>
      <c r="Z831" s="30" t="s">
        <v>65</v>
      </c>
      <c r="AA831" s="28" t="s">
        <v>134</v>
      </c>
      <c r="AB831" s="28" t="s">
        <v>67</v>
      </c>
      <c r="AC831" s="29"/>
      <c r="AD831" s="28">
        <v>0</v>
      </c>
      <c r="AE831" s="29"/>
      <c r="AF831" s="31"/>
      <c r="AG831" s="30" t="s">
        <v>6449</v>
      </c>
      <c r="AH831" s="28"/>
      <c r="AI831" s="28" t="s">
        <v>53</v>
      </c>
      <c r="AJ831" s="33">
        <v>30039</v>
      </c>
      <c r="AK831" s="28">
        <v>8</v>
      </c>
      <c r="AL831" s="28">
        <v>15</v>
      </c>
      <c r="AM831" s="21"/>
      <c r="AN831" s="27"/>
      <c r="AO831" s="27"/>
      <c r="AP831" s="27"/>
      <c r="AQ831" s="27"/>
    </row>
    <row r="832" spans="1:43" ht="15.75" customHeight="1">
      <c r="A832" s="28">
        <v>1</v>
      </c>
      <c r="B832" s="29" t="s">
        <v>6572</v>
      </c>
      <c r="C832" s="30" t="s">
        <v>6573</v>
      </c>
      <c r="D832" s="31" t="s">
        <v>6574</v>
      </c>
      <c r="E832" s="30" t="s">
        <v>72</v>
      </c>
      <c r="F832" s="30" t="s">
        <v>50</v>
      </c>
      <c r="G832" s="30" t="s">
        <v>51</v>
      </c>
      <c r="H832" s="28" t="s">
        <v>1121</v>
      </c>
      <c r="I832" s="30"/>
      <c r="J832" s="30" t="s">
        <v>53</v>
      </c>
      <c r="K832" s="30" t="s">
        <v>6575</v>
      </c>
      <c r="L832" s="30" t="s">
        <v>55</v>
      </c>
      <c r="M832" s="30" t="s">
        <v>3632</v>
      </c>
      <c r="N832" s="30" t="s">
        <v>6576</v>
      </c>
      <c r="O832" s="30" t="s">
        <v>6577</v>
      </c>
      <c r="P832" s="30" t="s">
        <v>6578</v>
      </c>
      <c r="Q832" s="28" t="s">
        <v>6579</v>
      </c>
      <c r="R832" s="30" t="s">
        <v>6580</v>
      </c>
      <c r="S832" s="30" t="s">
        <v>53</v>
      </c>
      <c r="T832" s="30"/>
      <c r="U832" s="28" t="s">
        <v>1598</v>
      </c>
      <c r="V832" s="30" t="s">
        <v>63</v>
      </c>
      <c r="W832" s="30" t="s">
        <v>204</v>
      </c>
      <c r="X832" s="32">
        <v>44409</v>
      </c>
      <c r="Y832" s="32">
        <v>46174</v>
      </c>
      <c r="Z832" s="30" t="s">
        <v>65</v>
      </c>
      <c r="AA832" s="28" t="s">
        <v>66</v>
      </c>
      <c r="AB832" s="28" t="s">
        <v>67</v>
      </c>
      <c r="AC832" s="29"/>
      <c r="AD832" s="28">
        <v>0</v>
      </c>
      <c r="AE832" s="29"/>
      <c r="AF832" s="31"/>
      <c r="AG832" s="30" t="s">
        <v>6449</v>
      </c>
      <c r="AH832" s="28"/>
      <c r="AI832" s="28" t="s">
        <v>53</v>
      </c>
      <c r="AJ832" s="33">
        <v>36284</v>
      </c>
      <c r="AK832" s="28">
        <v>5</v>
      </c>
      <c r="AL832" s="28">
        <v>29</v>
      </c>
      <c r="AM832" s="21"/>
      <c r="AN832" s="27"/>
      <c r="AO832" s="27"/>
      <c r="AP832" s="27"/>
      <c r="AQ832" s="27"/>
    </row>
    <row r="833" spans="1:43" ht="15.75" customHeight="1">
      <c r="A833" s="28">
        <v>2</v>
      </c>
      <c r="B833" s="29" t="s">
        <v>6581</v>
      </c>
      <c r="C833" s="30"/>
      <c r="D833" s="31" t="s">
        <v>6582</v>
      </c>
      <c r="E833" s="30" t="s">
        <v>72</v>
      </c>
      <c r="F833" s="30" t="s">
        <v>50</v>
      </c>
      <c r="G833" s="30" t="s">
        <v>51</v>
      </c>
      <c r="H833" s="28" t="s">
        <v>52</v>
      </c>
      <c r="I833" s="30"/>
      <c r="J833" s="30" t="s">
        <v>53</v>
      </c>
      <c r="K833" s="30" t="s">
        <v>6583</v>
      </c>
      <c r="L833" s="30" t="s">
        <v>55</v>
      </c>
      <c r="M833" s="30" t="s">
        <v>3632</v>
      </c>
      <c r="N833" s="30" t="s">
        <v>6584</v>
      </c>
      <c r="O833" s="30" t="s">
        <v>6585</v>
      </c>
      <c r="P833" s="30" t="s">
        <v>6586</v>
      </c>
      <c r="Q833" s="28"/>
      <c r="R833" s="30" t="s">
        <v>6587</v>
      </c>
      <c r="S833" s="30" t="s">
        <v>53</v>
      </c>
      <c r="T833" s="30"/>
      <c r="U833" s="28" t="s">
        <v>245</v>
      </c>
      <c r="V833" s="30" t="s">
        <v>63</v>
      </c>
      <c r="W833" s="30" t="s">
        <v>204</v>
      </c>
      <c r="X833" s="32">
        <v>43831</v>
      </c>
      <c r="Y833" s="32">
        <v>45992</v>
      </c>
      <c r="Z833" s="30" t="s">
        <v>65</v>
      </c>
      <c r="AA833" s="28" t="s">
        <v>134</v>
      </c>
      <c r="AB833" s="28" t="s">
        <v>67</v>
      </c>
      <c r="AC833" s="29"/>
      <c r="AD833" s="28">
        <v>0</v>
      </c>
      <c r="AE833" s="29"/>
      <c r="AF833" s="31"/>
      <c r="AG833" s="30" t="s">
        <v>6449</v>
      </c>
      <c r="AH833" s="28"/>
      <c r="AI833" s="28" t="s">
        <v>53</v>
      </c>
      <c r="AJ833" s="33">
        <v>37628</v>
      </c>
      <c r="AK833" s="28">
        <v>6</v>
      </c>
      <c r="AL833" s="28">
        <v>24</v>
      </c>
      <c r="AM833" s="21"/>
      <c r="AN833" s="27"/>
      <c r="AO833" s="27"/>
      <c r="AP833" s="27"/>
      <c r="AQ833" s="27"/>
    </row>
    <row r="834" spans="1:43" ht="15.75" customHeight="1">
      <c r="A834" s="28">
        <v>3</v>
      </c>
      <c r="B834" s="29" t="s">
        <v>6588</v>
      </c>
      <c r="C834" s="30" t="s">
        <v>6589</v>
      </c>
      <c r="D834" s="31" t="s">
        <v>6590</v>
      </c>
      <c r="E834" s="30" t="s">
        <v>72</v>
      </c>
      <c r="F834" s="30" t="s">
        <v>50</v>
      </c>
      <c r="G834" s="30" t="s">
        <v>51</v>
      </c>
      <c r="H834" s="28" t="s">
        <v>85</v>
      </c>
      <c r="I834" s="30"/>
      <c r="J834" s="30" t="s">
        <v>53</v>
      </c>
      <c r="K834" s="30" t="s">
        <v>6591</v>
      </c>
      <c r="L834" s="30" t="s">
        <v>55</v>
      </c>
      <c r="M834" s="30" t="s">
        <v>4996</v>
      </c>
      <c r="N834" s="30" t="s">
        <v>6592</v>
      </c>
      <c r="O834" s="30" t="s">
        <v>5117</v>
      </c>
      <c r="P834" s="30" t="s">
        <v>6593</v>
      </c>
      <c r="Q834" s="28"/>
      <c r="R834" s="30" t="s">
        <v>6594</v>
      </c>
      <c r="S834" s="30" t="s">
        <v>53</v>
      </c>
      <c r="T834" s="30"/>
      <c r="U834" s="28" t="s">
        <v>1221</v>
      </c>
      <c r="V834" s="30" t="s">
        <v>63</v>
      </c>
      <c r="W834" s="30" t="s">
        <v>204</v>
      </c>
      <c r="X834" s="32">
        <v>44593</v>
      </c>
      <c r="Y834" s="32">
        <v>46357</v>
      </c>
      <c r="Z834" s="30" t="s">
        <v>65</v>
      </c>
      <c r="AA834" s="28" t="s">
        <v>66</v>
      </c>
      <c r="AB834" s="28" t="s">
        <v>67</v>
      </c>
      <c r="AC834" s="29"/>
      <c r="AD834" s="28">
        <v>0</v>
      </c>
      <c r="AE834" s="29"/>
      <c r="AF834" s="31"/>
      <c r="AG834" s="30" t="s">
        <v>6449</v>
      </c>
      <c r="AH834" s="28"/>
      <c r="AI834" s="28" t="s">
        <v>53</v>
      </c>
      <c r="AJ834" s="33">
        <v>37959</v>
      </c>
      <c r="AK834" s="28">
        <v>5</v>
      </c>
      <c r="AL834" s="28">
        <v>22</v>
      </c>
      <c r="AM834" s="21"/>
      <c r="AN834" s="27"/>
      <c r="AO834" s="27"/>
      <c r="AP834" s="27"/>
      <c r="AQ834" s="27"/>
    </row>
    <row r="835" spans="1:43" ht="15.75" customHeight="1">
      <c r="A835" s="28">
        <v>4</v>
      </c>
      <c r="B835" s="29" t="s">
        <v>6595</v>
      </c>
      <c r="C835" s="30" t="s">
        <v>6596</v>
      </c>
      <c r="D835" s="31" t="s">
        <v>6597</v>
      </c>
      <c r="E835" s="30" t="s">
        <v>72</v>
      </c>
      <c r="F835" s="30" t="s">
        <v>50</v>
      </c>
      <c r="G835" s="30" t="s">
        <v>51</v>
      </c>
      <c r="H835" s="28" t="s">
        <v>191</v>
      </c>
      <c r="I835" s="30"/>
      <c r="J835" s="30" t="s">
        <v>53</v>
      </c>
      <c r="K835" s="30" t="s">
        <v>6598</v>
      </c>
      <c r="L835" s="30" t="s">
        <v>112</v>
      </c>
      <c r="M835" s="30" t="s">
        <v>113</v>
      </c>
      <c r="N835" s="30" t="s">
        <v>6599</v>
      </c>
      <c r="O835" s="30" t="s">
        <v>6600</v>
      </c>
      <c r="P835" s="30" t="s">
        <v>6601</v>
      </c>
      <c r="Q835" s="28"/>
      <c r="R835" s="30" t="s">
        <v>6602</v>
      </c>
      <c r="S835" s="30" t="s">
        <v>53</v>
      </c>
      <c r="T835" s="30"/>
      <c r="U835" s="28" t="s">
        <v>1239</v>
      </c>
      <c r="V835" s="30" t="s">
        <v>63</v>
      </c>
      <c r="W835" s="30" t="s">
        <v>204</v>
      </c>
      <c r="X835" s="32">
        <v>43862</v>
      </c>
      <c r="Y835" s="32">
        <v>45992</v>
      </c>
      <c r="Z835" s="30" t="s">
        <v>65</v>
      </c>
      <c r="AA835" s="28" t="s">
        <v>134</v>
      </c>
      <c r="AB835" s="28" t="s">
        <v>67</v>
      </c>
      <c r="AC835" s="29"/>
      <c r="AD835" s="28">
        <v>0</v>
      </c>
      <c r="AE835" s="29"/>
      <c r="AF835" s="31"/>
      <c r="AG835" s="30" t="s">
        <v>6449</v>
      </c>
      <c r="AH835" s="28" t="s">
        <v>431</v>
      </c>
      <c r="AI835" s="28" t="s">
        <v>53</v>
      </c>
      <c r="AJ835" s="33">
        <v>36512</v>
      </c>
      <c r="AK835" s="28">
        <v>6</v>
      </c>
      <c r="AL835" s="28">
        <v>20</v>
      </c>
      <c r="AM835" s="21"/>
      <c r="AN835" s="27"/>
      <c r="AO835" s="27"/>
      <c r="AP835" s="27"/>
      <c r="AQ835" s="27"/>
    </row>
    <row r="836" spans="1:43" ht="15.75" customHeight="1">
      <c r="A836" s="28">
        <v>5</v>
      </c>
      <c r="B836" s="29" t="s">
        <v>6603</v>
      </c>
      <c r="C836" s="30" t="s">
        <v>6604</v>
      </c>
      <c r="D836" s="31" t="s">
        <v>6605</v>
      </c>
      <c r="E836" s="30" t="s">
        <v>72</v>
      </c>
      <c r="F836" s="30" t="s">
        <v>50</v>
      </c>
      <c r="G836" s="30" t="s">
        <v>51</v>
      </c>
      <c r="H836" s="28" t="s">
        <v>85</v>
      </c>
      <c r="I836" s="30"/>
      <c r="J836" s="30" t="s">
        <v>53</v>
      </c>
      <c r="K836" s="30" t="s">
        <v>6606</v>
      </c>
      <c r="L836" s="30" t="s">
        <v>112</v>
      </c>
      <c r="M836" s="30" t="s">
        <v>113</v>
      </c>
      <c r="N836" s="30" t="s">
        <v>6607</v>
      </c>
      <c r="O836" s="30" t="s">
        <v>6608</v>
      </c>
      <c r="P836" s="30" t="s">
        <v>6609</v>
      </c>
      <c r="Q836" s="28" t="s">
        <v>6610</v>
      </c>
      <c r="R836" s="30" t="s">
        <v>6611</v>
      </c>
      <c r="S836" s="30" t="s">
        <v>53</v>
      </c>
      <c r="T836" s="30"/>
      <c r="U836" s="28" t="s">
        <v>6612</v>
      </c>
      <c r="V836" s="30" t="s">
        <v>63</v>
      </c>
      <c r="W836" s="30" t="s">
        <v>204</v>
      </c>
      <c r="X836" s="32">
        <v>44256</v>
      </c>
      <c r="Y836" s="32">
        <v>46357</v>
      </c>
      <c r="Z836" s="30" t="s">
        <v>65</v>
      </c>
      <c r="AA836" s="28" t="s">
        <v>66</v>
      </c>
      <c r="AB836" s="28" t="s">
        <v>67</v>
      </c>
      <c r="AC836" s="29"/>
      <c r="AD836" s="28">
        <v>0</v>
      </c>
      <c r="AE836" s="29"/>
      <c r="AF836" s="31"/>
      <c r="AG836" s="30" t="s">
        <v>6449</v>
      </c>
      <c r="AH836" s="28"/>
      <c r="AI836" s="28" t="s">
        <v>53</v>
      </c>
      <c r="AJ836" s="33">
        <v>26453</v>
      </c>
      <c r="AK836" s="28">
        <v>5</v>
      </c>
      <c r="AL836" s="28">
        <v>19</v>
      </c>
      <c r="AM836" s="21"/>
      <c r="AN836" s="27"/>
      <c r="AO836" s="27"/>
      <c r="AP836" s="27"/>
      <c r="AQ836" s="27"/>
    </row>
    <row r="837" spans="1:43" ht="15.75" customHeight="1">
      <c r="A837" s="28">
        <v>6</v>
      </c>
      <c r="B837" s="29" t="s">
        <v>6613</v>
      </c>
      <c r="C837" s="30" t="s">
        <v>6614</v>
      </c>
      <c r="D837" s="31" t="s">
        <v>6615</v>
      </c>
      <c r="E837" s="30" t="s">
        <v>72</v>
      </c>
      <c r="F837" s="30" t="s">
        <v>84</v>
      </c>
      <c r="G837" s="30" t="s">
        <v>51</v>
      </c>
      <c r="H837" s="28" t="s">
        <v>52</v>
      </c>
      <c r="I837" s="30"/>
      <c r="J837" s="30" t="s">
        <v>53</v>
      </c>
      <c r="K837" s="30" t="s">
        <v>6616</v>
      </c>
      <c r="L837" s="30" t="s">
        <v>55</v>
      </c>
      <c r="M837" s="30" t="s">
        <v>3632</v>
      </c>
      <c r="N837" s="30" t="s">
        <v>6617</v>
      </c>
      <c r="O837" s="30" t="s">
        <v>3634</v>
      </c>
      <c r="P837" s="30" t="s">
        <v>6618</v>
      </c>
      <c r="Q837" s="28" t="s">
        <v>6619</v>
      </c>
      <c r="R837" s="30" t="s">
        <v>6620</v>
      </c>
      <c r="S837" s="30" t="s">
        <v>53</v>
      </c>
      <c r="T837" s="30"/>
      <c r="U837" s="28" t="s">
        <v>6621</v>
      </c>
      <c r="V837" s="30" t="s">
        <v>63</v>
      </c>
      <c r="W837" s="30" t="s">
        <v>204</v>
      </c>
      <c r="X837" s="32">
        <v>44197</v>
      </c>
      <c r="Y837" s="32">
        <v>45292</v>
      </c>
      <c r="Z837" s="30" t="s">
        <v>65</v>
      </c>
      <c r="AA837" s="28" t="s">
        <v>246</v>
      </c>
      <c r="AB837" s="28" t="s">
        <v>67</v>
      </c>
      <c r="AC837" s="29"/>
      <c r="AD837" s="28">
        <v>0</v>
      </c>
      <c r="AE837" s="29"/>
      <c r="AF837" s="31"/>
      <c r="AG837" s="30" t="s">
        <v>6449</v>
      </c>
      <c r="AH837" s="28"/>
      <c r="AI837" s="28" t="s">
        <v>53</v>
      </c>
      <c r="AJ837" s="33">
        <v>30786</v>
      </c>
      <c r="AK837" s="28">
        <v>8</v>
      </c>
      <c r="AL837" s="28">
        <v>17</v>
      </c>
      <c r="AM837" s="21"/>
      <c r="AN837" s="27"/>
      <c r="AO837" s="27"/>
      <c r="AP837" s="27"/>
      <c r="AQ837" s="27"/>
    </row>
    <row r="838" spans="1:43" ht="15.75" customHeight="1">
      <c r="A838" s="28">
        <v>7</v>
      </c>
      <c r="B838" s="29" t="s">
        <v>6622</v>
      </c>
      <c r="C838" s="30"/>
      <c r="D838" s="31" t="s">
        <v>6623</v>
      </c>
      <c r="E838" s="30" t="s">
        <v>72</v>
      </c>
      <c r="F838" s="30" t="s">
        <v>50</v>
      </c>
      <c r="G838" s="30" t="s">
        <v>51</v>
      </c>
      <c r="H838" s="28" t="s">
        <v>52</v>
      </c>
      <c r="I838" s="30"/>
      <c r="J838" s="30" t="s">
        <v>53</v>
      </c>
      <c r="K838" s="30" t="s">
        <v>6624</v>
      </c>
      <c r="L838" s="30" t="s">
        <v>55</v>
      </c>
      <c r="M838" s="30" t="s">
        <v>4996</v>
      </c>
      <c r="N838" s="30" t="s">
        <v>6625</v>
      </c>
      <c r="O838" s="30" t="s">
        <v>6626</v>
      </c>
      <c r="P838" s="30" t="s">
        <v>6627</v>
      </c>
      <c r="Q838" s="28"/>
      <c r="R838" s="30" t="s">
        <v>6628</v>
      </c>
      <c r="S838" s="30" t="s">
        <v>53</v>
      </c>
      <c r="T838" s="30"/>
      <c r="U838" s="28" t="s">
        <v>6629</v>
      </c>
      <c r="V838" s="30" t="s">
        <v>63</v>
      </c>
      <c r="W838" s="30" t="s">
        <v>204</v>
      </c>
      <c r="X838" s="32">
        <v>44409</v>
      </c>
      <c r="Y838" s="32">
        <v>46174</v>
      </c>
      <c r="Z838" s="30" t="s">
        <v>65</v>
      </c>
      <c r="AA838" s="28" t="s">
        <v>134</v>
      </c>
      <c r="AB838" s="28" t="s">
        <v>67</v>
      </c>
      <c r="AC838" s="29"/>
      <c r="AD838" s="28">
        <v>0</v>
      </c>
      <c r="AE838" s="29"/>
      <c r="AF838" s="31"/>
      <c r="AG838" s="30" t="s">
        <v>6449</v>
      </c>
      <c r="AH838" s="28"/>
      <c r="AI838" s="28" t="s">
        <v>53</v>
      </c>
      <c r="AJ838" s="33">
        <v>37075</v>
      </c>
      <c r="AK838" s="28">
        <v>5</v>
      </c>
      <c r="AL838" s="28">
        <v>17</v>
      </c>
      <c r="AM838" s="21"/>
      <c r="AN838" s="27"/>
      <c r="AO838" s="27"/>
      <c r="AP838" s="27"/>
      <c r="AQ838" s="27"/>
    </row>
    <row r="839" spans="1:43" ht="15.75" customHeight="1">
      <c r="A839" s="28">
        <v>8</v>
      </c>
      <c r="B839" s="29" t="s">
        <v>6630</v>
      </c>
      <c r="C839" s="30" t="s">
        <v>6631</v>
      </c>
      <c r="D839" s="31" t="s">
        <v>6632</v>
      </c>
      <c r="E839" s="30" t="s">
        <v>72</v>
      </c>
      <c r="F839" s="30" t="s">
        <v>84</v>
      </c>
      <c r="G839" s="30" t="s">
        <v>51</v>
      </c>
      <c r="H839" s="28" t="s">
        <v>52</v>
      </c>
      <c r="I839" s="30"/>
      <c r="J839" s="30" t="s">
        <v>53</v>
      </c>
      <c r="K839" s="30" t="s">
        <v>6633</v>
      </c>
      <c r="L839" s="30" t="s">
        <v>55</v>
      </c>
      <c r="M839" s="30" t="s">
        <v>3632</v>
      </c>
      <c r="N839" s="30" t="s">
        <v>6634</v>
      </c>
      <c r="O839" s="30" t="s">
        <v>6463</v>
      </c>
      <c r="P839" s="30" t="s">
        <v>6635</v>
      </c>
      <c r="Q839" s="28" t="s">
        <v>6636</v>
      </c>
      <c r="R839" s="30" t="s">
        <v>6637</v>
      </c>
      <c r="S839" s="30" t="s">
        <v>53</v>
      </c>
      <c r="T839" s="30"/>
      <c r="U839" s="28" t="s">
        <v>6638</v>
      </c>
      <c r="V839" s="30" t="s">
        <v>63</v>
      </c>
      <c r="W839" s="30" t="s">
        <v>204</v>
      </c>
      <c r="X839" s="32">
        <v>44044</v>
      </c>
      <c r="Y839" s="32">
        <v>45839</v>
      </c>
      <c r="Z839" s="30" t="s">
        <v>65</v>
      </c>
      <c r="AA839" s="28" t="s">
        <v>66</v>
      </c>
      <c r="AB839" s="28" t="s">
        <v>67</v>
      </c>
      <c r="AC839" s="29"/>
      <c r="AD839" s="28">
        <v>0</v>
      </c>
      <c r="AE839" s="29"/>
      <c r="AF839" s="31"/>
      <c r="AG839" s="30" t="s">
        <v>6449</v>
      </c>
      <c r="AH839" s="28"/>
      <c r="AI839" s="28" t="s">
        <v>53</v>
      </c>
      <c r="AJ839" s="33">
        <v>37218</v>
      </c>
      <c r="AK839" s="28">
        <v>7</v>
      </c>
      <c r="AL839" s="28">
        <v>16</v>
      </c>
      <c r="AM839" s="21"/>
      <c r="AN839" s="27"/>
      <c r="AO839" s="27"/>
      <c r="AP839" s="27"/>
      <c r="AQ839" s="27"/>
    </row>
    <row r="840" spans="1:43" ht="15.75" customHeight="1">
      <c r="A840" s="28">
        <v>9</v>
      </c>
      <c r="B840" s="29" t="s">
        <v>6639</v>
      </c>
      <c r="C840" s="30" t="s">
        <v>6640</v>
      </c>
      <c r="D840" s="31" t="s">
        <v>6641</v>
      </c>
      <c r="E840" s="30" t="s">
        <v>72</v>
      </c>
      <c r="F840" s="30" t="s">
        <v>50</v>
      </c>
      <c r="G840" s="30" t="s">
        <v>51</v>
      </c>
      <c r="H840" s="28" t="s">
        <v>52</v>
      </c>
      <c r="I840" s="30"/>
      <c r="J840" s="30" t="s">
        <v>53</v>
      </c>
      <c r="K840" s="30" t="s">
        <v>6642</v>
      </c>
      <c r="L840" s="30" t="s">
        <v>55</v>
      </c>
      <c r="M840" s="30" t="s">
        <v>1199</v>
      </c>
      <c r="N840" s="30" t="s">
        <v>6643</v>
      </c>
      <c r="O840" s="30" t="s">
        <v>6644</v>
      </c>
      <c r="P840" s="30" t="s">
        <v>6645</v>
      </c>
      <c r="Q840" s="28"/>
      <c r="R840" s="30" t="s">
        <v>6646</v>
      </c>
      <c r="S840" s="30" t="s">
        <v>53</v>
      </c>
      <c r="T840" s="30"/>
      <c r="U840" s="28" t="s">
        <v>6638</v>
      </c>
      <c r="V840" s="30" t="s">
        <v>63</v>
      </c>
      <c r="W840" s="30" t="s">
        <v>204</v>
      </c>
      <c r="X840" s="32">
        <v>44256</v>
      </c>
      <c r="Y840" s="32">
        <v>45992</v>
      </c>
      <c r="Z840" s="30" t="s">
        <v>65</v>
      </c>
      <c r="AA840" s="28" t="s">
        <v>134</v>
      </c>
      <c r="AB840" s="28" t="s">
        <v>67</v>
      </c>
      <c r="AC840" s="29"/>
      <c r="AD840" s="28">
        <v>0</v>
      </c>
      <c r="AE840" s="29"/>
      <c r="AF840" s="31"/>
      <c r="AG840" s="30" t="s">
        <v>6449</v>
      </c>
      <c r="AH840" s="28"/>
      <c r="AI840" s="28" t="s">
        <v>53</v>
      </c>
      <c r="AJ840" s="33">
        <v>37816</v>
      </c>
      <c r="AK840" s="28">
        <v>6</v>
      </c>
      <c r="AL840" s="28">
        <v>15</v>
      </c>
      <c r="AM840" s="21"/>
      <c r="AN840" s="27"/>
      <c r="AO840" s="27"/>
      <c r="AP840" s="27"/>
      <c r="AQ840" s="27"/>
    </row>
    <row r="841" spans="1:43" ht="15.75" customHeight="1">
      <c r="A841" s="28">
        <v>1</v>
      </c>
      <c r="B841" s="29" t="s">
        <v>6647</v>
      </c>
      <c r="C841" s="30" t="s">
        <v>6648</v>
      </c>
      <c r="D841" s="31" t="s">
        <v>6649</v>
      </c>
      <c r="E841" s="30" t="s">
        <v>72</v>
      </c>
      <c r="F841" s="30" t="s">
        <v>50</v>
      </c>
      <c r="G841" s="30" t="s">
        <v>51</v>
      </c>
      <c r="H841" s="28" t="s">
        <v>85</v>
      </c>
      <c r="I841" s="30"/>
      <c r="J841" s="30" t="s">
        <v>53</v>
      </c>
      <c r="K841" s="30" t="s">
        <v>6650</v>
      </c>
      <c r="L841" s="30" t="s">
        <v>112</v>
      </c>
      <c r="M841" s="30" t="s">
        <v>113</v>
      </c>
      <c r="N841" s="30" t="s">
        <v>6651</v>
      </c>
      <c r="O841" s="30" t="s">
        <v>6600</v>
      </c>
      <c r="P841" s="30" t="s">
        <v>6652</v>
      </c>
      <c r="Q841" s="28"/>
      <c r="R841" s="30" t="s">
        <v>6653</v>
      </c>
      <c r="S841" s="30" t="s">
        <v>53</v>
      </c>
      <c r="T841" s="30"/>
      <c r="U841" s="28" t="s">
        <v>3211</v>
      </c>
      <c r="V841" s="30" t="s">
        <v>63</v>
      </c>
      <c r="W841" s="30" t="s">
        <v>4235</v>
      </c>
      <c r="X841" s="32">
        <v>44348</v>
      </c>
      <c r="Y841" s="32">
        <v>45627</v>
      </c>
      <c r="Z841" s="30" t="s">
        <v>65</v>
      </c>
      <c r="AA841" s="28" t="s">
        <v>66</v>
      </c>
      <c r="AB841" s="28" t="s">
        <v>67</v>
      </c>
      <c r="AC841" s="29"/>
      <c r="AD841" s="28">
        <v>0</v>
      </c>
      <c r="AE841" s="29"/>
      <c r="AF841" s="31"/>
      <c r="AG841" s="30" t="s">
        <v>6449</v>
      </c>
      <c r="AH841" s="28"/>
      <c r="AI841" s="28" t="s">
        <v>53</v>
      </c>
      <c r="AJ841" s="33">
        <v>33892</v>
      </c>
      <c r="AK841" s="28">
        <v>6</v>
      </c>
      <c r="AL841" s="28">
        <v>22</v>
      </c>
      <c r="AM841" s="21"/>
      <c r="AN841" s="27"/>
      <c r="AO841" s="27"/>
      <c r="AP841" s="27"/>
      <c r="AQ841" s="27"/>
    </row>
    <row r="842" spans="1:43" ht="15.75" customHeight="1">
      <c r="A842" s="28">
        <v>2</v>
      </c>
      <c r="B842" s="29" t="s">
        <v>6654</v>
      </c>
      <c r="C842" s="30" t="s">
        <v>6655</v>
      </c>
      <c r="D842" s="31" t="s">
        <v>6656</v>
      </c>
      <c r="E842" s="30" t="s">
        <v>49</v>
      </c>
      <c r="F842" s="30" t="s">
        <v>50</v>
      </c>
      <c r="G842" s="30" t="s">
        <v>51</v>
      </c>
      <c r="H842" s="28" t="s">
        <v>52</v>
      </c>
      <c r="I842" s="30"/>
      <c r="J842" s="30" t="s">
        <v>53</v>
      </c>
      <c r="K842" s="30" t="s">
        <v>6657</v>
      </c>
      <c r="L842" s="30" t="s">
        <v>55</v>
      </c>
      <c r="M842" s="30" t="s">
        <v>3632</v>
      </c>
      <c r="N842" s="30" t="s">
        <v>6658</v>
      </c>
      <c r="O842" s="30" t="s">
        <v>6463</v>
      </c>
      <c r="P842" s="30" t="s">
        <v>6659</v>
      </c>
      <c r="Q842" s="28"/>
      <c r="R842" s="30" t="s">
        <v>6660</v>
      </c>
      <c r="S842" s="30" t="s">
        <v>53</v>
      </c>
      <c r="T842" s="30"/>
      <c r="U842" s="28" t="s">
        <v>4919</v>
      </c>
      <c r="V842" s="30" t="s">
        <v>63</v>
      </c>
      <c r="W842" s="30" t="s">
        <v>4235</v>
      </c>
      <c r="X842" s="32">
        <v>44593</v>
      </c>
      <c r="Y842" s="32">
        <v>45992</v>
      </c>
      <c r="Z842" s="30" t="s">
        <v>65</v>
      </c>
      <c r="AA842" s="28" t="s">
        <v>246</v>
      </c>
      <c r="AB842" s="28" t="s">
        <v>67</v>
      </c>
      <c r="AC842" s="29"/>
      <c r="AD842" s="28">
        <v>0</v>
      </c>
      <c r="AE842" s="29"/>
      <c r="AF842" s="31"/>
      <c r="AG842" s="30" t="s">
        <v>6449</v>
      </c>
      <c r="AH842" s="28"/>
      <c r="AI842" s="28" t="s">
        <v>53</v>
      </c>
      <c r="AJ842" s="33">
        <v>34808</v>
      </c>
      <c r="AK842" s="28">
        <v>4</v>
      </c>
      <c r="AL842" s="28">
        <v>19</v>
      </c>
      <c r="AM842" s="21"/>
      <c r="AN842" s="27"/>
      <c r="AO842" s="27"/>
      <c r="AP842" s="27"/>
      <c r="AQ842" s="27"/>
    </row>
    <row r="843" spans="1:43" ht="15.75" customHeight="1">
      <c r="A843" s="28">
        <v>1</v>
      </c>
      <c r="B843" s="29" t="s">
        <v>6661</v>
      </c>
      <c r="C843" s="30" t="s">
        <v>6662</v>
      </c>
      <c r="D843" s="31" t="s">
        <v>6663</v>
      </c>
      <c r="E843" s="30" t="s">
        <v>49</v>
      </c>
      <c r="F843" s="30" t="s">
        <v>50</v>
      </c>
      <c r="G843" s="30" t="s">
        <v>51</v>
      </c>
      <c r="H843" s="28" t="s">
        <v>52</v>
      </c>
      <c r="I843" s="30"/>
      <c r="J843" s="30" t="s">
        <v>53</v>
      </c>
      <c r="K843" s="30" t="s">
        <v>6664</v>
      </c>
      <c r="L843" s="30" t="s">
        <v>112</v>
      </c>
      <c r="M843" s="30" t="s">
        <v>113</v>
      </c>
      <c r="N843" s="30" t="s">
        <v>6665</v>
      </c>
      <c r="O843" s="30" t="s">
        <v>5462</v>
      </c>
      <c r="P843" s="30" t="s">
        <v>6666</v>
      </c>
      <c r="Q843" s="28" t="s">
        <v>6667</v>
      </c>
      <c r="R843" s="30" t="s">
        <v>6668</v>
      </c>
      <c r="S843" s="30" t="s">
        <v>53</v>
      </c>
      <c r="T843" s="30"/>
      <c r="U843" s="28" t="s">
        <v>6669</v>
      </c>
      <c r="V843" s="30" t="s">
        <v>63</v>
      </c>
      <c r="W843" s="30" t="s">
        <v>1005</v>
      </c>
      <c r="X843" s="32">
        <v>44409</v>
      </c>
      <c r="Y843" s="32">
        <v>45839</v>
      </c>
      <c r="Z843" s="30" t="s">
        <v>65</v>
      </c>
      <c r="AA843" s="28" t="s">
        <v>134</v>
      </c>
      <c r="AB843" s="28" t="s">
        <v>67</v>
      </c>
      <c r="AC843" s="29"/>
      <c r="AD843" s="28">
        <v>0</v>
      </c>
      <c r="AE843" s="29"/>
      <c r="AF843" s="31"/>
      <c r="AG843" s="30" t="s">
        <v>6449</v>
      </c>
      <c r="AH843" s="28" t="s">
        <v>431</v>
      </c>
      <c r="AI843" s="28" t="s">
        <v>53</v>
      </c>
      <c r="AJ843" s="33">
        <v>37642</v>
      </c>
      <c r="AK843" s="28">
        <v>5</v>
      </c>
      <c r="AL843" s="28">
        <v>21</v>
      </c>
      <c r="AM843" s="21"/>
      <c r="AN843" s="27"/>
      <c r="AO843" s="27"/>
      <c r="AP843" s="27"/>
      <c r="AQ843" s="27"/>
    </row>
    <row r="844" spans="1:43" ht="15.75" customHeight="1">
      <c r="A844" s="28">
        <v>1</v>
      </c>
      <c r="B844" s="29" t="s">
        <v>6670</v>
      </c>
      <c r="C844" s="30"/>
      <c r="D844" s="31" t="s">
        <v>6671</v>
      </c>
      <c r="E844" s="30" t="s">
        <v>49</v>
      </c>
      <c r="F844" s="30" t="s">
        <v>50</v>
      </c>
      <c r="G844" s="30" t="s">
        <v>51</v>
      </c>
      <c r="H844" s="28" t="s">
        <v>52</v>
      </c>
      <c r="I844" s="30"/>
      <c r="J844" s="30" t="s">
        <v>53</v>
      </c>
      <c r="K844" s="30" t="s">
        <v>6672</v>
      </c>
      <c r="L844" s="30" t="s">
        <v>55</v>
      </c>
      <c r="M844" s="30" t="s">
        <v>6673</v>
      </c>
      <c r="N844" s="30" t="s">
        <v>6674</v>
      </c>
      <c r="O844" s="30" t="s">
        <v>304</v>
      </c>
      <c r="P844" s="30" t="s">
        <v>6675</v>
      </c>
      <c r="Q844" s="28"/>
      <c r="R844" s="30" t="s">
        <v>6676</v>
      </c>
      <c r="S844" s="30" t="s">
        <v>53</v>
      </c>
      <c r="T844" s="30"/>
      <c r="U844" s="28" t="s">
        <v>689</v>
      </c>
      <c r="V844" s="30" t="s">
        <v>63</v>
      </c>
      <c r="W844" s="30" t="s">
        <v>64</v>
      </c>
      <c r="X844" s="32">
        <v>44562</v>
      </c>
      <c r="Y844" s="32">
        <v>46388</v>
      </c>
      <c r="Z844" s="30" t="s">
        <v>65</v>
      </c>
      <c r="AA844" s="28" t="s">
        <v>66</v>
      </c>
      <c r="AB844" s="28" t="s">
        <v>67</v>
      </c>
      <c r="AC844" s="29"/>
      <c r="AD844" s="28">
        <v>0</v>
      </c>
      <c r="AE844" s="29"/>
      <c r="AF844" s="31"/>
      <c r="AG844" s="30" t="s">
        <v>6677</v>
      </c>
      <c r="AH844" s="28"/>
      <c r="AI844" s="28" t="s">
        <v>53</v>
      </c>
      <c r="AJ844" s="33">
        <v>37777</v>
      </c>
      <c r="AK844" s="28">
        <v>5</v>
      </c>
      <c r="AL844" s="28">
        <v>23</v>
      </c>
      <c r="AM844" s="21"/>
      <c r="AN844" s="27"/>
      <c r="AO844" s="27"/>
      <c r="AP844" s="27"/>
      <c r="AQ844" s="27"/>
    </row>
    <row r="845" spans="1:43" ht="15.75" customHeight="1">
      <c r="A845" s="28">
        <v>2</v>
      </c>
      <c r="B845" s="29" t="s">
        <v>6678</v>
      </c>
      <c r="C845" s="30" t="s">
        <v>6679</v>
      </c>
      <c r="D845" s="31" t="s">
        <v>6680</v>
      </c>
      <c r="E845" s="30" t="s">
        <v>72</v>
      </c>
      <c r="F845" s="30" t="s">
        <v>50</v>
      </c>
      <c r="G845" s="30" t="s">
        <v>51</v>
      </c>
      <c r="H845" s="28" t="s">
        <v>52</v>
      </c>
      <c r="I845" s="30"/>
      <c r="J845" s="30" t="s">
        <v>53</v>
      </c>
      <c r="K845" s="30" t="s">
        <v>6672</v>
      </c>
      <c r="L845" s="30" t="s">
        <v>55</v>
      </c>
      <c r="M845" s="30" t="s">
        <v>6673</v>
      </c>
      <c r="N845" s="30" t="s">
        <v>6681</v>
      </c>
      <c r="O845" s="30" t="s">
        <v>6682</v>
      </c>
      <c r="P845" s="30" t="s">
        <v>6683</v>
      </c>
      <c r="Q845" s="28" t="s">
        <v>6684</v>
      </c>
      <c r="R845" s="30" t="s">
        <v>6685</v>
      </c>
      <c r="S845" s="30" t="s">
        <v>53</v>
      </c>
      <c r="T845" s="30"/>
      <c r="U845" s="28" t="s">
        <v>62</v>
      </c>
      <c r="V845" s="30" t="s">
        <v>63</v>
      </c>
      <c r="W845" s="30" t="s">
        <v>64</v>
      </c>
      <c r="X845" s="32">
        <v>44228</v>
      </c>
      <c r="Y845" s="32">
        <v>45992</v>
      </c>
      <c r="Z845" s="30" t="s">
        <v>65</v>
      </c>
      <c r="AA845" s="28" t="s">
        <v>66</v>
      </c>
      <c r="AB845" s="28" t="s">
        <v>67</v>
      </c>
      <c r="AC845" s="29"/>
      <c r="AD845" s="28">
        <v>0</v>
      </c>
      <c r="AE845" s="29"/>
      <c r="AF845" s="31"/>
      <c r="AG845" s="30" t="s">
        <v>6677</v>
      </c>
      <c r="AH845" s="28"/>
      <c r="AI845" s="28" t="s">
        <v>118</v>
      </c>
      <c r="AJ845" s="33">
        <v>37434</v>
      </c>
      <c r="AK845" s="28">
        <v>6</v>
      </c>
      <c r="AL845" s="28">
        <v>17</v>
      </c>
      <c r="AM845" s="21"/>
      <c r="AN845" s="27"/>
      <c r="AO845" s="27"/>
      <c r="AP845" s="27"/>
      <c r="AQ845" s="27"/>
    </row>
    <row r="846" spans="1:43" ht="15.75" customHeight="1">
      <c r="A846" s="27"/>
      <c r="B846" s="9"/>
      <c r="C846" s="27"/>
      <c r="D846" s="9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42"/>
      <c r="Y846" s="42"/>
      <c r="Z846" s="27"/>
      <c r="AA846" s="27"/>
      <c r="AB846" s="27"/>
      <c r="AC846" s="9"/>
      <c r="AD846" s="27"/>
      <c r="AE846" s="9"/>
      <c r="AF846" s="9"/>
      <c r="AG846" s="27"/>
      <c r="AH846" s="27"/>
      <c r="AI846" s="27"/>
      <c r="AJ846" s="42"/>
      <c r="AK846" s="27"/>
      <c r="AL846" s="27"/>
      <c r="AM846" s="27"/>
      <c r="AN846" s="21"/>
      <c r="AO846" s="21"/>
      <c r="AP846" s="21"/>
      <c r="AQ846" s="21"/>
    </row>
    <row r="847" spans="1:43" ht="15.75" customHeight="1">
      <c r="A847" s="27"/>
      <c r="B847" s="9"/>
      <c r="C847" s="27"/>
      <c r="D847" s="9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42"/>
      <c r="Y847" s="42"/>
      <c r="Z847" s="27"/>
      <c r="AA847" s="27"/>
      <c r="AB847" s="27"/>
      <c r="AC847" s="9"/>
      <c r="AD847" s="27"/>
      <c r="AE847" s="9"/>
      <c r="AF847" s="9"/>
      <c r="AG847" s="27"/>
      <c r="AH847" s="27"/>
      <c r="AI847" s="27"/>
      <c r="AJ847" s="42"/>
      <c r="AK847" s="27"/>
      <c r="AL847" s="27"/>
      <c r="AM847" s="27"/>
      <c r="AN847" s="21"/>
      <c r="AO847" s="21"/>
      <c r="AP847" s="21"/>
      <c r="AQ847" s="21"/>
    </row>
    <row r="848" spans="1:43" ht="15.75" customHeight="1">
      <c r="A848" s="27"/>
      <c r="B848" s="9"/>
      <c r="C848" s="27"/>
      <c r="D848" s="9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42"/>
      <c r="Y848" s="42"/>
      <c r="Z848" s="27"/>
      <c r="AA848" s="27"/>
      <c r="AB848" s="27"/>
      <c r="AC848" s="9"/>
      <c r="AD848" s="27"/>
      <c r="AE848" s="9"/>
      <c r="AF848" s="9"/>
      <c r="AG848" s="27"/>
      <c r="AH848" s="27"/>
      <c r="AI848" s="27"/>
      <c r="AJ848" s="42"/>
      <c r="AK848" s="27"/>
      <c r="AL848" s="27"/>
      <c r="AM848" s="27"/>
      <c r="AN848" s="21"/>
      <c r="AO848" s="21"/>
      <c r="AP848" s="21"/>
      <c r="AQ848" s="21"/>
    </row>
    <row r="849" spans="1:43" ht="15.75" customHeight="1">
      <c r="A849" s="27"/>
      <c r="B849" s="9"/>
      <c r="C849" s="27"/>
      <c r="D849" s="9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42"/>
      <c r="Y849" s="42"/>
      <c r="Z849" s="27"/>
      <c r="AA849" s="27"/>
      <c r="AB849" s="27"/>
      <c r="AC849" s="9"/>
      <c r="AD849" s="27"/>
      <c r="AE849" s="9"/>
      <c r="AF849" s="9"/>
      <c r="AG849" s="27"/>
      <c r="AH849" s="27"/>
      <c r="AI849" s="27"/>
      <c r="AJ849" s="42"/>
      <c r="AK849" s="27"/>
      <c r="AL849" s="27"/>
      <c r="AM849" s="27"/>
      <c r="AN849" s="21"/>
      <c r="AO849" s="21"/>
      <c r="AP849" s="21"/>
      <c r="AQ849" s="21"/>
    </row>
    <row r="850" spans="1:43" ht="15.75" customHeight="1">
      <c r="A850" s="27"/>
      <c r="B850" s="9"/>
      <c r="C850" s="27"/>
      <c r="D850" s="9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42"/>
      <c r="Y850" s="42"/>
      <c r="Z850" s="27"/>
      <c r="AA850" s="27"/>
      <c r="AB850" s="27"/>
      <c r="AC850" s="9"/>
      <c r="AD850" s="27"/>
      <c r="AE850" s="9"/>
      <c r="AF850" s="9"/>
      <c r="AG850" s="27"/>
      <c r="AH850" s="27"/>
      <c r="AI850" s="27"/>
      <c r="AJ850" s="42"/>
      <c r="AK850" s="27"/>
      <c r="AL850" s="27"/>
      <c r="AM850" s="27"/>
      <c r="AN850" s="21"/>
      <c r="AO850" s="21"/>
      <c r="AP850" s="21"/>
      <c r="AQ850" s="21"/>
    </row>
    <row r="851" spans="1:43" ht="15.75" customHeight="1">
      <c r="A851" s="27"/>
      <c r="B851" s="9"/>
      <c r="C851" s="27"/>
      <c r="D851" s="9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42"/>
      <c r="Y851" s="42"/>
      <c r="Z851" s="27"/>
      <c r="AA851" s="27"/>
      <c r="AB851" s="27"/>
      <c r="AC851" s="9"/>
      <c r="AD851" s="27"/>
      <c r="AE851" s="9"/>
      <c r="AF851" s="9"/>
      <c r="AG851" s="27"/>
      <c r="AH851" s="27"/>
      <c r="AI851" s="27"/>
      <c r="AJ851" s="42"/>
      <c r="AK851" s="27"/>
      <c r="AL851" s="27"/>
      <c r="AM851" s="27"/>
      <c r="AN851" s="21"/>
      <c r="AO851" s="21"/>
      <c r="AP851" s="21"/>
      <c r="AQ851" s="21"/>
    </row>
    <row r="852" spans="1:43" ht="15.75" customHeight="1">
      <c r="A852" s="27"/>
      <c r="B852" s="9"/>
      <c r="C852" s="27"/>
      <c r="D852" s="9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42"/>
      <c r="Y852" s="42"/>
      <c r="Z852" s="27"/>
      <c r="AA852" s="27"/>
      <c r="AB852" s="27"/>
      <c r="AC852" s="9"/>
      <c r="AD852" s="27"/>
      <c r="AE852" s="9"/>
      <c r="AF852" s="9"/>
      <c r="AG852" s="27"/>
      <c r="AH852" s="27"/>
      <c r="AI852" s="27"/>
      <c r="AJ852" s="42"/>
      <c r="AK852" s="27"/>
      <c r="AL852" s="27"/>
      <c r="AM852" s="27"/>
      <c r="AN852" s="21"/>
      <c r="AO852" s="21"/>
      <c r="AP852" s="21"/>
      <c r="AQ852" s="21"/>
    </row>
    <row r="853" spans="1:43" ht="15.75" customHeight="1">
      <c r="A853" s="27"/>
      <c r="B853" s="9"/>
      <c r="C853" s="27"/>
      <c r="D853" s="9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42"/>
      <c r="Y853" s="42"/>
      <c r="Z853" s="27"/>
      <c r="AA853" s="27"/>
      <c r="AB853" s="27"/>
      <c r="AC853" s="9"/>
      <c r="AD853" s="27"/>
      <c r="AE853" s="9"/>
      <c r="AF853" s="9"/>
      <c r="AG853" s="27"/>
      <c r="AH853" s="27"/>
      <c r="AI853" s="27"/>
      <c r="AJ853" s="42"/>
      <c r="AK853" s="27"/>
      <c r="AL853" s="27"/>
      <c r="AM853" s="27"/>
      <c r="AN853" s="21"/>
      <c r="AO853" s="21"/>
      <c r="AP853" s="21"/>
      <c r="AQ853" s="21"/>
    </row>
    <row r="854" spans="1:43" ht="15.75" customHeight="1">
      <c r="A854" s="27"/>
      <c r="B854" s="9"/>
      <c r="C854" s="27"/>
      <c r="D854" s="9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42"/>
      <c r="Y854" s="42"/>
      <c r="Z854" s="27"/>
      <c r="AA854" s="27"/>
      <c r="AB854" s="27"/>
      <c r="AC854" s="9"/>
      <c r="AD854" s="27"/>
      <c r="AE854" s="9"/>
      <c r="AF854" s="9"/>
      <c r="AG854" s="27"/>
      <c r="AH854" s="27"/>
      <c r="AI854" s="27"/>
      <c r="AJ854" s="42"/>
      <c r="AK854" s="27"/>
      <c r="AL854" s="27"/>
      <c r="AM854" s="27"/>
      <c r="AN854" s="21"/>
      <c r="AO854" s="21"/>
      <c r="AP854" s="21"/>
      <c r="AQ854" s="21"/>
    </row>
    <row r="855" spans="1:43" ht="15.75" customHeight="1">
      <c r="A855" s="27"/>
      <c r="B855" s="9"/>
      <c r="C855" s="27"/>
      <c r="D855" s="9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42"/>
      <c r="Y855" s="42"/>
      <c r="Z855" s="27"/>
      <c r="AA855" s="27"/>
      <c r="AB855" s="27"/>
      <c r="AC855" s="9"/>
      <c r="AD855" s="27"/>
      <c r="AE855" s="9"/>
      <c r="AF855" s="9"/>
      <c r="AG855" s="27"/>
      <c r="AH855" s="27"/>
      <c r="AI855" s="27"/>
      <c r="AJ855" s="42"/>
      <c r="AK855" s="27"/>
      <c r="AL855" s="27"/>
      <c r="AM855" s="27"/>
      <c r="AN855" s="21"/>
      <c r="AO855" s="21"/>
      <c r="AP855" s="21"/>
      <c r="AQ855" s="21"/>
    </row>
    <row r="856" spans="1:43" ht="15.75" customHeight="1">
      <c r="A856" s="27"/>
      <c r="B856" s="9"/>
      <c r="C856" s="27"/>
      <c r="D856" s="9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42"/>
      <c r="Y856" s="42"/>
      <c r="Z856" s="27"/>
      <c r="AA856" s="27"/>
      <c r="AB856" s="27"/>
      <c r="AC856" s="9"/>
      <c r="AD856" s="27"/>
      <c r="AE856" s="9"/>
      <c r="AF856" s="9"/>
      <c r="AG856" s="27"/>
      <c r="AH856" s="27"/>
      <c r="AI856" s="27"/>
      <c r="AJ856" s="42"/>
      <c r="AK856" s="27"/>
      <c r="AL856" s="27"/>
      <c r="AM856" s="27"/>
      <c r="AN856" s="21"/>
      <c r="AO856" s="21"/>
      <c r="AP856" s="21"/>
      <c r="AQ856" s="21"/>
    </row>
    <row r="857" spans="1:43" ht="15.75" customHeight="1">
      <c r="A857" s="27"/>
      <c r="B857" s="9"/>
      <c r="C857" s="27"/>
      <c r="D857" s="9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42"/>
      <c r="Y857" s="42"/>
      <c r="Z857" s="27"/>
      <c r="AA857" s="27"/>
      <c r="AB857" s="27"/>
      <c r="AC857" s="9"/>
      <c r="AD857" s="27"/>
      <c r="AE857" s="9"/>
      <c r="AF857" s="9"/>
      <c r="AG857" s="27"/>
      <c r="AH857" s="27"/>
      <c r="AI857" s="27"/>
      <c r="AJ857" s="42"/>
      <c r="AK857" s="27"/>
      <c r="AL857" s="27"/>
      <c r="AM857" s="27"/>
      <c r="AN857" s="21"/>
      <c r="AO857" s="21"/>
      <c r="AP857" s="21"/>
      <c r="AQ857" s="21"/>
    </row>
    <row r="858" spans="1:43" ht="15.75" customHeight="1">
      <c r="A858" s="27"/>
      <c r="B858" s="9"/>
      <c r="C858" s="27"/>
      <c r="D858" s="9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42"/>
      <c r="Y858" s="42"/>
      <c r="Z858" s="27"/>
      <c r="AA858" s="27"/>
      <c r="AB858" s="27"/>
      <c r="AC858" s="9"/>
      <c r="AD858" s="27"/>
      <c r="AE858" s="9"/>
      <c r="AF858" s="9"/>
      <c r="AG858" s="27"/>
      <c r="AH858" s="27"/>
      <c r="AI858" s="27"/>
      <c r="AJ858" s="42"/>
      <c r="AK858" s="27"/>
      <c r="AL858" s="27"/>
      <c r="AM858" s="27"/>
      <c r="AN858" s="21"/>
      <c r="AO858" s="21"/>
      <c r="AP858" s="21"/>
      <c r="AQ858" s="21"/>
    </row>
    <row r="859" spans="1:43" ht="15.75" customHeight="1">
      <c r="A859" s="27"/>
      <c r="B859" s="9"/>
      <c r="C859" s="27"/>
      <c r="D859" s="9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42"/>
      <c r="Y859" s="42"/>
      <c r="Z859" s="27"/>
      <c r="AA859" s="27"/>
      <c r="AB859" s="27"/>
      <c r="AC859" s="9"/>
      <c r="AD859" s="27"/>
      <c r="AE859" s="9"/>
      <c r="AF859" s="9"/>
      <c r="AG859" s="27"/>
      <c r="AH859" s="27"/>
      <c r="AI859" s="27"/>
      <c r="AJ859" s="42"/>
      <c r="AK859" s="27"/>
      <c r="AL859" s="27"/>
      <c r="AM859" s="27"/>
      <c r="AN859" s="21"/>
      <c r="AO859" s="21"/>
      <c r="AP859" s="21"/>
      <c r="AQ859" s="21"/>
    </row>
    <row r="860" spans="1:43" ht="15.75" customHeight="1">
      <c r="A860" s="27"/>
      <c r="B860" s="9"/>
      <c r="C860" s="27"/>
      <c r="D860" s="9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42"/>
      <c r="Y860" s="42"/>
      <c r="Z860" s="27"/>
      <c r="AA860" s="27"/>
      <c r="AB860" s="27"/>
      <c r="AC860" s="9"/>
      <c r="AD860" s="27"/>
      <c r="AE860" s="9"/>
      <c r="AF860" s="9"/>
      <c r="AG860" s="27"/>
      <c r="AH860" s="27"/>
      <c r="AI860" s="27"/>
      <c r="AJ860" s="42"/>
      <c r="AK860" s="27"/>
      <c r="AL860" s="27"/>
      <c r="AM860" s="27"/>
      <c r="AN860" s="21"/>
      <c r="AO860" s="21"/>
      <c r="AP860" s="21"/>
      <c r="AQ860" s="21"/>
    </row>
    <row r="861" spans="1:43" ht="15.75" customHeight="1">
      <c r="A861" s="27"/>
      <c r="B861" s="9"/>
      <c r="C861" s="27"/>
      <c r="D861" s="9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42"/>
      <c r="Y861" s="42"/>
      <c r="Z861" s="27"/>
      <c r="AA861" s="27"/>
      <c r="AB861" s="27"/>
      <c r="AC861" s="9"/>
      <c r="AD861" s="27"/>
      <c r="AE861" s="9"/>
      <c r="AF861" s="9"/>
      <c r="AG861" s="27"/>
      <c r="AH861" s="27"/>
      <c r="AI861" s="27"/>
      <c r="AJ861" s="42"/>
      <c r="AK861" s="27"/>
      <c r="AL861" s="27"/>
      <c r="AM861" s="27"/>
      <c r="AN861" s="21"/>
      <c r="AO861" s="21"/>
      <c r="AP861" s="21"/>
      <c r="AQ861" s="21"/>
    </row>
    <row r="862" spans="1:43" ht="15.75" customHeight="1">
      <c r="A862" s="27"/>
      <c r="B862" s="9"/>
      <c r="C862" s="27"/>
      <c r="D862" s="9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42"/>
      <c r="Y862" s="42"/>
      <c r="Z862" s="27"/>
      <c r="AA862" s="27"/>
      <c r="AB862" s="27"/>
      <c r="AC862" s="9"/>
      <c r="AD862" s="27"/>
      <c r="AE862" s="9"/>
      <c r="AF862" s="9"/>
      <c r="AG862" s="27"/>
      <c r="AH862" s="27"/>
      <c r="AI862" s="27"/>
      <c r="AJ862" s="42"/>
      <c r="AK862" s="27"/>
      <c r="AL862" s="27"/>
      <c r="AM862" s="27"/>
      <c r="AN862" s="21"/>
      <c r="AO862" s="21"/>
      <c r="AP862" s="21"/>
      <c r="AQ862" s="21"/>
    </row>
    <row r="863" spans="1:43" ht="15.75" customHeight="1">
      <c r="A863" s="27"/>
      <c r="B863" s="9"/>
      <c r="C863" s="27"/>
      <c r="D863" s="9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42"/>
      <c r="Y863" s="42"/>
      <c r="Z863" s="27"/>
      <c r="AA863" s="27"/>
      <c r="AB863" s="27"/>
      <c r="AC863" s="9"/>
      <c r="AD863" s="27"/>
      <c r="AE863" s="9"/>
      <c r="AF863" s="9"/>
      <c r="AG863" s="27"/>
      <c r="AH863" s="27"/>
      <c r="AI863" s="27"/>
      <c r="AJ863" s="42"/>
      <c r="AK863" s="27"/>
      <c r="AL863" s="27"/>
      <c r="AM863" s="27"/>
      <c r="AN863" s="21"/>
      <c r="AO863" s="21"/>
      <c r="AP863" s="21"/>
      <c r="AQ863" s="21"/>
    </row>
    <row r="864" spans="1:43" ht="15.75" customHeight="1">
      <c r="A864" s="27"/>
      <c r="B864" s="9"/>
      <c r="C864" s="27"/>
      <c r="D864" s="9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42"/>
      <c r="Y864" s="42"/>
      <c r="Z864" s="27"/>
      <c r="AA864" s="27"/>
      <c r="AB864" s="27"/>
      <c r="AC864" s="9"/>
      <c r="AD864" s="27"/>
      <c r="AE864" s="9"/>
      <c r="AF864" s="9"/>
      <c r="AG864" s="27"/>
      <c r="AH864" s="27"/>
      <c r="AI864" s="27"/>
      <c r="AJ864" s="42"/>
      <c r="AK864" s="27"/>
      <c r="AL864" s="27"/>
      <c r="AM864" s="27"/>
      <c r="AN864" s="21"/>
      <c r="AO864" s="21"/>
      <c r="AP864" s="21"/>
      <c r="AQ864" s="21"/>
    </row>
    <row r="865" spans="1:43" ht="15.75" customHeight="1">
      <c r="A865" s="27"/>
      <c r="B865" s="9"/>
      <c r="C865" s="27"/>
      <c r="D865" s="9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42"/>
      <c r="Y865" s="42"/>
      <c r="Z865" s="27"/>
      <c r="AA865" s="27"/>
      <c r="AB865" s="27"/>
      <c r="AC865" s="9"/>
      <c r="AD865" s="27"/>
      <c r="AE865" s="9"/>
      <c r="AF865" s="9"/>
      <c r="AG865" s="27"/>
      <c r="AH865" s="27"/>
      <c r="AI865" s="27"/>
      <c r="AJ865" s="42"/>
      <c r="AK865" s="27"/>
      <c r="AL865" s="27"/>
      <c r="AM865" s="27"/>
      <c r="AN865" s="21"/>
      <c r="AO865" s="21"/>
      <c r="AP865" s="21"/>
      <c r="AQ865" s="21"/>
    </row>
    <row r="866" spans="1:43" ht="15.75" customHeight="1">
      <c r="A866" s="27"/>
      <c r="B866" s="9"/>
      <c r="C866" s="27"/>
      <c r="D866" s="9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42"/>
      <c r="Y866" s="42"/>
      <c r="Z866" s="27"/>
      <c r="AA866" s="27"/>
      <c r="AB866" s="27"/>
      <c r="AC866" s="9"/>
      <c r="AD866" s="27"/>
      <c r="AE866" s="9"/>
      <c r="AF866" s="9"/>
      <c r="AG866" s="27"/>
      <c r="AH866" s="27"/>
      <c r="AI866" s="27"/>
      <c r="AJ866" s="42"/>
      <c r="AK866" s="27"/>
      <c r="AL866" s="27"/>
      <c r="AM866" s="27"/>
      <c r="AN866" s="21"/>
      <c r="AO866" s="21"/>
      <c r="AP866" s="21"/>
      <c r="AQ866" s="21"/>
    </row>
    <row r="867" spans="1:43" ht="15.75" customHeight="1">
      <c r="A867" s="27"/>
      <c r="B867" s="9"/>
      <c r="C867" s="27"/>
      <c r="D867" s="9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42"/>
      <c r="Y867" s="42"/>
      <c r="Z867" s="27"/>
      <c r="AA867" s="27"/>
      <c r="AB867" s="27"/>
      <c r="AC867" s="9"/>
      <c r="AD867" s="27"/>
      <c r="AE867" s="9"/>
      <c r="AF867" s="9"/>
      <c r="AG867" s="27"/>
      <c r="AH867" s="27"/>
      <c r="AI867" s="27"/>
      <c r="AJ867" s="42"/>
      <c r="AK867" s="27"/>
      <c r="AL867" s="27"/>
      <c r="AM867" s="27"/>
      <c r="AN867" s="21"/>
      <c r="AO867" s="21"/>
      <c r="AP867" s="21"/>
      <c r="AQ867" s="21"/>
    </row>
    <row r="868" spans="1:43" ht="15.75" customHeight="1">
      <c r="A868" s="27"/>
      <c r="B868" s="9"/>
      <c r="C868" s="27"/>
      <c r="D868" s="9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42"/>
      <c r="Y868" s="42"/>
      <c r="Z868" s="27"/>
      <c r="AA868" s="27"/>
      <c r="AB868" s="27"/>
      <c r="AC868" s="9"/>
      <c r="AD868" s="27"/>
      <c r="AE868" s="9"/>
      <c r="AF868" s="9"/>
      <c r="AG868" s="27"/>
      <c r="AH868" s="27"/>
      <c r="AI868" s="27"/>
      <c r="AJ868" s="42"/>
      <c r="AK868" s="27"/>
      <c r="AL868" s="27"/>
      <c r="AM868" s="27"/>
      <c r="AN868" s="21"/>
      <c r="AO868" s="21"/>
      <c r="AP868" s="21"/>
      <c r="AQ868" s="21"/>
    </row>
    <row r="869" spans="1:43" ht="15.75" customHeight="1">
      <c r="A869" s="27"/>
      <c r="B869" s="9"/>
      <c r="C869" s="27"/>
      <c r="D869" s="9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42"/>
      <c r="Y869" s="42"/>
      <c r="Z869" s="27"/>
      <c r="AA869" s="27"/>
      <c r="AB869" s="27"/>
      <c r="AC869" s="9"/>
      <c r="AD869" s="27"/>
      <c r="AE869" s="9"/>
      <c r="AF869" s="9"/>
      <c r="AG869" s="27"/>
      <c r="AH869" s="27"/>
      <c r="AI869" s="27"/>
      <c r="AJ869" s="42"/>
      <c r="AK869" s="27"/>
      <c r="AL869" s="27"/>
      <c r="AM869" s="27"/>
      <c r="AN869" s="21"/>
      <c r="AO869" s="21"/>
      <c r="AP869" s="21"/>
      <c r="AQ869" s="21"/>
    </row>
    <row r="870" spans="1:43" ht="15.75" customHeight="1">
      <c r="A870" s="27"/>
      <c r="B870" s="9"/>
      <c r="C870" s="27"/>
      <c r="D870" s="9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42"/>
      <c r="Y870" s="42"/>
      <c r="Z870" s="27"/>
      <c r="AA870" s="27"/>
      <c r="AB870" s="27"/>
      <c r="AC870" s="9"/>
      <c r="AD870" s="27"/>
      <c r="AE870" s="9"/>
      <c r="AF870" s="9"/>
      <c r="AG870" s="27"/>
      <c r="AH870" s="27"/>
      <c r="AI870" s="27"/>
      <c r="AJ870" s="42"/>
      <c r="AK870" s="27"/>
      <c r="AL870" s="27"/>
      <c r="AM870" s="27"/>
      <c r="AN870" s="27"/>
      <c r="AO870" s="27"/>
      <c r="AP870" s="27"/>
      <c r="AQ870" s="27"/>
    </row>
    <row r="871" spans="1:43" ht="15.75" customHeight="1">
      <c r="A871" s="27"/>
      <c r="B871" s="9"/>
      <c r="C871" s="27"/>
      <c r="D871" s="9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42"/>
      <c r="Y871" s="42"/>
      <c r="Z871" s="27"/>
      <c r="AA871" s="27"/>
      <c r="AB871" s="27"/>
      <c r="AC871" s="9"/>
      <c r="AD871" s="27"/>
      <c r="AE871" s="9"/>
      <c r="AF871" s="9"/>
      <c r="AG871" s="27"/>
      <c r="AH871" s="27"/>
      <c r="AI871" s="27"/>
      <c r="AJ871" s="42"/>
      <c r="AK871" s="27"/>
      <c r="AL871" s="27"/>
      <c r="AM871" s="27"/>
      <c r="AN871" s="27"/>
      <c r="AO871" s="27"/>
      <c r="AP871" s="27"/>
      <c r="AQ871" s="27"/>
    </row>
    <row r="872" spans="1:43" ht="15.75" customHeight="1">
      <c r="A872" s="27"/>
      <c r="B872" s="9"/>
      <c r="C872" s="27"/>
      <c r="D872" s="9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42"/>
      <c r="Y872" s="42"/>
      <c r="Z872" s="27"/>
      <c r="AA872" s="27"/>
      <c r="AB872" s="27"/>
      <c r="AC872" s="9"/>
      <c r="AD872" s="27"/>
      <c r="AE872" s="9"/>
      <c r="AF872" s="9"/>
      <c r="AG872" s="27"/>
      <c r="AH872" s="27"/>
      <c r="AI872" s="27"/>
      <c r="AJ872" s="42"/>
      <c r="AK872" s="27"/>
      <c r="AL872" s="27"/>
      <c r="AM872" s="27"/>
      <c r="AN872" s="27"/>
      <c r="AO872" s="27"/>
      <c r="AP872" s="27"/>
      <c r="AQ872" s="27"/>
    </row>
    <row r="873" spans="1:43" ht="15.75" customHeight="1">
      <c r="A873" s="27"/>
      <c r="B873" s="9"/>
      <c r="C873" s="27"/>
      <c r="D873" s="9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42"/>
      <c r="Y873" s="42"/>
      <c r="Z873" s="27"/>
      <c r="AA873" s="27"/>
      <c r="AB873" s="27"/>
      <c r="AC873" s="9"/>
      <c r="AD873" s="27"/>
      <c r="AE873" s="9"/>
      <c r="AF873" s="9"/>
      <c r="AG873" s="27"/>
      <c r="AH873" s="27"/>
      <c r="AI873" s="27"/>
      <c r="AJ873" s="42"/>
      <c r="AK873" s="27"/>
      <c r="AL873" s="27"/>
      <c r="AM873" s="27"/>
      <c r="AN873" s="27"/>
      <c r="AO873" s="27"/>
      <c r="AP873" s="27"/>
      <c r="AQ873" s="27"/>
    </row>
    <row r="874" spans="1:43" ht="15.75" customHeight="1">
      <c r="A874" s="27"/>
      <c r="B874" s="9"/>
      <c r="C874" s="27"/>
      <c r="D874" s="9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42"/>
      <c r="Y874" s="42"/>
      <c r="Z874" s="27"/>
      <c r="AA874" s="27"/>
      <c r="AB874" s="27"/>
      <c r="AC874" s="9"/>
      <c r="AD874" s="27"/>
      <c r="AE874" s="9"/>
      <c r="AF874" s="9"/>
      <c r="AG874" s="27"/>
      <c r="AH874" s="27"/>
      <c r="AI874" s="27"/>
      <c r="AJ874" s="42"/>
      <c r="AK874" s="27"/>
      <c r="AL874" s="27"/>
      <c r="AM874" s="27"/>
      <c r="AN874" s="27"/>
      <c r="AO874" s="27"/>
      <c r="AP874" s="27"/>
      <c r="AQ874" s="27"/>
    </row>
    <row r="875" spans="1:43" ht="15.75" customHeight="1">
      <c r="A875" s="27"/>
      <c r="B875" s="9"/>
      <c r="C875" s="27"/>
      <c r="D875" s="9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42"/>
      <c r="Y875" s="42"/>
      <c r="Z875" s="27"/>
      <c r="AA875" s="27"/>
      <c r="AB875" s="27"/>
      <c r="AC875" s="9"/>
      <c r="AD875" s="27"/>
      <c r="AE875" s="9"/>
      <c r="AF875" s="9"/>
      <c r="AG875" s="27"/>
      <c r="AH875" s="27"/>
      <c r="AI875" s="27"/>
      <c r="AJ875" s="42"/>
      <c r="AK875" s="27"/>
      <c r="AL875" s="27"/>
      <c r="AM875" s="27"/>
      <c r="AN875" s="27"/>
      <c r="AO875" s="27"/>
      <c r="AP875" s="27"/>
      <c r="AQ875" s="27"/>
    </row>
    <row r="876" spans="1:43" ht="15.75" customHeight="1">
      <c r="A876" s="27"/>
      <c r="B876" s="9"/>
      <c r="C876" s="27"/>
      <c r="D876" s="9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42"/>
      <c r="Y876" s="42"/>
      <c r="Z876" s="27"/>
      <c r="AA876" s="27"/>
      <c r="AB876" s="27"/>
      <c r="AC876" s="9"/>
      <c r="AD876" s="27"/>
      <c r="AE876" s="9"/>
      <c r="AF876" s="9"/>
      <c r="AG876" s="27"/>
      <c r="AH876" s="27"/>
      <c r="AI876" s="27"/>
      <c r="AJ876" s="42"/>
      <c r="AK876" s="27"/>
      <c r="AL876" s="27"/>
      <c r="AM876" s="27"/>
      <c r="AN876" s="27"/>
      <c r="AO876" s="27"/>
      <c r="AP876" s="27"/>
      <c r="AQ876" s="27"/>
    </row>
    <row r="877" spans="1:43" ht="15.75" customHeight="1">
      <c r="A877" s="27"/>
      <c r="B877" s="9"/>
      <c r="C877" s="27"/>
      <c r="D877" s="9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42"/>
      <c r="Y877" s="42"/>
      <c r="Z877" s="27"/>
      <c r="AA877" s="27"/>
      <c r="AB877" s="27"/>
      <c r="AC877" s="9"/>
      <c r="AD877" s="27"/>
      <c r="AE877" s="9"/>
      <c r="AF877" s="9"/>
      <c r="AG877" s="27"/>
      <c r="AH877" s="27"/>
      <c r="AI877" s="27"/>
      <c r="AJ877" s="42"/>
      <c r="AK877" s="27"/>
      <c r="AL877" s="27"/>
      <c r="AM877" s="27"/>
      <c r="AN877" s="27"/>
      <c r="AO877" s="27"/>
      <c r="AP877" s="27"/>
      <c r="AQ877" s="27"/>
    </row>
    <row r="878" spans="1:43" ht="15.75" customHeight="1">
      <c r="A878" s="27"/>
      <c r="B878" s="9"/>
      <c r="C878" s="27"/>
      <c r="D878" s="9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42"/>
      <c r="Y878" s="42"/>
      <c r="Z878" s="27"/>
      <c r="AA878" s="27"/>
      <c r="AB878" s="27"/>
      <c r="AC878" s="9"/>
      <c r="AD878" s="27"/>
      <c r="AE878" s="9"/>
      <c r="AF878" s="9"/>
      <c r="AG878" s="27"/>
      <c r="AH878" s="27"/>
      <c r="AI878" s="27"/>
      <c r="AJ878" s="42"/>
      <c r="AK878" s="27"/>
      <c r="AL878" s="27"/>
      <c r="AM878" s="27"/>
      <c r="AN878" s="27"/>
      <c r="AO878" s="27"/>
      <c r="AP878" s="27"/>
      <c r="AQ878" s="27"/>
    </row>
    <row r="879" spans="1:43" ht="15.75" customHeight="1">
      <c r="A879" s="27"/>
      <c r="B879" s="9"/>
      <c r="C879" s="27"/>
      <c r="D879" s="9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42"/>
      <c r="Y879" s="42"/>
      <c r="Z879" s="27"/>
      <c r="AA879" s="27"/>
      <c r="AB879" s="27"/>
      <c r="AC879" s="9"/>
      <c r="AD879" s="27"/>
      <c r="AE879" s="9"/>
      <c r="AF879" s="9"/>
      <c r="AG879" s="27"/>
      <c r="AH879" s="27"/>
      <c r="AI879" s="27"/>
      <c r="AJ879" s="42"/>
      <c r="AK879" s="27"/>
      <c r="AL879" s="27"/>
      <c r="AM879" s="27"/>
      <c r="AN879" s="27"/>
      <c r="AO879" s="27"/>
      <c r="AP879" s="27"/>
      <c r="AQ879" s="27"/>
    </row>
    <row r="880" spans="1:43" ht="15.75" customHeight="1">
      <c r="A880" s="27"/>
      <c r="B880" s="9"/>
      <c r="C880" s="27"/>
      <c r="D880" s="9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42"/>
      <c r="Y880" s="42"/>
      <c r="Z880" s="27"/>
      <c r="AA880" s="27"/>
      <c r="AB880" s="27"/>
      <c r="AC880" s="9"/>
      <c r="AD880" s="27"/>
      <c r="AE880" s="9"/>
      <c r="AF880" s="9"/>
      <c r="AG880" s="27"/>
      <c r="AH880" s="27"/>
      <c r="AI880" s="27"/>
      <c r="AJ880" s="42"/>
      <c r="AK880" s="27"/>
      <c r="AL880" s="27"/>
      <c r="AM880" s="27"/>
      <c r="AN880" s="27"/>
      <c r="AO880" s="27"/>
      <c r="AP880" s="27"/>
      <c r="AQ880" s="27"/>
    </row>
    <row r="881" spans="1:43" ht="15.75" customHeight="1">
      <c r="A881" s="27"/>
      <c r="B881" s="9"/>
      <c r="C881" s="27"/>
      <c r="D881" s="9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42"/>
      <c r="Y881" s="42"/>
      <c r="Z881" s="27"/>
      <c r="AA881" s="27"/>
      <c r="AB881" s="27"/>
      <c r="AC881" s="9"/>
      <c r="AD881" s="27"/>
      <c r="AE881" s="9"/>
      <c r="AF881" s="9"/>
      <c r="AG881" s="27"/>
      <c r="AH881" s="27"/>
      <c r="AI881" s="27"/>
      <c r="AJ881" s="42"/>
      <c r="AK881" s="27"/>
      <c r="AL881" s="27"/>
      <c r="AM881" s="27"/>
      <c r="AN881" s="27"/>
      <c r="AO881" s="27"/>
      <c r="AP881" s="27"/>
      <c r="AQ881" s="27"/>
    </row>
    <row r="882" spans="1:43" ht="15.75" customHeight="1">
      <c r="A882" s="27"/>
      <c r="B882" s="9"/>
      <c r="C882" s="27"/>
      <c r="D882" s="9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42"/>
      <c r="Y882" s="42"/>
      <c r="Z882" s="27"/>
      <c r="AA882" s="27"/>
      <c r="AB882" s="27"/>
      <c r="AC882" s="9"/>
      <c r="AD882" s="27"/>
      <c r="AE882" s="9"/>
      <c r="AF882" s="9"/>
      <c r="AG882" s="27"/>
      <c r="AH882" s="27"/>
      <c r="AI882" s="27"/>
      <c r="AJ882" s="42"/>
      <c r="AK882" s="27"/>
      <c r="AL882" s="27"/>
      <c r="AM882" s="27"/>
      <c r="AN882" s="27"/>
      <c r="AO882" s="27"/>
      <c r="AP882" s="27"/>
      <c r="AQ882" s="27"/>
    </row>
    <row r="883" spans="1:43" ht="15.75" customHeight="1">
      <c r="A883" s="27"/>
      <c r="B883" s="9"/>
      <c r="C883" s="27"/>
      <c r="D883" s="9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42"/>
      <c r="Y883" s="42"/>
      <c r="Z883" s="27"/>
      <c r="AA883" s="27"/>
      <c r="AB883" s="27"/>
      <c r="AC883" s="9"/>
      <c r="AD883" s="27"/>
      <c r="AE883" s="9"/>
      <c r="AF883" s="9"/>
      <c r="AG883" s="27"/>
      <c r="AH883" s="27"/>
      <c r="AI883" s="27"/>
      <c r="AJ883" s="42"/>
      <c r="AK883" s="27"/>
      <c r="AL883" s="27"/>
      <c r="AM883" s="27"/>
      <c r="AN883" s="27"/>
      <c r="AO883" s="27"/>
      <c r="AP883" s="27"/>
      <c r="AQ883" s="27"/>
    </row>
    <row r="884" spans="1:43" ht="15.75" customHeight="1">
      <c r="A884" s="27"/>
      <c r="B884" s="9"/>
      <c r="C884" s="27"/>
      <c r="D884" s="9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42"/>
      <c r="Y884" s="42"/>
      <c r="Z884" s="27"/>
      <c r="AA884" s="27"/>
      <c r="AB884" s="27"/>
      <c r="AC884" s="9"/>
      <c r="AD884" s="27"/>
      <c r="AE884" s="9"/>
      <c r="AF884" s="9"/>
      <c r="AG884" s="27"/>
      <c r="AH884" s="27"/>
      <c r="AI884" s="27"/>
      <c r="AJ884" s="42"/>
      <c r="AK884" s="27"/>
      <c r="AL884" s="27"/>
      <c r="AM884" s="27"/>
      <c r="AN884" s="27"/>
      <c r="AO884" s="27"/>
      <c r="AP884" s="27"/>
      <c r="AQ884" s="27"/>
    </row>
    <row r="885" spans="1:43" ht="15.75" customHeight="1">
      <c r="A885" s="27"/>
      <c r="B885" s="9"/>
      <c r="C885" s="27"/>
      <c r="D885" s="9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42"/>
      <c r="Y885" s="42"/>
      <c r="Z885" s="27"/>
      <c r="AA885" s="27"/>
      <c r="AB885" s="27"/>
      <c r="AC885" s="9"/>
      <c r="AD885" s="27"/>
      <c r="AE885" s="9"/>
      <c r="AF885" s="9"/>
      <c r="AG885" s="27"/>
      <c r="AH885" s="27"/>
      <c r="AI885" s="27"/>
      <c r="AJ885" s="42"/>
      <c r="AK885" s="27"/>
      <c r="AL885" s="27"/>
      <c r="AM885" s="27"/>
      <c r="AN885" s="27"/>
      <c r="AO885" s="27"/>
      <c r="AP885" s="27"/>
      <c r="AQ885" s="27"/>
    </row>
    <row r="886" spans="1:43" ht="15.75" customHeight="1">
      <c r="A886" s="27"/>
      <c r="B886" s="9"/>
      <c r="C886" s="27"/>
      <c r="D886" s="9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42"/>
      <c r="Y886" s="42"/>
      <c r="Z886" s="27"/>
      <c r="AA886" s="27"/>
      <c r="AB886" s="27"/>
      <c r="AC886" s="9"/>
      <c r="AD886" s="27"/>
      <c r="AE886" s="9"/>
      <c r="AF886" s="9"/>
      <c r="AG886" s="27"/>
      <c r="AH886" s="27"/>
      <c r="AI886" s="27"/>
      <c r="AJ886" s="42"/>
      <c r="AK886" s="27"/>
      <c r="AL886" s="27"/>
      <c r="AM886" s="27"/>
      <c r="AN886" s="27"/>
      <c r="AO886" s="27"/>
      <c r="AP886" s="27"/>
      <c r="AQ886" s="27"/>
    </row>
    <row r="887" spans="1:43" ht="15.75" customHeight="1">
      <c r="A887" s="27"/>
      <c r="B887" s="9"/>
      <c r="C887" s="27"/>
      <c r="D887" s="9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42"/>
      <c r="Y887" s="42"/>
      <c r="Z887" s="27"/>
      <c r="AA887" s="27"/>
      <c r="AB887" s="27"/>
      <c r="AC887" s="9"/>
      <c r="AD887" s="27"/>
      <c r="AE887" s="9"/>
      <c r="AF887" s="9"/>
      <c r="AG887" s="27"/>
      <c r="AH887" s="27"/>
      <c r="AI887" s="27"/>
      <c r="AJ887" s="42"/>
      <c r="AK887" s="27"/>
      <c r="AL887" s="27"/>
      <c r="AM887" s="27"/>
      <c r="AN887" s="27"/>
      <c r="AO887" s="27"/>
      <c r="AP887" s="27"/>
      <c r="AQ887" s="27"/>
    </row>
    <row r="888" spans="1:43" ht="15.75" customHeight="1">
      <c r="A888" s="27"/>
      <c r="B888" s="9"/>
      <c r="C888" s="27"/>
      <c r="D888" s="9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42"/>
      <c r="Y888" s="42"/>
      <c r="Z888" s="27"/>
      <c r="AA888" s="27"/>
      <c r="AB888" s="27"/>
      <c r="AC888" s="9"/>
      <c r="AD888" s="27"/>
      <c r="AE888" s="9"/>
      <c r="AF888" s="9"/>
      <c r="AG888" s="27"/>
      <c r="AH888" s="27"/>
      <c r="AI888" s="27"/>
      <c r="AJ888" s="42"/>
      <c r="AK888" s="27"/>
      <c r="AL888" s="27"/>
      <c r="AM888" s="27"/>
      <c r="AN888" s="27"/>
      <c r="AO888" s="27"/>
      <c r="AP888" s="27"/>
      <c r="AQ888" s="27"/>
    </row>
    <row r="889" spans="1:43" ht="15.75" customHeight="1">
      <c r="A889" s="27"/>
      <c r="B889" s="9"/>
      <c r="C889" s="27"/>
      <c r="D889" s="9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42"/>
      <c r="Y889" s="42"/>
      <c r="Z889" s="27"/>
      <c r="AA889" s="27"/>
      <c r="AB889" s="27"/>
      <c r="AC889" s="9"/>
      <c r="AD889" s="27"/>
      <c r="AE889" s="9"/>
      <c r="AF889" s="9"/>
      <c r="AG889" s="27"/>
      <c r="AH889" s="27"/>
      <c r="AI889" s="27"/>
      <c r="AJ889" s="42"/>
      <c r="AK889" s="27"/>
      <c r="AL889" s="27"/>
      <c r="AM889" s="27"/>
      <c r="AN889" s="27"/>
      <c r="AO889" s="27"/>
      <c r="AP889" s="27"/>
      <c r="AQ889" s="27"/>
    </row>
    <row r="890" spans="1:43" ht="15.75" customHeight="1">
      <c r="A890" s="27"/>
      <c r="B890" s="9"/>
      <c r="C890" s="27"/>
      <c r="D890" s="9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42"/>
      <c r="Y890" s="42"/>
      <c r="Z890" s="27"/>
      <c r="AA890" s="27"/>
      <c r="AB890" s="27"/>
      <c r="AC890" s="9"/>
      <c r="AD890" s="27"/>
      <c r="AE890" s="9"/>
      <c r="AF890" s="9"/>
      <c r="AG890" s="27"/>
      <c r="AH890" s="27"/>
      <c r="AI890" s="27"/>
      <c r="AJ890" s="42"/>
      <c r="AK890" s="27"/>
      <c r="AL890" s="27"/>
      <c r="AM890" s="27"/>
      <c r="AN890" s="27"/>
      <c r="AO890" s="27"/>
      <c r="AP890" s="27"/>
      <c r="AQ890" s="27"/>
    </row>
    <row r="891" spans="1:43" ht="15.75" customHeight="1">
      <c r="A891" s="27"/>
      <c r="B891" s="9"/>
      <c r="C891" s="27"/>
      <c r="D891" s="9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42"/>
      <c r="Y891" s="42"/>
      <c r="Z891" s="27"/>
      <c r="AA891" s="27"/>
      <c r="AB891" s="27"/>
      <c r="AC891" s="9"/>
      <c r="AD891" s="27"/>
      <c r="AE891" s="9"/>
      <c r="AF891" s="9"/>
      <c r="AG891" s="27"/>
      <c r="AH891" s="27"/>
      <c r="AI891" s="27"/>
      <c r="AJ891" s="42"/>
      <c r="AK891" s="27"/>
      <c r="AL891" s="27"/>
      <c r="AM891" s="27"/>
      <c r="AN891" s="27"/>
      <c r="AO891" s="27"/>
      <c r="AP891" s="27"/>
      <c r="AQ891" s="27"/>
    </row>
    <row r="892" spans="1:43" ht="15.75" customHeight="1">
      <c r="A892" s="27"/>
      <c r="B892" s="9"/>
      <c r="C892" s="27"/>
      <c r="D892" s="9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42"/>
      <c r="Y892" s="42"/>
      <c r="Z892" s="27"/>
      <c r="AA892" s="27"/>
      <c r="AB892" s="27"/>
      <c r="AC892" s="9"/>
      <c r="AD892" s="27"/>
      <c r="AE892" s="9"/>
      <c r="AF892" s="9"/>
      <c r="AG892" s="27"/>
      <c r="AH892" s="27"/>
      <c r="AI892" s="27"/>
      <c r="AJ892" s="42"/>
      <c r="AK892" s="27"/>
      <c r="AL892" s="27"/>
      <c r="AM892" s="27"/>
      <c r="AN892" s="27"/>
      <c r="AO892" s="27"/>
      <c r="AP892" s="27"/>
      <c r="AQ892" s="27"/>
    </row>
    <row r="893" spans="1:43" ht="15.75" customHeight="1">
      <c r="A893" s="27"/>
      <c r="B893" s="9"/>
      <c r="C893" s="27"/>
      <c r="D893" s="9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42"/>
      <c r="Y893" s="42"/>
      <c r="Z893" s="27"/>
      <c r="AA893" s="27"/>
      <c r="AB893" s="27"/>
      <c r="AC893" s="9"/>
      <c r="AD893" s="27"/>
      <c r="AE893" s="9"/>
      <c r="AF893" s="9"/>
      <c r="AG893" s="27"/>
      <c r="AH893" s="27"/>
      <c r="AI893" s="27"/>
      <c r="AJ893" s="42"/>
      <c r="AK893" s="27"/>
      <c r="AL893" s="27"/>
      <c r="AM893" s="27"/>
      <c r="AN893" s="27"/>
      <c r="AO893" s="27"/>
      <c r="AP893" s="27"/>
      <c r="AQ893" s="27"/>
    </row>
    <row r="894" spans="1:43" ht="15.75" customHeight="1">
      <c r="A894" s="27"/>
      <c r="B894" s="9"/>
      <c r="C894" s="27"/>
      <c r="D894" s="9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42"/>
      <c r="Y894" s="42"/>
      <c r="Z894" s="27"/>
      <c r="AA894" s="27"/>
      <c r="AB894" s="27"/>
      <c r="AC894" s="9"/>
      <c r="AD894" s="27"/>
      <c r="AE894" s="9"/>
      <c r="AF894" s="9"/>
      <c r="AG894" s="27"/>
      <c r="AH894" s="27"/>
      <c r="AI894" s="27"/>
      <c r="AJ894" s="42"/>
      <c r="AK894" s="27"/>
      <c r="AL894" s="27"/>
      <c r="AM894" s="27"/>
      <c r="AN894" s="27"/>
      <c r="AO894" s="27"/>
      <c r="AP894" s="27"/>
      <c r="AQ894" s="27"/>
    </row>
    <row r="895" spans="1:43" ht="15.75" customHeight="1">
      <c r="A895" s="27"/>
      <c r="B895" s="9"/>
      <c r="C895" s="27"/>
      <c r="D895" s="9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42"/>
      <c r="Y895" s="42"/>
      <c r="Z895" s="27"/>
      <c r="AA895" s="27"/>
      <c r="AB895" s="27"/>
      <c r="AC895" s="9"/>
      <c r="AD895" s="27"/>
      <c r="AE895" s="9"/>
      <c r="AF895" s="9"/>
      <c r="AG895" s="27"/>
      <c r="AH895" s="27"/>
      <c r="AI895" s="27"/>
      <c r="AJ895" s="42"/>
      <c r="AK895" s="27"/>
      <c r="AL895" s="27"/>
      <c r="AM895" s="27"/>
      <c r="AN895" s="27"/>
      <c r="AO895" s="27"/>
      <c r="AP895" s="27"/>
      <c r="AQ895" s="27"/>
    </row>
    <row r="896" spans="1:43" ht="15.75" customHeight="1">
      <c r="A896" s="27"/>
      <c r="B896" s="9"/>
      <c r="C896" s="27"/>
      <c r="D896" s="9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42"/>
      <c r="Y896" s="42"/>
      <c r="Z896" s="27"/>
      <c r="AA896" s="27"/>
      <c r="AB896" s="27"/>
      <c r="AC896" s="9"/>
      <c r="AD896" s="27"/>
      <c r="AE896" s="9"/>
      <c r="AF896" s="9"/>
      <c r="AG896" s="27"/>
      <c r="AH896" s="27"/>
      <c r="AI896" s="27"/>
      <c r="AJ896" s="42"/>
      <c r="AK896" s="27"/>
      <c r="AL896" s="27"/>
      <c r="AM896" s="27"/>
      <c r="AN896" s="27"/>
      <c r="AO896" s="27"/>
      <c r="AP896" s="27"/>
      <c r="AQ896" s="27"/>
    </row>
    <row r="897" spans="1:43" ht="15.75" customHeight="1">
      <c r="A897" s="27"/>
      <c r="B897" s="9"/>
      <c r="C897" s="27"/>
      <c r="D897" s="9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42"/>
      <c r="Y897" s="42"/>
      <c r="Z897" s="27"/>
      <c r="AA897" s="27"/>
      <c r="AB897" s="27"/>
      <c r="AC897" s="9"/>
      <c r="AD897" s="27"/>
      <c r="AE897" s="9"/>
      <c r="AF897" s="9"/>
      <c r="AG897" s="27"/>
      <c r="AH897" s="27"/>
      <c r="AI897" s="27"/>
      <c r="AJ897" s="42"/>
      <c r="AK897" s="27"/>
      <c r="AL897" s="27"/>
      <c r="AM897" s="27"/>
      <c r="AN897" s="27"/>
      <c r="AO897" s="27"/>
      <c r="AP897" s="27"/>
      <c r="AQ897" s="27"/>
    </row>
    <row r="898" spans="1:43" ht="15.75" customHeight="1">
      <c r="A898" s="27"/>
      <c r="B898" s="9"/>
      <c r="C898" s="27"/>
      <c r="D898" s="9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42"/>
      <c r="Y898" s="42"/>
      <c r="Z898" s="27"/>
      <c r="AA898" s="27"/>
      <c r="AB898" s="27"/>
      <c r="AC898" s="9"/>
      <c r="AD898" s="27"/>
      <c r="AE898" s="9"/>
      <c r="AF898" s="9"/>
      <c r="AG898" s="27"/>
      <c r="AH898" s="27"/>
      <c r="AI898" s="27"/>
      <c r="AJ898" s="42"/>
      <c r="AK898" s="27"/>
      <c r="AL898" s="27"/>
      <c r="AM898" s="27"/>
      <c r="AN898" s="27"/>
      <c r="AO898" s="27"/>
      <c r="AP898" s="27"/>
      <c r="AQ898" s="27"/>
    </row>
    <row r="899" spans="1:43" ht="15.75" customHeight="1">
      <c r="A899" s="27"/>
      <c r="B899" s="9"/>
      <c r="C899" s="27"/>
      <c r="D899" s="9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42"/>
      <c r="Y899" s="42"/>
      <c r="Z899" s="27"/>
      <c r="AA899" s="27"/>
      <c r="AB899" s="27"/>
      <c r="AC899" s="9"/>
      <c r="AD899" s="27"/>
      <c r="AE899" s="9"/>
      <c r="AF899" s="9"/>
      <c r="AG899" s="27"/>
      <c r="AH899" s="27"/>
      <c r="AI899" s="27"/>
      <c r="AJ899" s="42"/>
      <c r="AK899" s="27"/>
      <c r="AL899" s="27"/>
      <c r="AM899" s="27"/>
      <c r="AN899" s="27"/>
      <c r="AO899" s="27"/>
      <c r="AP899" s="27"/>
      <c r="AQ899" s="27"/>
    </row>
    <row r="900" spans="1:43" ht="15.75" customHeight="1">
      <c r="A900" s="27"/>
      <c r="B900" s="9"/>
      <c r="C900" s="27"/>
      <c r="D900" s="9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42"/>
      <c r="Y900" s="42"/>
      <c r="Z900" s="27"/>
      <c r="AA900" s="27"/>
      <c r="AB900" s="27"/>
      <c r="AC900" s="9"/>
      <c r="AD900" s="27"/>
      <c r="AE900" s="9"/>
      <c r="AF900" s="9"/>
      <c r="AG900" s="27"/>
      <c r="AH900" s="27"/>
      <c r="AI900" s="27"/>
      <c r="AJ900" s="42"/>
      <c r="AK900" s="27"/>
      <c r="AL900" s="27"/>
      <c r="AM900" s="27"/>
      <c r="AN900" s="27"/>
      <c r="AO900" s="27"/>
      <c r="AP900" s="27"/>
      <c r="AQ900" s="27"/>
    </row>
    <row r="901" spans="1:43" ht="15.75" customHeight="1">
      <c r="A901" s="27"/>
      <c r="B901" s="9"/>
      <c r="C901" s="27"/>
      <c r="D901" s="9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42"/>
      <c r="Y901" s="42"/>
      <c r="Z901" s="27"/>
      <c r="AA901" s="27"/>
      <c r="AB901" s="27"/>
      <c r="AC901" s="9"/>
      <c r="AD901" s="27"/>
      <c r="AE901" s="9"/>
      <c r="AF901" s="9"/>
      <c r="AG901" s="27"/>
      <c r="AH901" s="27"/>
      <c r="AI901" s="27"/>
      <c r="AJ901" s="42"/>
      <c r="AK901" s="27"/>
      <c r="AL901" s="27"/>
      <c r="AM901" s="27"/>
      <c r="AN901" s="27"/>
      <c r="AO901" s="27"/>
      <c r="AP901" s="27"/>
      <c r="AQ901" s="27"/>
    </row>
    <row r="902" spans="1:43" ht="15.75" customHeight="1">
      <c r="A902" s="27"/>
      <c r="B902" s="9"/>
      <c r="C902" s="27"/>
      <c r="D902" s="9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42"/>
      <c r="Y902" s="42"/>
      <c r="Z902" s="27"/>
      <c r="AA902" s="27"/>
      <c r="AB902" s="27"/>
      <c r="AC902" s="9"/>
      <c r="AD902" s="27"/>
      <c r="AE902" s="9"/>
      <c r="AF902" s="9"/>
      <c r="AG902" s="27"/>
      <c r="AH902" s="27"/>
      <c r="AI902" s="27"/>
      <c r="AJ902" s="42"/>
      <c r="AK902" s="27"/>
      <c r="AL902" s="27"/>
      <c r="AM902" s="27"/>
      <c r="AN902" s="27"/>
      <c r="AO902" s="27"/>
      <c r="AP902" s="27"/>
      <c r="AQ902" s="27"/>
    </row>
    <row r="903" spans="1:43" ht="15.75" customHeight="1">
      <c r="A903" s="27"/>
      <c r="B903" s="9"/>
      <c r="C903" s="27"/>
      <c r="D903" s="9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42"/>
      <c r="Y903" s="42"/>
      <c r="Z903" s="27"/>
      <c r="AA903" s="27"/>
      <c r="AB903" s="27"/>
      <c r="AC903" s="9"/>
      <c r="AD903" s="27"/>
      <c r="AE903" s="9"/>
      <c r="AF903" s="9"/>
      <c r="AG903" s="27"/>
      <c r="AH903" s="27"/>
      <c r="AI903" s="27"/>
      <c r="AJ903" s="42"/>
      <c r="AK903" s="27"/>
      <c r="AL903" s="27"/>
      <c r="AM903" s="27"/>
      <c r="AN903" s="27"/>
      <c r="AO903" s="27"/>
      <c r="AP903" s="27"/>
      <c r="AQ903" s="27"/>
    </row>
    <row r="904" spans="1:43" ht="15.75" customHeight="1">
      <c r="A904" s="27"/>
      <c r="B904" s="9"/>
      <c r="C904" s="27"/>
      <c r="D904" s="9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42"/>
      <c r="Y904" s="42"/>
      <c r="Z904" s="27"/>
      <c r="AA904" s="27"/>
      <c r="AB904" s="27"/>
      <c r="AC904" s="9"/>
      <c r="AD904" s="27"/>
      <c r="AE904" s="9"/>
      <c r="AF904" s="9"/>
      <c r="AG904" s="27"/>
      <c r="AH904" s="27"/>
      <c r="AI904" s="27"/>
      <c r="AJ904" s="42"/>
      <c r="AK904" s="27"/>
      <c r="AL904" s="27"/>
      <c r="AM904" s="27"/>
      <c r="AN904" s="27"/>
      <c r="AO904" s="27"/>
      <c r="AP904" s="27"/>
      <c r="AQ904" s="27"/>
    </row>
    <row r="905" spans="1:43" ht="15.75" customHeight="1">
      <c r="A905" s="27"/>
      <c r="B905" s="9"/>
      <c r="C905" s="27"/>
      <c r="D905" s="9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42"/>
      <c r="Y905" s="42"/>
      <c r="Z905" s="27"/>
      <c r="AA905" s="27"/>
      <c r="AB905" s="27"/>
      <c r="AC905" s="9"/>
      <c r="AD905" s="27"/>
      <c r="AE905" s="9"/>
      <c r="AF905" s="9"/>
      <c r="AG905" s="27"/>
      <c r="AH905" s="27"/>
      <c r="AI905" s="27"/>
      <c r="AJ905" s="42"/>
      <c r="AK905" s="27"/>
      <c r="AL905" s="27"/>
      <c r="AM905" s="27"/>
      <c r="AN905" s="27"/>
      <c r="AO905" s="27"/>
      <c r="AP905" s="27"/>
      <c r="AQ905" s="27"/>
    </row>
    <row r="906" spans="1:43" ht="15.75" customHeight="1">
      <c r="A906" s="27"/>
      <c r="B906" s="9"/>
      <c r="C906" s="27"/>
      <c r="D906" s="9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42"/>
      <c r="Y906" s="42"/>
      <c r="Z906" s="27"/>
      <c r="AA906" s="27"/>
      <c r="AB906" s="27"/>
      <c r="AC906" s="9"/>
      <c r="AD906" s="27"/>
      <c r="AE906" s="9"/>
      <c r="AF906" s="9"/>
      <c r="AG906" s="27"/>
      <c r="AH906" s="27"/>
      <c r="AI906" s="27"/>
      <c r="AJ906" s="42"/>
      <c r="AK906" s="27"/>
      <c r="AL906" s="27"/>
      <c r="AM906" s="27"/>
      <c r="AN906" s="27"/>
      <c r="AO906" s="27"/>
      <c r="AP906" s="27"/>
      <c r="AQ906" s="27"/>
    </row>
    <row r="907" spans="1:43" ht="15.75" customHeight="1">
      <c r="A907" s="27"/>
      <c r="B907" s="9"/>
      <c r="C907" s="27"/>
      <c r="D907" s="9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42"/>
      <c r="Y907" s="42"/>
      <c r="Z907" s="27"/>
      <c r="AA907" s="27"/>
      <c r="AB907" s="27"/>
      <c r="AC907" s="9"/>
      <c r="AD907" s="27"/>
      <c r="AE907" s="9"/>
      <c r="AF907" s="9"/>
      <c r="AG907" s="27"/>
      <c r="AH907" s="27"/>
      <c r="AI907" s="27"/>
      <c r="AJ907" s="42"/>
      <c r="AK907" s="27"/>
      <c r="AL907" s="27"/>
      <c r="AM907" s="27"/>
      <c r="AN907" s="27"/>
      <c r="AO907" s="27"/>
      <c r="AP907" s="27"/>
      <c r="AQ907" s="27"/>
    </row>
    <row r="908" spans="1:43" ht="15.75" customHeight="1">
      <c r="A908" s="27"/>
      <c r="B908" s="9"/>
      <c r="C908" s="27"/>
      <c r="D908" s="9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42"/>
      <c r="Y908" s="42"/>
      <c r="Z908" s="27"/>
      <c r="AA908" s="27"/>
      <c r="AB908" s="27"/>
      <c r="AC908" s="9"/>
      <c r="AD908" s="27"/>
      <c r="AE908" s="9"/>
      <c r="AF908" s="9"/>
      <c r="AG908" s="27"/>
      <c r="AH908" s="27"/>
      <c r="AI908" s="27"/>
      <c r="AJ908" s="42"/>
      <c r="AK908" s="27"/>
      <c r="AL908" s="27"/>
      <c r="AM908" s="27"/>
      <c r="AN908" s="27"/>
      <c r="AO908" s="27"/>
      <c r="AP908" s="27"/>
      <c r="AQ908" s="27"/>
    </row>
    <row r="909" spans="1:43" ht="15.75" customHeight="1">
      <c r="A909" s="27"/>
      <c r="B909" s="9"/>
      <c r="C909" s="27"/>
      <c r="D909" s="9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42"/>
      <c r="Y909" s="42"/>
      <c r="Z909" s="27"/>
      <c r="AA909" s="27"/>
      <c r="AB909" s="27"/>
      <c r="AC909" s="9"/>
      <c r="AD909" s="27"/>
      <c r="AE909" s="9"/>
      <c r="AF909" s="9"/>
      <c r="AG909" s="27"/>
      <c r="AH909" s="27"/>
      <c r="AI909" s="27"/>
      <c r="AJ909" s="42"/>
      <c r="AK909" s="27"/>
      <c r="AL909" s="27"/>
      <c r="AM909" s="27"/>
      <c r="AN909" s="27"/>
      <c r="AO909" s="27"/>
      <c r="AP909" s="27"/>
      <c r="AQ909" s="27"/>
    </row>
    <row r="910" spans="1:43" ht="15.75" customHeight="1">
      <c r="A910" s="27"/>
      <c r="B910" s="9"/>
      <c r="C910" s="27"/>
      <c r="D910" s="9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42"/>
      <c r="Y910" s="42"/>
      <c r="Z910" s="27"/>
      <c r="AA910" s="27"/>
      <c r="AB910" s="27"/>
      <c r="AC910" s="9"/>
      <c r="AD910" s="27"/>
      <c r="AE910" s="9"/>
      <c r="AF910" s="9"/>
      <c r="AG910" s="27"/>
      <c r="AH910" s="27"/>
      <c r="AI910" s="27"/>
      <c r="AJ910" s="42"/>
      <c r="AK910" s="27"/>
      <c r="AL910" s="27"/>
      <c r="AM910" s="27"/>
      <c r="AN910" s="27"/>
      <c r="AO910" s="27"/>
      <c r="AP910" s="27"/>
      <c r="AQ910" s="27"/>
    </row>
    <row r="911" spans="1:43" ht="15.75" customHeight="1">
      <c r="A911" s="27"/>
      <c r="B911" s="9"/>
      <c r="C911" s="27"/>
      <c r="D911" s="9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42"/>
      <c r="Y911" s="42"/>
      <c r="Z911" s="27"/>
      <c r="AA911" s="27"/>
      <c r="AB911" s="27"/>
      <c r="AC911" s="9"/>
      <c r="AD911" s="27"/>
      <c r="AE911" s="9"/>
      <c r="AF911" s="9"/>
      <c r="AG911" s="27"/>
      <c r="AH911" s="27"/>
      <c r="AI911" s="27"/>
      <c r="AJ911" s="42"/>
      <c r="AK911" s="27"/>
      <c r="AL911" s="27"/>
      <c r="AM911" s="27"/>
      <c r="AN911" s="27"/>
      <c r="AO911" s="27"/>
      <c r="AP911" s="27"/>
      <c r="AQ911" s="27"/>
    </row>
    <row r="912" spans="1:43" ht="15.75" customHeight="1">
      <c r="A912" s="27"/>
      <c r="B912" s="9"/>
      <c r="C912" s="27"/>
      <c r="D912" s="9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42"/>
      <c r="Y912" s="42"/>
      <c r="Z912" s="27"/>
      <c r="AA912" s="27"/>
      <c r="AB912" s="27"/>
      <c r="AC912" s="9"/>
      <c r="AD912" s="27"/>
      <c r="AE912" s="9"/>
      <c r="AF912" s="9"/>
      <c r="AG912" s="27"/>
      <c r="AH912" s="27"/>
      <c r="AI912" s="27"/>
      <c r="AJ912" s="42"/>
      <c r="AK912" s="27"/>
      <c r="AL912" s="27"/>
      <c r="AM912" s="27"/>
      <c r="AN912" s="27"/>
      <c r="AO912" s="27"/>
      <c r="AP912" s="27"/>
      <c r="AQ912" s="27"/>
    </row>
    <row r="913" spans="1:43" ht="15.75" customHeight="1">
      <c r="A913" s="27"/>
      <c r="B913" s="9"/>
      <c r="C913" s="27"/>
      <c r="D913" s="9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42"/>
      <c r="Y913" s="42"/>
      <c r="Z913" s="27"/>
      <c r="AA913" s="27"/>
      <c r="AB913" s="27"/>
      <c r="AC913" s="9"/>
      <c r="AD913" s="27"/>
      <c r="AE913" s="9"/>
      <c r="AF913" s="9"/>
      <c r="AG913" s="27"/>
      <c r="AH913" s="27"/>
      <c r="AI913" s="27"/>
      <c r="AJ913" s="42"/>
      <c r="AK913" s="27"/>
      <c r="AL913" s="27"/>
      <c r="AM913" s="27"/>
      <c r="AN913" s="27"/>
      <c r="AO913" s="27"/>
      <c r="AP913" s="27"/>
      <c r="AQ913" s="27"/>
    </row>
    <row r="914" spans="1:43" ht="15.75" customHeight="1">
      <c r="A914" s="27"/>
      <c r="B914" s="9"/>
      <c r="C914" s="27"/>
      <c r="D914" s="9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42"/>
      <c r="Y914" s="42"/>
      <c r="Z914" s="27"/>
      <c r="AA914" s="27"/>
      <c r="AB914" s="27"/>
      <c r="AC914" s="9"/>
      <c r="AD914" s="27"/>
      <c r="AE914" s="9"/>
      <c r="AF914" s="9"/>
      <c r="AG914" s="27"/>
      <c r="AH914" s="27"/>
      <c r="AI914" s="27"/>
      <c r="AJ914" s="42"/>
      <c r="AK914" s="27"/>
      <c r="AL914" s="27"/>
      <c r="AM914" s="27"/>
      <c r="AN914" s="27"/>
      <c r="AO914" s="27"/>
      <c r="AP914" s="27"/>
      <c r="AQ914" s="27"/>
    </row>
    <row r="915" spans="1:43" ht="15.75" customHeight="1">
      <c r="A915" s="27"/>
      <c r="B915" s="9"/>
      <c r="C915" s="27"/>
      <c r="D915" s="9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42"/>
      <c r="Y915" s="42"/>
      <c r="Z915" s="27"/>
      <c r="AA915" s="27"/>
      <c r="AB915" s="27"/>
      <c r="AC915" s="9"/>
      <c r="AD915" s="27"/>
      <c r="AE915" s="9"/>
      <c r="AF915" s="9"/>
      <c r="AG915" s="27"/>
      <c r="AH915" s="27"/>
      <c r="AI915" s="27"/>
      <c r="AJ915" s="42"/>
      <c r="AK915" s="27"/>
      <c r="AL915" s="27"/>
      <c r="AM915" s="27"/>
      <c r="AN915" s="27"/>
      <c r="AO915" s="27"/>
      <c r="AP915" s="27"/>
      <c r="AQ915" s="27"/>
    </row>
    <row r="916" spans="1:43" ht="15.75" customHeight="1">
      <c r="A916" s="27"/>
      <c r="B916" s="9"/>
      <c r="C916" s="27"/>
      <c r="D916" s="9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42"/>
      <c r="Y916" s="42"/>
      <c r="Z916" s="27"/>
      <c r="AA916" s="27"/>
      <c r="AB916" s="27"/>
      <c r="AC916" s="9"/>
      <c r="AD916" s="27"/>
      <c r="AE916" s="9"/>
      <c r="AF916" s="9"/>
      <c r="AG916" s="27"/>
      <c r="AH916" s="27"/>
      <c r="AI916" s="27"/>
      <c r="AJ916" s="42"/>
      <c r="AK916" s="27"/>
      <c r="AL916" s="27"/>
      <c r="AM916" s="27"/>
      <c r="AN916" s="27"/>
      <c r="AO916" s="27"/>
      <c r="AP916" s="27"/>
      <c r="AQ916" s="27"/>
    </row>
    <row r="917" spans="1:43" ht="15.75" customHeight="1">
      <c r="A917" s="27"/>
      <c r="B917" s="9"/>
      <c r="C917" s="27"/>
      <c r="D917" s="9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42"/>
      <c r="Y917" s="42"/>
      <c r="Z917" s="27"/>
      <c r="AA917" s="27"/>
      <c r="AB917" s="27"/>
      <c r="AC917" s="9"/>
      <c r="AD917" s="27"/>
      <c r="AE917" s="9"/>
      <c r="AF917" s="9"/>
      <c r="AG917" s="27"/>
      <c r="AH917" s="27"/>
      <c r="AI917" s="27"/>
      <c r="AJ917" s="42"/>
      <c r="AK917" s="27"/>
      <c r="AL917" s="27"/>
      <c r="AM917" s="27"/>
      <c r="AN917" s="27"/>
      <c r="AO917" s="27"/>
      <c r="AP917" s="27"/>
      <c r="AQ917" s="27"/>
    </row>
    <row r="918" spans="1:43" ht="15.75" customHeight="1">
      <c r="A918" s="27"/>
      <c r="B918" s="9"/>
      <c r="C918" s="27"/>
      <c r="D918" s="9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42"/>
      <c r="Y918" s="42"/>
      <c r="Z918" s="27"/>
      <c r="AA918" s="27"/>
      <c r="AB918" s="27"/>
      <c r="AC918" s="9"/>
      <c r="AD918" s="27"/>
      <c r="AE918" s="9"/>
      <c r="AF918" s="9"/>
      <c r="AG918" s="27"/>
      <c r="AH918" s="27"/>
      <c r="AI918" s="27"/>
      <c r="AJ918" s="42"/>
      <c r="AK918" s="27"/>
      <c r="AL918" s="27"/>
      <c r="AM918" s="27"/>
      <c r="AN918" s="27"/>
      <c r="AO918" s="27"/>
      <c r="AP918" s="27"/>
      <c r="AQ918" s="27"/>
    </row>
    <row r="919" spans="1:43" ht="15.75" customHeight="1">
      <c r="A919" s="27"/>
      <c r="B919" s="9"/>
      <c r="C919" s="27"/>
      <c r="D919" s="9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42"/>
      <c r="Y919" s="42"/>
      <c r="Z919" s="27"/>
      <c r="AA919" s="27"/>
      <c r="AB919" s="27"/>
      <c r="AC919" s="9"/>
      <c r="AD919" s="27"/>
      <c r="AE919" s="9"/>
      <c r="AF919" s="9"/>
      <c r="AG919" s="27"/>
      <c r="AH919" s="27"/>
      <c r="AI919" s="27"/>
      <c r="AJ919" s="42"/>
      <c r="AK919" s="27"/>
      <c r="AL919" s="27"/>
      <c r="AM919" s="27"/>
      <c r="AN919" s="27"/>
      <c r="AO919" s="27"/>
      <c r="AP919" s="27"/>
      <c r="AQ919" s="27"/>
    </row>
    <row r="920" spans="1:43" ht="15.75" customHeight="1">
      <c r="A920" s="27"/>
      <c r="B920" s="9"/>
      <c r="C920" s="27"/>
      <c r="D920" s="9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42"/>
      <c r="Y920" s="42"/>
      <c r="Z920" s="27"/>
      <c r="AA920" s="27"/>
      <c r="AB920" s="27"/>
      <c r="AC920" s="9"/>
      <c r="AD920" s="27"/>
      <c r="AE920" s="9"/>
      <c r="AF920" s="9"/>
      <c r="AG920" s="27"/>
      <c r="AH920" s="27"/>
      <c r="AI920" s="27"/>
      <c r="AJ920" s="42"/>
      <c r="AK920" s="27"/>
      <c r="AL920" s="27"/>
      <c r="AM920" s="27"/>
      <c r="AN920" s="27"/>
      <c r="AO920" s="27"/>
      <c r="AP920" s="27"/>
      <c r="AQ920" s="27"/>
    </row>
    <row r="921" spans="1:43" ht="15.75" customHeight="1">
      <c r="A921" s="27"/>
      <c r="B921" s="9"/>
      <c r="C921" s="27"/>
      <c r="D921" s="9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42"/>
      <c r="Y921" s="42"/>
      <c r="Z921" s="27"/>
      <c r="AA921" s="27"/>
      <c r="AB921" s="27"/>
      <c r="AC921" s="9"/>
      <c r="AD921" s="27"/>
      <c r="AE921" s="9"/>
      <c r="AF921" s="9"/>
      <c r="AG921" s="27"/>
      <c r="AH921" s="27"/>
      <c r="AI921" s="27"/>
      <c r="AJ921" s="42"/>
      <c r="AK921" s="27"/>
      <c r="AL921" s="27"/>
      <c r="AM921" s="27"/>
      <c r="AN921" s="27"/>
      <c r="AO921" s="27"/>
      <c r="AP921" s="27"/>
      <c r="AQ921" s="27"/>
    </row>
    <row r="922" spans="1:43" ht="15.75" customHeight="1">
      <c r="A922" s="27"/>
      <c r="B922" s="9"/>
      <c r="C922" s="27"/>
      <c r="D922" s="9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42"/>
      <c r="Y922" s="42"/>
      <c r="Z922" s="27"/>
      <c r="AA922" s="27"/>
      <c r="AB922" s="27"/>
      <c r="AC922" s="9"/>
      <c r="AD922" s="27"/>
      <c r="AE922" s="9"/>
      <c r="AF922" s="9"/>
      <c r="AG922" s="27"/>
      <c r="AH922" s="27"/>
      <c r="AI922" s="27"/>
      <c r="AJ922" s="42"/>
      <c r="AK922" s="27"/>
      <c r="AL922" s="27"/>
      <c r="AM922" s="27"/>
      <c r="AN922" s="27"/>
      <c r="AO922" s="27"/>
      <c r="AP922" s="27"/>
      <c r="AQ922" s="27"/>
    </row>
    <row r="923" spans="1:43" ht="15.75" customHeight="1">
      <c r="A923" s="27"/>
      <c r="B923" s="9"/>
      <c r="C923" s="27"/>
      <c r="D923" s="9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42"/>
      <c r="Y923" s="42"/>
      <c r="Z923" s="27"/>
      <c r="AA923" s="27"/>
      <c r="AB923" s="27"/>
      <c r="AC923" s="9"/>
      <c r="AD923" s="27"/>
      <c r="AE923" s="9"/>
      <c r="AF923" s="9"/>
      <c r="AG923" s="27"/>
      <c r="AH923" s="27"/>
      <c r="AI923" s="27"/>
      <c r="AJ923" s="42"/>
      <c r="AK923" s="27"/>
      <c r="AL923" s="27"/>
      <c r="AM923" s="27"/>
      <c r="AN923" s="27"/>
      <c r="AO923" s="27"/>
      <c r="AP923" s="27"/>
      <c r="AQ923" s="27"/>
    </row>
    <row r="924" spans="1:43" ht="15.75" customHeight="1">
      <c r="A924" s="27"/>
      <c r="B924" s="9"/>
      <c r="C924" s="27"/>
      <c r="D924" s="9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42"/>
      <c r="Y924" s="42"/>
      <c r="Z924" s="27"/>
      <c r="AA924" s="27"/>
      <c r="AB924" s="27"/>
      <c r="AC924" s="9"/>
      <c r="AD924" s="27"/>
      <c r="AE924" s="9"/>
      <c r="AF924" s="9"/>
      <c r="AG924" s="27"/>
      <c r="AH924" s="27"/>
      <c r="AI924" s="27"/>
      <c r="AJ924" s="42"/>
      <c r="AK924" s="27"/>
      <c r="AL924" s="27"/>
      <c r="AM924" s="27"/>
      <c r="AN924" s="27"/>
      <c r="AO924" s="27"/>
      <c r="AP924" s="27"/>
      <c r="AQ924" s="27"/>
    </row>
    <row r="925" spans="1:43" ht="15.75" customHeight="1">
      <c r="A925" s="27"/>
      <c r="B925" s="9"/>
      <c r="C925" s="27"/>
      <c r="D925" s="9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42"/>
      <c r="Y925" s="42"/>
      <c r="Z925" s="27"/>
      <c r="AA925" s="27"/>
      <c r="AB925" s="27"/>
      <c r="AC925" s="9"/>
      <c r="AD925" s="27"/>
      <c r="AE925" s="9"/>
      <c r="AF925" s="9"/>
      <c r="AG925" s="27"/>
      <c r="AH925" s="27"/>
      <c r="AI925" s="27"/>
      <c r="AJ925" s="42"/>
      <c r="AK925" s="27"/>
      <c r="AL925" s="27"/>
      <c r="AM925" s="27"/>
      <c r="AN925" s="27"/>
      <c r="AO925" s="27"/>
      <c r="AP925" s="27"/>
      <c r="AQ925" s="27"/>
    </row>
    <row r="926" spans="1:43" ht="15.75" customHeight="1">
      <c r="A926" s="27"/>
      <c r="B926" s="9"/>
      <c r="C926" s="27"/>
      <c r="D926" s="9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42"/>
      <c r="Y926" s="42"/>
      <c r="Z926" s="27"/>
      <c r="AA926" s="27"/>
      <c r="AB926" s="27"/>
      <c r="AC926" s="9"/>
      <c r="AD926" s="27"/>
      <c r="AE926" s="9"/>
      <c r="AF926" s="9"/>
      <c r="AG926" s="27"/>
      <c r="AH926" s="27"/>
      <c r="AI926" s="27"/>
      <c r="AJ926" s="42"/>
      <c r="AK926" s="27"/>
      <c r="AL926" s="27"/>
      <c r="AM926" s="27"/>
      <c r="AN926" s="27"/>
      <c r="AO926" s="27"/>
      <c r="AP926" s="27"/>
      <c r="AQ926" s="27"/>
    </row>
    <row r="927" spans="1:43" ht="15.75" customHeight="1">
      <c r="A927" s="27"/>
      <c r="B927" s="9"/>
      <c r="C927" s="27"/>
      <c r="D927" s="9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42"/>
      <c r="Y927" s="42"/>
      <c r="Z927" s="27"/>
      <c r="AA927" s="27"/>
      <c r="AB927" s="27"/>
      <c r="AC927" s="9"/>
      <c r="AD927" s="27"/>
      <c r="AE927" s="9"/>
      <c r="AF927" s="9"/>
      <c r="AG927" s="27"/>
      <c r="AH927" s="27"/>
      <c r="AI927" s="27"/>
      <c r="AJ927" s="42"/>
      <c r="AK927" s="27"/>
      <c r="AL927" s="27"/>
      <c r="AM927" s="27"/>
      <c r="AN927" s="27"/>
      <c r="AO927" s="27"/>
      <c r="AP927" s="27"/>
      <c r="AQ927" s="27"/>
    </row>
    <row r="928" spans="1:43" ht="15.75" customHeight="1">
      <c r="A928" s="27"/>
      <c r="B928" s="9"/>
      <c r="C928" s="27"/>
      <c r="D928" s="9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42"/>
      <c r="Y928" s="42"/>
      <c r="Z928" s="27"/>
      <c r="AA928" s="27"/>
      <c r="AB928" s="27"/>
      <c r="AC928" s="9"/>
      <c r="AD928" s="27"/>
      <c r="AE928" s="9"/>
      <c r="AF928" s="9"/>
      <c r="AG928" s="27"/>
      <c r="AH928" s="27"/>
      <c r="AI928" s="27"/>
      <c r="AJ928" s="42"/>
      <c r="AK928" s="27"/>
      <c r="AL928" s="27"/>
      <c r="AM928" s="27"/>
      <c r="AN928" s="27"/>
      <c r="AO928" s="27"/>
      <c r="AP928" s="27"/>
      <c r="AQ928" s="27"/>
    </row>
    <row r="929" spans="1:43" ht="15.75" customHeight="1">
      <c r="A929" s="27"/>
      <c r="B929" s="9"/>
      <c r="C929" s="27"/>
      <c r="D929" s="9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42"/>
      <c r="Y929" s="42"/>
      <c r="Z929" s="27"/>
      <c r="AA929" s="27"/>
      <c r="AB929" s="27"/>
      <c r="AC929" s="9"/>
      <c r="AD929" s="27"/>
      <c r="AE929" s="9"/>
      <c r="AF929" s="9"/>
      <c r="AG929" s="27"/>
      <c r="AH929" s="27"/>
      <c r="AI929" s="27"/>
      <c r="AJ929" s="42"/>
      <c r="AK929" s="27"/>
      <c r="AL929" s="27"/>
      <c r="AM929" s="27"/>
      <c r="AN929" s="27"/>
      <c r="AO929" s="27"/>
      <c r="AP929" s="27"/>
      <c r="AQ929" s="27"/>
    </row>
    <row r="930" spans="1:43" ht="15.75" customHeight="1">
      <c r="A930" s="27"/>
      <c r="B930" s="9"/>
      <c r="C930" s="27"/>
      <c r="D930" s="9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42"/>
      <c r="Y930" s="42"/>
      <c r="Z930" s="27"/>
      <c r="AA930" s="27"/>
      <c r="AB930" s="27"/>
      <c r="AC930" s="9"/>
      <c r="AD930" s="27"/>
      <c r="AE930" s="9"/>
      <c r="AF930" s="9"/>
      <c r="AG930" s="27"/>
      <c r="AH930" s="27"/>
      <c r="AI930" s="27"/>
      <c r="AJ930" s="42"/>
      <c r="AK930" s="27"/>
      <c r="AL930" s="27"/>
      <c r="AM930" s="27"/>
      <c r="AN930" s="27"/>
      <c r="AO930" s="27"/>
      <c r="AP930" s="27"/>
      <c r="AQ930" s="27"/>
    </row>
    <row r="931" spans="1:43" ht="15.75" customHeight="1">
      <c r="A931" s="27"/>
      <c r="B931" s="9"/>
      <c r="C931" s="27"/>
      <c r="D931" s="9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42"/>
      <c r="Y931" s="42"/>
      <c r="Z931" s="27"/>
      <c r="AA931" s="27"/>
      <c r="AB931" s="27"/>
      <c r="AC931" s="9"/>
      <c r="AD931" s="27"/>
      <c r="AE931" s="9"/>
      <c r="AF931" s="9"/>
      <c r="AG931" s="27"/>
      <c r="AH931" s="27"/>
      <c r="AI931" s="27"/>
      <c r="AJ931" s="42"/>
      <c r="AK931" s="27"/>
      <c r="AL931" s="27"/>
      <c r="AM931" s="27"/>
      <c r="AN931" s="27"/>
      <c r="AO931" s="27"/>
      <c r="AP931" s="27"/>
      <c r="AQ931" s="27"/>
    </row>
    <row r="932" spans="1:43" ht="15.75" customHeight="1">
      <c r="A932" s="27"/>
      <c r="B932" s="9"/>
      <c r="C932" s="27"/>
      <c r="D932" s="9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42"/>
      <c r="Y932" s="42"/>
      <c r="Z932" s="27"/>
      <c r="AA932" s="27"/>
      <c r="AB932" s="27"/>
      <c r="AC932" s="9"/>
      <c r="AD932" s="27"/>
      <c r="AE932" s="9"/>
      <c r="AF932" s="9"/>
      <c r="AG932" s="27"/>
      <c r="AH932" s="27"/>
      <c r="AI932" s="27"/>
      <c r="AJ932" s="42"/>
      <c r="AK932" s="27"/>
      <c r="AL932" s="27"/>
      <c r="AM932" s="27"/>
      <c r="AN932" s="27"/>
      <c r="AO932" s="27"/>
      <c r="AP932" s="27"/>
      <c r="AQ932" s="27"/>
    </row>
    <row r="933" spans="1:43" ht="15.75" customHeight="1">
      <c r="A933" s="27"/>
      <c r="B933" s="9"/>
      <c r="C933" s="27"/>
      <c r="D933" s="9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42"/>
      <c r="Y933" s="42"/>
      <c r="Z933" s="27"/>
      <c r="AA933" s="27"/>
      <c r="AB933" s="27"/>
      <c r="AC933" s="9"/>
      <c r="AD933" s="27"/>
      <c r="AE933" s="9"/>
      <c r="AF933" s="9"/>
      <c r="AG933" s="27"/>
      <c r="AH933" s="27"/>
      <c r="AI933" s="27"/>
      <c r="AJ933" s="42"/>
      <c r="AK933" s="27"/>
      <c r="AL933" s="27"/>
      <c r="AM933" s="27"/>
      <c r="AN933" s="27"/>
      <c r="AO933" s="27"/>
      <c r="AP933" s="27"/>
      <c r="AQ933" s="27"/>
    </row>
    <row r="934" spans="1:43" ht="15.75" customHeight="1">
      <c r="A934" s="27"/>
      <c r="B934" s="9"/>
      <c r="C934" s="27"/>
      <c r="D934" s="9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42"/>
      <c r="Y934" s="42"/>
      <c r="Z934" s="27"/>
      <c r="AA934" s="27"/>
      <c r="AB934" s="27"/>
      <c r="AC934" s="9"/>
      <c r="AD934" s="27"/>
      <c r="AE934" s="9"/>
      <c r="AF934" s="9"/>
      <c r="AG934" s="27"/>
      <c r="AH934" s="27"/>
      <c r="AI934" s="27"/>
      <c r="AJ934" s="42"/>
      <c r="AK934" s="27"/>
      <c r="AL934" s="27"/>
      <c r="AM934" s="27"/>
      <c r="AN934" s="27"/>
      <c r="AO934" s="27"/>
      <c r="AP934" s="27"/>
      <c r="AQ934" s="27"/>
    </row>
    <row r="935" spans="1:43" ht="15.75" customHeight="1">
      <c r="A935" s="27"/>
      <c r="B935" s="9"/>
      <c r="C935" s="27"/>
      <c r="D935" s="9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42"/>
      <c r="Y935" s="42"/>
      <c r="Z935" s="27"/>
      <c r="AA935" s="27"/>
      <c r="AB935" s="27"/>
      <c r="AC935" s="9"/>
      <c r="AD935" s="27"/>
      <c r="AE935" s="9"/>
      <c r="AF935" s="9"/>
      <c r="AG935" s="27"/>
      <c r="AH935" s="27"/>
      <c r="AI935" s="27"/>
      <c r="AJ935" s="42"/>
      <c r="AK935" s="27"/>
      <c r="AL935" s="27"/>
      <c r="AM935" s="27"/>
      <c r="AN935" s="27"/>
      <c r="AO935" s="27"/>
      <c r="AP935" s="27"/>
      <c r="AQ935" s="27"/>
    </row>
    <row r="936" spans="1:43" ht="15.75" customHeight="1">
      <c r="A936" s="27"/>
      <c r="B936" s="9"/>
      <c r="C936" s="27"/>
      <c r="D936" s="9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42"/>
      <c r="Y936" s="42"/>
      <c r="Z936" s="27"/>
      <c r="AA936" s="27"/>
      <c r="AB936" s="27"/>
      <c r="AC936" s="9"/>
      <c r="AD936" s="27"/>
      <c r="AE936" s="9"/>
      <c r="AF936" s="9"/>
      <c r="AG936" s="27"/>
      <c r="AH936" s="27"/>
      <c r="AI936" s="27"/>
      <c r="AJ936" s="42"/>
      <c r="AK936" s="27"/>
      <c r="AL936" s="27"/>
      <c r="AM936" s="27"/>
      <c r="AN936" s="27"/>
      <c r="AO936" s="27"/>
      <c r="AP936" s="27"/>
      <c r="AQ936" s="27"/>
    </row>
    <row r="937" spans="1:43" ht="15.75" customHeight="1">
      <c r="A937" s="27"/>
      <c r="B937" s="9"/>
      <c r="C937" s="27"/>
      <c r="D937" s="9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42"/>
      <c r="Y937" s="42"/>
      <c r="Z937" s="27"/>
      <c r="AA937" s="27"/>
      <c r="AB937" s="27"/>
      <c r="AC937" s="9"/>
      <c r="AD937" s="27"/>
      <c r="AE937" s="9"/>
      <c r="AF937" s="9"/>
      <c r="AG937" s="27"/>
      <c r="AH937" s="27"/>
      <c r="AI937" s="27"/>
      <c r="AJ937" s="42"/>
      <c r="AK937" s="27"/>
      <c r="AL937" s="27"/>
      <c r="AM937" s="27"/>
      <c r="AN937" s="27"/>
      <c r="AO937" s="27"/>
      <c r="AP937" s="27"/>
      <c r="AQ937" s="27"/>
    </row>
    <row r="938" spans="1:43" ht="15.75" customHeight="1">
      <c r="A938" s="27"/>
      <c r="B938" s="9"/>
      <c r="C938" s="27"/>
      <c r="D938" s="9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42"/>
      <c r="Y938" s="42"/>
      <c r="Z938" s="27"/>
      <c r="AA938" s="27"/>
      <c r="AB938" s="27"/>
      <c r="AC938" s="9"/>
      <c r="AD938" s="27"/>
      <c r="AE938" s="9"/>
      <c r="AF938" s="9"/>
      <c r="AG938" s="27"/>
      <c r="AH938" s="27"/>
      <c r="AI938" s="27"/>
      <c r="AJ938" s="42"/>
      <c r="AK938" s="27"/>
      <c r="AL938" s="27"/>
      <c r="AM938" s="27"/>
      <c r="AN938" s="27"/>
      <c r="AO938" s="27"/>
      <c r="AP938" s="27"/>
      <c r="AQ938" s="27"/>
    </row>
    <row r="939" spans="1:43" ht="15.75" customHeight="1">
      <c r="A939" s="27"/>
      <c r="B939" s="9"/>
      <c r="C939" s="27"/>
      <c r="D939" s="9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42"/>
      <c r="Y939" s="42"/>
      <c r="Z939" s="27"/>
      <c r="AA939" s="27"/>
      <c r="AB939" s="27"/>
      <c r="AC939" s="9"/>
      <c r="AD939" s="27"/>
      <c r="AE939" s="9"/>
      <c r="AF939" s="9"/>
      <c r="AG939" s="27"/>
      <c r="AH939" s="27"/>
      <c r="AI939" s="27"/>
      <c r="AJ939" s="42"/>
      <c r="AK939" s="27"/>
      <c r="AL939" s="27"/>
      <c r="AM939" s="27"/>
      <c r="AN939" s="27"/>
      <c r="AO939" s="27"/>
      <c r="AP939" s="27"/>
      <c r="AQ939" s="27"/>
    </row>
    <row r="940" spans="1:43" ht="15.75" customHeight="1">
      <c r="A940" s="27"/>
      <c r="B940" s="9"/>
      <c r="C940" s="27"/>
      <c r="D940" s="9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42"/>
      <c r="Y940" s="42"/>
      <c r="Z940" s="27"/>
      <c r="AA940" s="27"/>
      <c r="AB940" s="27"/>
      <c r="AC940" s="9"/>
      <c r="AD940" s="27"/>
      <c r="AE940" s="9"/>
      <c r="AF940" s="9"/>
      <c r="AG940" s="27"/>
      <c r="AH940" s="27"/>
      <c r="AI940" s="27"/>
      <c r="AJ940" s="42"/>
      <c r="AK940" s="27"/>
      <c r="AL940" s="27"/>
      <c r="AM940" s="27"/>
      <c r="AN940" s="27"/>
      <c r="AO940" s="27"/>
      <c r="AP940" s="27"/>
      <c r="AQ940" s="27"/>
    </row>
    <row r="941" spans="1:43" ht="15.75" customHeight="1">
      <c r="A941" s="27"/>
      <c r="B941" s="9"/>
      <c r="C941" s="27"/>
      <c r="D941" s="9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42"/>
      <c r="Y941" s="42"/>
      <c r="Z941" s="27"/>
      <c r="AA941" s="27"/>
      <c r="AB941" s="27"/>
      <c r="AC941" s="9"/>
      <c r="AD941" s="27"/>
      <c r="AE941" s="9"/>
      <c r="AF941" s="9"/>
      <c r="AG941" s="27"/>
      <c r="AH941" s="27"/>
      <c r="AI941" s="27"/>
      <c r="AJ941" s="42"/>
      <c r="AK941" s="27"/>
      <c r="AL941" s="27"/>
      <c r="AM941" s="27"/>
      <c r="AN941" s="27"/>
      <c r="AO941" s="27"/>
      <c r="AP941" s="27"/>
      <c r="AQ941" s="27"/>
    </row>
    <row r="942" spans="1:43" ht="15.75" customHeight="1">
      <c r="A942" s="27"/>
      <c r="B942" s="9"/>
      <c r="C942" s="27"/>
      <c r="D942" s="9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42"/>
      <c r="Y942" s="42"/>
      <c r="Z942" s="27"/>
      <c r="AA942" s="27"/>
      <c r="AB942" s="27"/>
      <c r="AC942" s="9"/>
      <c r="AD942" s="27"/>
      <c r="AE942" s="9"/>
      <c r="AF942" s="9"/>
      <c r="AG942" s="27"/>
      <c r="AH942" s="27"/>
      <c r="AI942" s="27"/>
      <c r="AJ942" s="42"/>
      <c r="AK942" s="27"/>
      <c r="AL942" s="27"/>
      <c r="AM942" s="27"/>
      <c r="AN942" s="27"/>
      <c r="AO942" s="27"/>
      <c r="AP942" s="27"/>
      <c r="AQ942" s="27"/>
    </row>
    <row r="943" spans="1:43" ht="15.75" customHeight="1">
      <c r="A943" s="27"/>
      <c r="B943" s="9"/>
      <c r="C943" s="27"/>
      <c r="D943" s="9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42"/>
      <c r="Y943" s="42"/>
      <c r="Z943" s="27"/>
      <c r="AA943" s="27"/>
      <c r="AB943" s="27"/>
      <c r="AC943" s="9"/>
      <c r="AD943" s="27"/>
      <c r="AE943" s="9"/>
      <c r="AF943" s="9"/>
      <c r="AG943" s="27"/>
      <c r="AH943" s="27"/>
      <c r="AI943" s="27"/>
      <c r="AJ943" s="42"/>
      <c r="AK943" s="27"/>
      <c r="AL943" s="27"/>
      <c r="AM943" s="27"/>
      <c r="AN943" s="27"/>
      <c r="AO943" s="27"/>
      <c r="AP943" s="27"/>
      <c r="AQ943" s="27"/>
    </row>
    <row r="944" spans="1:43" ht="15.75" customHeight="1">
      <c r="A944" s="27"/>
      <c r="B944" s="9"/>
      <c r="C944" s="27"/>
      <c r="D944" s="9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42"/>
      <c r="Y944" s="42"/>
      <c r="Z944" s="27"/>
      <c r="AA944" s="27"/>
      <c r="AB944" s="27"/>
      <c r="AC944" s="9"/>
      <c r="AD944" s="27"/>
      <c r="AE944" s="9"/>
      <c r="AF944" s="9"/>
      <c r="AG944" s="27"/>
      <c r="AH944" s="27"/>
      <c r="AI944" s="27"/>
      <c r="AJ944" s="42"/>
      <c r="AK944" s="27"/>
      <c r="AL944" s="27"/>
      <c r="AM944" s="27"/>
      <c r="AN944" s="27"/>
      <c r="AO944" s="27"/>
      <c r="AP944" s="27"/>
      <c r="AQ944" s="27"/>
    </row>
    <row r="945" spans="1:43" ht="15.75" customHeight="1">
      <c r="A945" s="27"/>
      <c r="B945" s="9"/>
      <c r="C945" s="27"/>
      <c r="D945" s="9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42"/>
      <c r="Y945" s="42"/>
      <c r="Z945" s="27"/>
      <c r="AA945" s="27"/>
      <c r="AB945" s="27"/>
      <c r="AC945" s="9"/>
      <c r="AD945" s="27"/>
      <c r="AE945" s="9"/>
      <c r="AF945" s="9"/>
      <c r="AG945" s="27"/>
      <c r="AH945" s="27"/>
      <c r="AI945" s="27"/>
      <c r="AJ945" s="42"/>
      <c r="AK945" s="27"/>
      <c r="AL945" s="27"/>
      <c r="AM945" s="27"/>
      <c r="AN945" s="27"/>
      <c r="AO945" s="27"/>
      <c r="AP945" s="27"/>
      <c r="AQ945" s="27"/>
    </row>
    <row r="946" spans="1:43" ht="15.75" customHeight="1">
      <c r="A946" s="27"/>
      <c r="B946" s="9"/>
      <c r="C946" s="27"/>
      <c r="D946" s="9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42"/>
      <c r="Y946" s="42"/>
      <c r="Z946" s="27"/>
      <c r="AA946" s="27"/>
      <c r="AB946" s="27"/>
      <c r="AC946" s="9"/>
      <c r="AD946" s="27"/>
      <c r="AE946" s="9"/>
      <c r="AF946" s="9"/>
      <c r="AG946" s="27"/>
      <c r="AH946" s="27"/>
      <c r="AI946" s="27"/>
      <c r="AJ946" s="42"/>
      <c r="AK946" s="27"/>
      <c r="AL946" s="27"/>
      <c r="AM946" s="27"/>
      <c r="AN946" s="27"/>
      <c r="AO946" s="27"/>
      <c r="AP946" s="27"/>
      <c r="AQ946" s="27"/>
    </row>
    <row r="947" spans="1:43" ht="15.75" customHeight="1">
      <c r="A947" s="27"/>
      <c r="B947" s="9"/>
      <c r="C947" s="27"/>
      <c r="D947" s="9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42"/>
      <c r="Y947" s="42"/>
      <c r="Z947" s="27"/>
      <c r="AA947" s="27"/>
      <c r="AB947" s="27"/>
      <c r="AC947" s="9"/>
      <c r="AD947" s="27"/>
      <c r="AE947" s="9"/>
      <c r="AF947" s="9"/>
      <c r="AG947" s="27"/>
      <c r="AH947" s="27"/>
      <c r="AI947" s="27"/>
      <c r="AJ947" s="42"/>
      <c r="AK947" s="27"/>
      <c r="AL947" s="27"/>
      <c r="AM947" s="27"/>
      <c r="AN947" s="27"/>
      <c r="AO947" s="27"/>
      <c r="AP947" s="27"/>
      <c r="AQ947" s="27"/>
    </row>
    <row r="948" spans="1:43" ht="15.75" customHeight="1">
      <c r="A948" s="27"/>
      <c r="B948" s="9"/>
      <c r="C948" s="27"/>
      <c r="D948" s="9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42"/>
      <c r="Y948" s="42"/>
      <c r="Z948" s="27"/>
      <c r="AA948" s="27"/>
      <c r="AB948" s="27"/>
      <c r="AC948" s="9"/>
      <c r="AD948" s="27"/>
      <c r="AE948" s="9"/>
      <c r="AF948" s="9"/>
      <c r="AG948" s="27"/>
      <c r="AH948" s="27"/>
      <c r="AI948" s="27"/>
      <c r="AJ948" s="42"/>
      <c r="AK948" s="27"/>
      <c r="AL948" s="27"/>
      <c r="AM948" s="27"/>
      <c r="AN948" s="27"/>
      <c r="AO948" s="27"/>
      <c r="AP948" s="27"/>
      <c r="AQ948" s="27"/>
    </row>
    <row r="949" spans="1:43" ht="15.75" customHeight="1">
      <c r="A949" s="27"/>
      <c r="B949" s="9"/>
      <c r="C949" s="27"/>
      <c r="D949" s="9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42"/>
      <c r="Y949" s="42"/>
      <c r="Z949" s="27"/>
      <c r="AA949" s="27"/>
      <c r="AB949" s="27"/>
      <c r="AC949" s="9"/>
      <c r="AD949" s="27"/>
      <c r="AE949" s="9"/>
      <c r="AF949" s="9"/>
      <c r="AG949" s="27"/>
      <c r="AH949" s="27"/>
      <c r="AI949" s="27"/>
      <c r="AJ949" s="42"/>
      <c r="AK949" s="27"/>
      <c r="AL949" s="27"/>
      <c r="AM949" s="27"/>
      <c r="AN949" s="27"/>
      <c r="AO949" s="27"/>
      <c r="AP949" s="27"/>
      <c r="AQ949" s="27"/>
    </row>
    <row r="950" spans="1:43" ht="15.75" customHeight="1">
      <c r="A950" s="27"/>
      <c r="B950" s="9"/>
      <c r="C950" s="27"/>
      <c r="D950" s="9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42"/>
      <c r="Y950" s="42"/>
      <c r="Z950" s="27"/>
      <c r="AA950" s="27"/>
      <c r="AB950" s="27"/>
      <c r="AC950" s="9"/>
      <c r="AD950" s="27"/>
      <c r="AE950" s="9"/>
      <c r="AF950" s="9"/>
      <c r="AG950" s="27"/>
      <c r="AH950" s="27"/>
      <c r="AI950" s="27"/>
      <c r="AJ950" s="42"/>
      <c r="AK950" s="27"/>
      <c r="AL950" s="27"/>
      <c r="AM950" s="27"/>
      <c r="AN950" s="27"/>
      <c r="AO950" s="27"/>
      <c r="AP950" s="27"/>
      <c r="AQ950" s="27"/>
    </row>
    <row r="951" spans="1:43" ht="15.75" customHeight="1">
      <c r="A951" s="27"/>
      <c r="B951" s="9"/>
      <c r="C951" s="27"/>
      <c r="D951" s="9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42"/>
      <c r="Y951" s="42"/>
      <c r="Z951" s="27"/>
      <c r="AA951" s="27"/>
      <c r="AB951" s="27"/>
      <c r="AC951" s="9"/>
      <c r="AD951" s="27"/>
      <c r="AE951" s="9"/>
      <c r="AF951" s="9"/>
      <c r="AG951" s="27"/>
      <c r="AH951" s="27"/>
      <c r="AI951" s="27"/>
      <c r="AJ951" s="42"/>
      <c r="AK951" s="27"/>
      <c r="AL951" s="27"/>
      <c r="AM951" s="27"/>
      <c r="AN951" s="27"/>
      <c r="AO951" s="27"/>
      <c r="AP951" s="27"/>
      <c r="AQ951" s="27"/>
    </row>
    <row r="952" spans="1:43" ht="15.75" customHeight="1">
      <c r="A952" s="27"/>
      <c r="B952" s="9"/>
      <c r="C952" s="27"/>
      <c r="D952" s="9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42"/>
      <c r="Y952" s="42"/>
      <c r="Z952" s="27"/>
      <c r="AA952" s="27"/>
      <c r="AB952" s="27"/>
      <c r="AC952" s="9"/>
      <c r="AD952" s="27"/>
      <c r="AE952" s="9"/>
      <c r="AF952" s="9"/>
      <c r="AG952" s="27"/>
      <c r="AH952" s="27"/>
      <c r="AI952" s="27"/>
      <c r="AJ952" s="42"/>
      <c r="AK952" s="27"/>
      <c r="AL952" s="27"/>
      <c r="AM952" s="27"/>
      <c r="AN952" s="27"/>
      <c r="AO952" s="27"/>
      <c r="AP952" s="27"/>
      <c r="AQ952" s="27"/>
    </row>
    <row r="953" spans="1:43" ht="15.75" customHeight="1">
      <c r="A953" s="27"/>
      <c r="B953" s="9"/>
      <c r="C953" s="27"/>
      <c r="D953" s="9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42"/>
      <c r="Y953" s="42"/>
      <c r="Z953" s="27"/>
      <c r="AA953" s="27"/>
      <c r="AB953" s="27"/>
      <c r="AC953" s="9"/>
      <c r="AD953" s="27"/>
      <c r="AE953" s="9"/>
      <c r="AF953" s="9"/>
      <c r="AG953" s="27"/>
      <c r="AH953" s="27"/>
      <c r="AI953" s="27"/>
      <c r="AJ953" s="42"/>
      <c r="AK953" s="27"/>
      <c r="AL953" s="27"/>
      <c r="AM953" s="27"/>
      <c r="AN953" s="27"/>
      <c r="AO953" s="27"/>
      <c r="AP953" s="27"/>
      <c r="AQ953" s="27"/>
    </row>
    <row r="954" spans="1:43" ht="15.75" customHeight="1">
      <c r="A954" s="27"/>
      <c r="B954" s="9"/>
      <c r="C954" s="27"/>
      <c r="D954" s="9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42"/>
      <c r="Y954" s="42"/>
      <c r="Z954" s="27"/>
      <c r="AA954" s="27"/>
      <c r="AB954" s="27"/>
      <c r="AC954" s="9"/>
      <c r="AD954" s="27"/>
      <c r="AE954" s="9"/>
      <c r="AF954" s="9"/>
      <c r="AG954" s="27"/>
      <c r="AH954" s="27"/>
      <c r="AI954" s="27"/>
      <c r="AJ954" s="42"/>
      <c r="AK954" s="27"/>
      <c r="AL954" s="27"/>
      <c r="AM954" s="27"/>
      <c r="AN954" s="27"/>
      <c r="AO954" s="27"/>
      <c r="AP954" s="27"/>
      <c r="AQ954" s="27"/>
    </row>
    <row r="955" spans="1:43" ht="15.75" customHeight="1">
      <c r="A955" s="27"/>
      <c r="B955" s="9"/>
      <c r="C955" s="27"/>
      <c r="D955" s="9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42"/>
      <c r="Y955" s="42"/>
      <c r="Z955" s="27"/>
      <c r="AA955" s="27"/>
      <c r="AB955" s="27"/>
      <c r="AC955" s="9"/>
      <c r="AD955" s="27"/>
      <c r="AE955" s="9"/>
      <c r="AF955" s="9"/>
      <c r="AG955" s="27"/>
      <c r="AH955" s="27"/>
      <c r="AI955" s="27"/>
      <c r="AJ955" s="42"/>
      <c r="AK955" s="27"/>
      <c r="AL955" s="27"/>
      <c r="AM955" s="27"/>
      <c r="AN955" s="27"/>
      <c r="AO955" s="27"/>
      <c r="AP955" s="27"/>
      <c r="AQ955" s="27"/>
    </row>
    <row r="956" spans="1:43" ht="15.75" customHeight="1">
      <c r="A956" s="27"/>
      <c r="B956" s="9"/>
      <c r="C956" s="27"/>
      <c r="D956" s="9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42"/>
      <c r="Y956" s="42"/>
      <c r="Z956" s="27"/>
      <c r="AA956" s="27"/>
      <c r="AB956" s="27"/>
      <c r="AC956" s="9"/>
      <c r="AD956" s="27"/>
      <c r="AE956" s="9"/>
      <c r="AF956" s="9"/>
      <c r="AG956" s="27"/>
      <c r="AH956" s="27"/>
      <c r="AI956" s="27"/>
      <c r="AJ956" s="42"/>
      <c r="AK956" s="27"/>
      <c r="AL956" s="27"/>
      <c r="AM956" s="27"/>
      <c r="AN956" s="27"/>
      <c r="AO956" s="27"/>
      <c r="AP956" s="27"/>
      <c r="AQ956" s="27"/>
    </row>
    <row r="957" spans="1:43" ht="15.75" customHeight="1">
      <c r="A957" s="27"/>
      <c r="B957" s="9"/>
      <c r="C957" s="27"/>
      <c r="D957" s="9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42"/>
      <c r="Y957" s="42"/>
      <c r="Z957" s="27"/>
      <c r="AA957" s="27"/>
      <c r="AB957" s="27"/>
      <c r="AC957" s="9"/>
      <c r="AD957" s="27"/>
      <c r="AE957" s="9"/>
      <c r="AF957" s="9"/>
      <c r="AG957" s="27"/>
      <c r="AH957" s="27"/>
      <c r="AI957" s="27"/>
      <c r="AJ957" s="42"/>
      <c r="AK957" s="27"/>
      <c r="AL957" s="27"/>
      <c r="AM957" s="27"/>
      <c r="AN957" s="27"/>
      <c r="AO957" s="27"/>
      <c r="AP957" s="27"/>
      <c r="AQ957" s="27"/>
    </row>
    <row r="958" spans="1:43" ht="15.75" customHeight="1">
      <c r="A958" s="27"/>
      <c r="B958" s="9"/>
      <c r="C958" s="27"/>
      <c r="D958" s="9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42"/>
      <c r="Y958" s="42"/>
      <c r="Z958" s="27"/>
      <c r="AA958" s="27"/>
      <c r="AB958" s="27"/>
      <c r="AC958" s="9"/>
      <c r="AD958" s="27"/>
      <c r="AE958" s="9"/>
      <c r="AF958" s="9"/>
      <c r="AG958" s="27"/>
      <c r="AH958" s="27"/>
      <c r="AI958" s="27"/>
      <c r="AJ958" s="42"/>
      <c r="AK958" s="27"/>
      <c r="AL958" s="27"/>
      <c r="AM958" s="27"/>
      <c r="AN958" s="27"/>
      <c r="AO958" s="27"/>
      <c r="AP958" s="27"/>
      <c r="AQ958" s="27"/>
    </row>
    <row r="959" spans="1:43" ht="15.75" customHeight="1">
      <c r="A959" s="27"/>
      <c r="B959" s="9"/>
      <c r="C959" s="27"/>
      <c r="D959" s="9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42"/>
      <c r="Y959" s="42"/>
      <c r="Z959" s="27"/>
      <c r="AA959" s="27"/>
      <c r="AB959" s="27"/>
      <c r="AC959" s="9"/>
      <c r="AD959" s="27"/>
      <c r="AE959" s="9"/>
      <c r="AF959" s="9"/>
      <c r="AG959" s="27"/>
      <c r="AH959" s="27"/>
      <c r="AI959" s="27"/>
      <c r="AJ959" s="42"/>
      <c r="AK959" s="27"/>
      <c r="AL959" s="27"/>
      <c r="AM959" s="27"/>
      <c r="AN959" s="27"/>
      <c r="AO959" s="27"/>
      <c r="AP959" s="27"/>
      <c r="AQ959" s="27"/>
    </row>
    <row r="960" spans="1:43" ht="15.75" customHeight="1">
      <c r="A960" s="27"/>
      <c r="B960" s="9"/>
      <c r="C960" s="27"/>
      <c r="D960" s="9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42"/>
      <c r="Y960" s="42"/>
      <c r="Z960" s="27"/>
      <c r="AA960" s="27"/>
      <c r="AB960" s="27"/>
      <c r="AC960" s="9"/>
      <c r="AD960" s="27"/>
      <c r="AE960" s="9"/>
      <c r="AF960" s="9"/>
      <c r="AG960" s="27"/>
      <c r="AH960" s="27"/>
      <c r="AI960" s="27"/>
      <c r="AJ960" s="42"/>
      <c r="AK960" s="27"/>
      <c r="AL960" s="27"/>
      <c r="AM960" s="27"/>
      <c r="AN960" s="27"/>
      <c r="AO960" s="27"/>
      <c r="AP960" s="27"/>
      <c r="AQ960" s="27"/>
    </row>
    <row r="961" spans="1:43" ht="15.75" customHeight="1">
      <c r="A961" s="27"/>
      <c r="B961" s="9"/>
      <c r="C961" s="27"/>
      <c r="D961" s="9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42"/>
      <c r="Y961" s="42"/>
      <c r="Z961" s="27"/>
      <c r="AA961" s="27"/>
      <c r="AB961" s="27"/>
      <c r="AC961" s="9"/>
      <c r="AD961" s="27"/>
      <c r="AE961" s="9"/>
      <c r="AF961" s="9"/>
      <c r="AG961" s="27"/>
      <c r="AH961" s="27"/>
      <c r="AI961" s="27"/>
      <c r="AJ961" s="42"/>
      <c r="AK961" s="27"/>
      <c r="AL961" s="27"/>
      <c r="AM961" s="27"/>
      <c r="AN961" s="27"/>
      <c r="AO961" s="27"/>
      <c r="AP961" s="27"/>
      <c r="AQ961" s="27"/>
    </row>
    <row r="962" spans="1:43" ht="15.75" customHeight="1">
      <c r="A962" s="27"/>
      <c r="B962" s="9"/>
      <c r="C962" s="27"/>
      <c r="D962" s="9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42"/>
      <c r="Y962" s="42"/>
      <c r="Z962" s="27"/>
      <c r="AA962" s="27"/>
      <c r="AB962" s="27"/>
      <c r="AC962" s="9"/>
      <c r="AD962" s="27"/>
      <c r="AE962" s="9"/>
      <c r="AF962" s="9"/>
      <c r="AG962" s="27"/>
      <c r="AH962" s="27"/>
      <c r="AI962" s="27"/>
      <c r="AJ962" s="42"/>
      <c r="AK962" s="27"/>
      <c r="AL962" s="27"/>
      <c r="AM962" s="27"/>
      <c r="AN962" s="27"/>
      <c r="AO962" s="27"/>
      <c r="AP962" s="27"/>
      <c r="AQ962" s="27"/>
    </row>
    <row r="963" spans="1:43" ht="15.75" customHeight="1">
      <c r="A963" s="27"/>
      <c r="B963" s="9"/>
      <c r="C963" s="27"/>
      <c r="D963" s="9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42"/>
      <c r="Y963" s="42"/>
      <c r="Z963" s="27"/>
      <c r="AA963" s="27"/>
      <c r="AB963" s="27"/>
      <c r="AC963" s="9"/>
      <c r="AD963" s="27"/>
      <c r="AE963" s="9"/>
      <c r="AF963" s="9"/>
      <c r="AG963" s="27"/>
      <c r="AH963" s="27"/>
      <c r="AI963" s="27"/>
      <c r="AJ963" s="42"/>
      <c r="AK963" s="27"/>
      <c r="AL963" s="27"/>
      <c r="AM963" s="27"/>
      <c r="AN963" s="27"/>
      <c r="AO963" s="27"/>
      <c r="AP963" s="27"/>
      <c r="AQ963" s="27"/>
    </row>
    <row r="964" spans="1:43" ht="15.75" customHeight="1">
      <c r="A964" s="27"/>
      <c r="B964" s="9"/>
      <c r="C964" s="27"/>
      <c r="D964" s="9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42"/>
      <c r="Y964" s="42"/>
      <c r="Z964" s="27"/>
      <c r="AA964" s="27"/>
      <c r="AB964" s="27"/>
      <c r="AC964" s="9"/>
      <c r="AD964" s="27"/>
      <c r="AE964" s="9"/>
      <c r="AF964" s="9"/>
      <c r="AG964" s="27"/>
      <c r="AH964" s="27"/>
      <c r="AI964" s="27"/>
      <c r="AJ964" s="42"/>
      <c r="AK964" s="27"/>
      <c r="AL964" s="27"/>
      <c r="AM964" s="27"/>
      <c r="AN964" s="27"/>
      <c r="AO964" s="27"/>
      <c r="AP964" s="27"/>
      <c r="AQ964" s="27"/>
    </row>
    <row r="965" spans="1:43" ht="15.75" customHeight="1">
      <c r="A965" s="27"/>
      <c r="B965" s="9"/>
      <c r="C965" s="27"/>
      <c r="D965" s="9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42"/>
      <c r="Y965" s="42"/>
      <c r="Z965" s="27"/>
      <c r="AA965" s="27"/>
      <c r="AB965" s="27"/>
      <c r="AC965" s="9"/>
      <c r="AD965" s="27"/>
      <c r="AE965" s="9"/>
      <c r="AF965" s="9"/>
      <c r="AG965" s="27"/>
      <c r="AH965" s="27"/>
      <c r="AI965" s="27"/>
      <c r="AJ965" s="42"/>
      <c r="AK965" s="27"/>
      <c r="AL965" s="27"/>
      <c r="AM965" s="27"/>
      <c r="AN965" s="27"/>
      <c r="AO965" s="27"/>
      <c r="AP965" s="27"/>
      <c r="AQ965" s="27"/>
    </row>
    <row r="966" spans="1:43" ht="15.75" customHeight="1">
      <c r="A966" s="27"/>
      <c r="B966" s="9"/>
      <c r="C966" s="27"/>
      <c r="D966" s="9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42"/>
      <c r="Y966" s="42"/>
      <c r="Z966" s="27"/>
      <c r="AA966" s="27"/>
      <c r="AB966" s="27"/>
      <c r="AC966" s="9"/>
      <c r="AD966" s="27"/>
      <c r="AE966" s="9"/>
      <c r="AF966" s="9"/>
      <c r="AG966" s="27"/>
      <c r="AH966" s="27"/>
      <c r="AI966" s="27"/>
      <c r="AJ966" s="42"/>
      <c r="AK966" s="27"/>
      <c r="AL966" s="27"/>
      <c r="AM966" s="27"/>
      <c r="AN966" s="27"/>
      <c r="AO966" s="27"/>
      <c r="AP966" s="27"/>
      <c r="AQ966" s="27"/>
    </row>
    <row r="967" spans="1:43" ht="15.75" customHeight="1">
      <c r="A967" s="27"/>
      <c r="B967" s="9"/>
      <c r="C967" s="27"/>
      <c r="D967" s="9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42"/>
      <c r="Y967" s="42"/>
      <c r="Z967" s="27"/>
      <c r="AA967" s="27"/>
      <c r="AB967" s="27"/>
      <c r="AC967" s="9"/>
      <c r="AD967" s="27"/>
      <c r="AE967" s="9"/>
      <c r="AF967" s="9"/>
      <c r="AG967" s="27"/>
      <c r="AH967" s="27"/>
      <c r="AI967" s="27"/>
      <c r="AJ967" s="42"/>
      <c r="AK967" s="27"/>
      <c r="AL967" s="27"/>
      <c r="AM967" s="27"/>
      <c r="AN967" s="27"/>
      <c r="AO967" s="27"/>
      <c r="AP967" s="27"/>
      <c r="AQ967" s="27"/>
    </row>
    <row r="968" spans="1:43" ht="15.75" customHeight="1">
      <c r="A968" s="27"/>
      <c r="B968" s="9"/>
      <c r="C968" s="27"/>
      <c r="D968" s="9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42"/>
      <c r="Y968" s="42"/>
      <c r="Z968" s="27"/>
      <c r="AA968" s="27"/>
      <c r="AB968" s="27"/>
      <c r="AC968" s="9"/>
      <c r="AD968" s="27"/>
      <c r="AE968" s="9"/>
      <c r="AF968" s="9"/>
      <c r="AG968" s="27"/>
      <c r="AH968" s="27"/>
      <c r="AI968" s="27"/>
      <c r="AJ968" s="42"/>
      <c r="AK968" s="27"/>
      <c r="AL968" s="27"/>
      <c r="AM968" s="27"/>
      <c r="AN968" s="27"/>
      <c r="AO968" s="27"/>
      <c r="AP968" s="27"/>
      <c r="AQ968" s="27"/>
    </row>
    <row r="969" spans="1:43" ht="15.75" customHeight="1">
      <c r="A969" s="27"/>
      <c r="B969" s="9"/>
      <c r="C969" s="27"/>
      <c r="D969" s="9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42"/>
      <c r="Y969" s="42"/>
      <c r="Z969" s="27"/>
      <c r="AA969" s="27"/>
      <c r="AB969" s="27"/>
      <c r="AC969" s="9"/>
      <c r="AD969" s="27"/>
      <c r="AE969" s="9"/>
      <c r="AF969" s="9"/>
      <c r="AG969" s="27"/>
      <c r="AH969" s="27"/>
      <c r="AI969" s="27"/>
      <c r="AJ969" s="42"/>
      <c r="AK969" s="27"/>
      <c r="AL969" s="27"/>
      <c r="AM969" s="27"/>
      <c r="AN969" s="27"/>
      <c r="AO969" s="27"/>
      <c r="AP969" s="27"/>
      <c r="AQ969" s="27"/>
    </row>
    <row r="970" spans="1:43" ht="15.75" customHeight="1">
      <c r="A970" s="27"/>
      <c r="B970" s="9"/>
      <c r="C970" s="27"/>
      <c r="D970" s="9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42"/>
      <c r="Y970" s="42"/>
      <c r="Z970" s="27"/>
      <c r="AA970" s="27"/>
      <c r="AB970" s="27"/>
      <c r="AC970" s="9"/>
      <c r="AD970" s="27"/>
      <c r="AE970" s="9"/>
      <c r="AF970" s="9"/>
      <c r="AG970" s="27"/>
      <c r="AH970" s="27"/>
      <c r="AI970" s="27"/>
      <c r="AJ970" s="42"/>
      <c r="AK970" s="27"/>
      <c r="AL970" s="27"/>
      <c r="AM970" s="27"/>
      <c r="AN970" s="27"/>
      <c r="AO970" s="27"/>
      <c r="AP970" s="27"/>
      <c r="AQ970" s="27"/>
    </row>
    <row r="971" spans="1:43" ht="15.75" customHeight="1">
      <c r="A971" s="27"/>
      <c r="B971" s="9"/>
      <c r="C971" s="27"/>
      <c r="D971" s="9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42"/>
      <c r="Y971" s="42"/>
      <c r="Z971" s="27"/>
      <c r="AA971" s="27"/>
      <c r="AB971" s="27"/>
      <c r="AC971" s="9"/>
      <c r="AD971" s="27"/>
      <c r="AE971" s="9"/>
      <c r="AF971" s="9"/>
      <c r="AG971" s="27"/>
      <c r="AH971" s="27"/>
      <c r="AI971" s="27"/>
      <c r="AJ971" s="42"/>
      <c r="AK971" s="27"/>
      <c r="AL971" s="27"/>
      <c r="AM971" s="27"/>
      <c r="AN971" s="27"/>
      <c r="AO971" s="27"/>
      <c r="AP971" s="27"/>
      <c r="AQ971" s="27"/>
    </row>
    <row r="972" spans="1:43" ht="15.75" customHeight="1">
      <c r="A972" s="27"/>
      <c r="B972" s="9"/>
      <c r="C972" s="27"/>
      <c r="D972" s="9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42"/>
      <c r="Y972" s="42"/>
      <c r="Z972" s="27"/>
      <c r="AA972" s="27"/>
      <c r="AB972" s="27"/>
      <c r="AC972" s="9"/>
      <c r="AD972" s="27"/>
      <c r="AE972" s="9"/>
      <c r="AF972" s="9"/>
      <c r="AG972" s="27"/>
      <c r="AH972" s="27"/>
      <c r="AI972" s="27"/>
      <c r="AJ972" s="42"/>
      <c r="AK972" s="27"/>
      <c r="AL972" s="27"/>
      <c r="AM972" s="27"/>
      <c r="AN972" s="27"/>
      <c r="AO972" s="27"/>
      <c r="AP972" s="27"/>
      <c r="AQ972" s="27"/>
    </row>
    <row r="973" spans="1:43" ht="15.75" customHeight="1">
      <c r="A973" s="27"/>
      <c r="B973" s="9"/>
      <c r="C973" s="27"/>
      <c r="D973" s="9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42"/>
      <c r="Y973" s="42"/>
      <c r="Z973" s="27"/>
      <c r="AA973" s="27"/>
      <c r="AB973" s="27"/>
      <c r="AC973" s="9"/>
      <c r="AD973" s="27"/>
      <c r="AE973" s="9"/>
      <c r="AF973" s="9"/>
      <c r="AG973" s="27"/>
      <c r="AH973" s="27"/>
      <c r="AI973" s="27"/>
      <c r="AJ973" s="42"/>
      <c r="AK973" s="27"/>
      <c r="AL973" s="27"/>
      <c r="AM973" s="27"/>
      <c r="AN973" s="27"/>
      <c r="AO973" s="27"/>
      <c r="AP973" s="27"/>
      <c r="AQ973" s="27"/>
    </row>
    <row r="974" spans="1:43" ht="15.75" customHeight="1">
      <c r="A974" s="27"/>
      <c r="B974" s="9"/>
      <c r="C974" s="27"/>
      <c r="D974" s="9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42"/>
      <c r="Y974" s="42"/>
      <c r="Z974" s="27"/>
      <c r="AA974" s="27"/>
      <c r="AB974" s="27"/>
      <c r="AC974" s="9"/>
      <c r="AD974" s="27"/>
      <c r="AE974" s="9"/>
      <c r="AF974" s="9"/>
      <c r="AG974" s="27"/>
      <c r="AH974" s="27"/>
      <c r="AI974" s="27"/>
      <c r="AJ974" s="42"/>
      <c r="AK974" s="27"/>
      <c r="AL974" s="27"/>
      <c r="AM974" s="27"/>
      <c r="AN974" s="27"/>
      <c r="AO974" s="27"/>
      <c r="AP974" s="27"/>
      <c r="AQ974" s="27"/>
    </row>
    <row r="975" spans="1:43" ht="15.75" customHeight="1">
      <c r="A975" s="27"/>
      <c r="B975" s="9"/>
      <c r="C975" s="27"/>
      <c r="D975" s="9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42"/>
      <c r="Y975" s="42"/>
      <c r="Z975" s="27"/>
      <c r="AA975" s="27"/>
      <c r="AB975" s="27"/>
      <c r="AC975" s="9"/>
      <c r="AD975" s="27"/>
      <c r="AE975" s="9"/>
      <c r="AF975" s="9"/>
      <c r="AG975" s="27"/>
      <c r="AH975" s="27"/>
      <c r="AI975" s="27"/>
      <c r="AJ975" s="42"/>
      <c r="AK975" s="27"/>
      <c r="AL975" s="27"/>
      <c r="AM975" s="27"/>
      <c r="AN975" s="27"/>
      <c r="AO975" s="27"/>
      <c r="AP975" s="27"/>
      <c r="AQ975" s="27"/>
    </row>
    <row r="976" spans="1:43" ht="15.75" customHeight="1">
      <c r="A976" s="27"/>
      <c r="B976" s="9"/>
      <c r="C976" s="27"/>
      <c r="D976" s="9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42"/>
      <c r="Y976" s="42"/>
      <c r="Z976" s="27"/>
      <c r="AA976" s="27"/>
      <c r="AB976" s="27"/>
      <c r="AC976" s="9"/>
      <c r="AD976" s="27"/>
      <c r="AE976" s="9"/>
      <c r="AF976" s="9"/>
      <c r="AG976" s="27"/>
      <c r="AH976" s="27"/>
      <c r="AI976" s="27"/>
      <c r="AJ976" s="42"/>
      <c r="AK976" s="27"/>
      <c r="AL976" s="27"/>
      <c r="AM976" s="27"/>
      <c r="AN976" s="27"/>
      <c r="AO976" s="27"/>
      <c r="AP976" s="27"/>
      <c r="AQ976" s="27"/>
    </row>
    <row r="977" spans="1:43" ht="15.75" customHeight="1">
      <c r="A977" s="27"/>
      <c r="B977" s="9"/>
      <c r="C977" s="27"/>
      <c r="D977" s="9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42"/>
      <c r="Y977" s="42"/>
      <c r="Z977" s="27"/>
      <c r="AA977" s="27"/>
      <c r="AB977" s="27"/>
      <c r="AC977" s="9"/>
      <c r="AD977" s="27"/>
      <c r="AE977" s="9"/>
      <c r="AF977" s="9"/>
      <c r="AG977" s="27"/>
      <c r="AH977" s="27"/>
      <c r="AI977" s="27"/>
      <c r="AJ977" s="42"/>
      <c r="AK977" s="27"/>
      <c r="AL977" s="27"/>
      <c r="AM977" s="27"/>
      <c r="AN977" s="27"/>
      <c r="AO977" s="27"/>
      <c r="AP977" s="27"/>
      <c r="AQ977" s="27"/>
    </row>
    <row r="978" spans="1:43" ht="15.75" customHeight="1">
      <c r="A978" s="27"/>
      <c r="B978" s="9"/>
      <c r="C978" s="27"/>
      <c r="D978" s="9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42"/>
      <c r="Y978" s="42"/>
      <c r="Z978" s="27"/>
      <c r="AA978" s="27"/>
      <c r="AB978" s="27"/>
      <c r="AC978" s="9"/>
      <c r="AD978" s="27"/>
      <c r="AE978" s="9"/>
      <c r="AF978" s="9"/>
      <c r="AG978" s="27"/>
      <c r="AH978" s="27"/>
      <c r="AI978" s="27"/>
      <c r="AJ978" s="42"/>
      <c r="AK978" s="27"/>
      <c r="AL978" s="27"/>
      <c r="AM978" s="27"/>
      <c r="AN978" s="27"/>
      <c r="AO978" s="27"/>
      <c r="AP978" s="27"/>
      <c r="AQ978" s="27"/>
    </row>
    <row r="979" spans="1:43" ht="15.75" customHeight="1">
      <c r="A979" s="27"/>
      <c r="B979" s="9"/>
      <c r="C979" s="27"/>
      <c r="D979" s="9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42"/>
      <c r="Y979" s="42"/>
      <c r="Z979" s="27"/>
      <c r="AA979" s="27"/>
      <c r="AB979" s="27"/>
      <c r="AC979" s="9"/>
      <c r="AD979" s="27"/>
      <c r="AE979" s="9"/>
      <c r="AF979" s="9"/>
      <c r="AG979" s="27"/>
      <c r="AH979" s="27"/>
      <c r="AI979" s="27"/>
      <c r="AJ979" s="42"/>
      <c r="AK979" s="27"/>
      <c r="AL979" s="27"/>
      <c r="AM979" s="27"/>
      <c r="AN979" s="27"/>
      <c r="AO979" s="27"/>
      <c r="AP979" s="27"/>
      <c r="AQ979" s="27"/>
    </row>
    <row r="980" spans="1:43" ht="15.75" customHeight="1">
      <c r="A980" s="27"/>
      <c r="B980" s="9"/>
      <c r="C980" s="27"/>
      <c r="D980" s="9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42"/>
      <c r="Y980" s="42"/>
      <c r="Z980" s="27"/>
      <c r="AA980" s="27"/>
      <c r="AB980" s="27"/>
      <c r="AC980" s="9"/>
      <c r="AD980" s="27"/>
      <c r="AE980" s="9"/>
      <c r="AF980" s="9"/>
      <c r="AG980" s="27"/>
      <c r="AH980" s="27"/>
      <c r="AI980" s="27"/>
      <c r="AJ980" s="42"/>
      <c r="AK980" s="27"/>
      <c r="AL980" s="27"/>
      <c r="AM980" s="27"/>
      <c r="AN980" s="27"/>
      <c r="AO980" s="27"/>
      <c r="AP980" s="27"/>
      <c r="AQ980" s="27"/>
    </row>
    <row r="981" spans="1:43" ht="15.75" customHeight="1">
      <c r="A981" s="27"/>
      <c r="B981" s="9"/>
      <c r="C981" s="27"/>
      <c r="D981" s="9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42"/>
      <c r="Y981" s="42"/>
      <c r="Z981" s="27"/>
      <c r="AA981" s="27"/>
      <c r="AB981" s="27"/>
      <c r="AC981" s="9"/>
      <c r="AD981" s="27"/>
      <c r="AE981" s="9"/>
      <c r="AF981" s="9"/>
      <c r="AG981" s="27"/>
      <c r="AH981" s="27"/>
      <c r="AI981" s="27"/>
      <c r="AJ981" s="42"/>
      <c r="AK981" s="27"/>
      <c r="AL981" s="27"/>
      <c r="AM981" s="27"/>
      <c r="AN981" s="27"/>
      <c r="AO981" s="27"/>
      <c r="AP981" s="27"/>
      <c r="AQ981" s="27"/>
    </row>
    <row r="982" spans="1:43" ht="15.75" customHeight="1">
      <c r="A982" s="27"/>
      <c r="B982" s="9"/>
      <c r="C982" s="27"/>
      <c r="D982" s="9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42"/>
      <c r="Y982" s="42"/>
      <c r="Z982" s="27"/>
      <c r="AA982" s="27"/>
      <c r="AB982" s="27"/>
      <c r="AC982" s="9"/>
      <c r="AD982" s="27"/>
      <c r="AE982" s="9"/>
      <c r="AF982" s="9"/>
      <c r="AG982" s="27"/>
      <c r="AH982" s="27"/>
      <c r="AI982" s="27"/>
      <c r="AJ982" s="42"/>
      <c r="AK982" s="27"/>
      <c r="AL982" s="27"/>
      <c r="AM982" s="27"/>
      <c r="AN982" s="27"/>
      <c r="AO982" s="27"/>
      <c r="AP982" s="27"/>
      <c r="AQ982" s="27"/>
    </row>
    <row r="983" spans="1:43" ht="15.75" customHeight="1">
      <c r="A983" s="27"/>
      <c r="B983" s="9"/>
      <c r="C983" s="27"/>
      <c r="D983" s="9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42"/>
      <c r="Y983" s="42"/>
      <c r="Z983" s="27"/>
      <c r="AA983" s="27"/>
      <c r="AB983" s="27"/>
      <c r="AC983" s="9"/>
      <c r="AD983" s="27"/>
      <c r="AE983" s="9"/>
      <c r="AF983" s="9"/>
      <c r="AG983" s="27"/>
      <c r="AH983" s="27"/>
      <c r="AI983" s="27"/>
      <c r="AJ983" s="42"/>
      <c r="AK983" s="27"/>
      <c r="AL983" s="27"/>
      <c r="AM983" s="27"/>
      <c r="AN983" s="27"/>
      <c r="AO983" s="27"/>
      <c r="AP983" s="27"/>
      <c r="AQ983" s="27"/>
    </row>
    <row r="984" spans="1:43" ht="15.75" customHeight="1">
      <c r="A984" s="27"/>
      <c r="B984" s="9"/>
      <c r="C984" s="27"/>
      <c r="D984" s="9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42"/>
      <c r="Y984" s="42"/>
      <c r="Z984" s="27"/>
      <c r="AA984" s="27"/>
      <c r="AB984" s="27"/>
      <c r="AC984" s="9"/>
      <c r="AD984" s="27"/>
      <c r="AE984" s="9"/>
      <c r="AF984" s="9"/>
      <c r="AG984" s="27"/>
      <c r="AH984" s="27"/>
      <c r="AI984" s="27"/>
      <c r="AJ984" s="42"/>
      <c r="AK984" s="27"/>
      <c r="AL984" s="27"/>
      <c r="AM984" s="27"/>
      <c r="AN984" s="27"/>
      <c r="AO984" s="27"/>
      <c r="AP984" s="27"/>
      <c r="AQ984" s="27"/>
    </row>
    <row r="985" spans="1:43" ht="15.75" customHeight="1">
      <c r="A985" s="27"/>
      <c r="B985" s="9"/>
      <c r="C985" s="27"/>
      <c r="D985" s="9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42"/>
      <c r="Y985" s="42"/>
      <c r="Z985" s="27"/>
      <c r="AA985" s="27"/>
      <c r="AB985" s="27"/>
      <c r="AC985" s="9"/>
      <c r="AD985" s="27"/>
      <c r="AE985" s="9"/>
      <c r="AF985" s="9"/>
      <c r="AG985" s="27"/>
      <c r="AH985" s="27"/>
      <c r="AI985" s="27"/>
      <c r="AJ985" s="42"/>
      <c r="AK985" s="27"/>
      <c r="AL985" s="27"/>
      <c r="AM985" s="27"/>
      <c r="AN985" s="27"/>
      <c r="AO985" s="27"/>
      <c r="AP985" s="27"/>
      <c r="AQ985" s="27"/>
    </row>
    <row r="986" spans="1:43" ht="15.75" customHeight="1">
      <c r="A986" s="27"/>
      <c r="B986" s="9"/>
      <c r="C986" s="27"/>
      <c r="D986" s="9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42"/>
      <c r="Y986" s="42"/>
      <c r="Z986" s="27"/>
      <c r="AA986" s="27"/>
      <c r="AB986" s="27"/>
      <c r="AC986" s="9"/>
      <c r="AD986" s="27"/>
      <c r="AE986" s="9"/>
      <c r="AF986" s="9"/>
      <c r="AG986" s="27"/>
      <c r="AH986" s="27"/>
      <c r="AI986" s="27"/>
      <c r="AJ986" s="42"/>
      <c r="AK986" s="27"/>
      <c r="AL986" s="27"/>
      <c r="AM986" s="27"/>
      <c r="AN986" s="27"/>
      <c r="AO986" s="27"/>
      <c r="AP986" s="27"/>
      <c r="AQ986" s="27"/>
    </row>
    <row r="987" spans="1:43" ht="15.75" customHeight="1">
      <c r="A987" s="27"/>
      <c r="B987" s="9"/>
      <c r="C987" s="27"/>
      <c r="D987" s="9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42"/>
      <c r="Y987" s="42"/>
      <c r="Z987" s="27"/>
      <c r="AA987" s="27"/>
      <c r="AB987" s="27"/>
      <c r="AC987" s="9"/>
      <c r="AD987" s="27"/>
      <c r="AE987" s="9"/>
      <c r="AF987" s="9"/>
      <c r="AG987" s="27"/>
      <c r="AH987" s="27"/>
      <c r="AI987" s="27"/>
      <c r="AJ987" s="42"/>
      <c r="AK987" s="27"/>
      <c r="AL987" s="27"/>
      <c r="AM987" s="27"/>
      <c r="AN987" s="27"/>
      <c r="AO987" s="27"/>
      <c r="AP987" s="27"/>
      <c r="AQ987" s="27"/>
    </row>
    <row r="988" spans="1:43" ht="15.75" customHeight="1">
      <c r="A988" s="27"/>
      <c r="B988" s="9"/>
      <c r="C988" s="27"/>
      <c r="D988" s="9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42"/>
      <c r="Y988" s="42"/>
      <c r="Z988" s="27"/>
      <c r="AA988" s="27"/>
      <c r="AB988" s="27"/>
      <c r="AC988" s="9"/>
      <c r="AD988" s="27"/>
      <c r="AE988" s="9"/>
      <c r="AF988" s="9"/>
      <c r="AG988" s="27"/>
      <c r="AH988" s="27"/>
      <c r="AI988" s="27"/>
      <c r="AJ988" s="42"/>
      <c r="AK988" s="27"/>
      <c r="AL988" s="27"/>
      <c r="AM988" s="27"/>
      <c r="AN988" s="27"/>
      <c r="AO988" s="27"/>
      <c r="AP988" s="27"/>
      <c r="AQ988" s="27"/>
    </row>
    <row r="989" spans="1:43" ht="15.75" customHeight="1">
      <c r="A989" s="27"/>
      <c r="B989" s="9"/>
      <c r="C989" s="27"/>
      <c r="D989" s="9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42"/>
      <c r="Y989" s="42"/>
      <c r="Z989" s="27"/>
      <c r="AA989" s="27"/>
      <c r="AB989" s="27"/>
      <c r="AC989" s="9"/>
      <c r="AD989" s="27"/>
      <c r="AE989" s="9"/>
      <c r="AF989" s="9"/>
      <c r="AG989" s="27"/>
      <c r="AH989" s="27"/>
      <c r="AI989" s="27"/>
      <c r="AJ989" s="42"/>
      <c r="AK989" s="27"/>
      <c r="AL989" s="27"/>
      <c r="AM989" s="27"/>
      <c r="AN989" s="27"/>
      <c r="AO989" s="27"/>
      <c r="AP989" s="27"/>
      <c r="AQ989" s="27"/>
    </row>
    <row r="990" spans="1:43" ht="15.75" customHeight="1">
      <c r="A990" s="27"/>
      <c r="B990" s="9"/>
      <c r="C990" s="27"/>
      <c r="D990" s="9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42"/>
      <c r="Y990" s="42"/>
      <c r="Z990" s="27"/>
      <c r="AA990" s="27"/>
      <c r="AB990" s="27"/>
      <c r="AC990" s="9"/>
      <c r="AD990" s="27"/>
      <c r="AE990" s="9"/>
      <c r="AF990" s="9"/>
      <c r="AG990" s="27"/>
      <c r="AH990" s="27"/>
      <c r="AI990" s="27"/>
      <c r="AJ990" s="42"/>
      <c r="AK990" s="27"/>
      <c r="AL990" s="27"/>
      <c r="AM990" s="27"/>
      <c r="AN990" s="27"/>
      <c r="AO990" s="27"/>
      <c r="AP990" s="27"/>
      <c r="AQ990" s="27"/>
    </row>
    <row r="991" spans="1:43" ht="15.75" customHeight="1">
      <c r="A991" s="27"/>
      <c r="B991" s="9"/>
      <c r="C991" s="27"/>
      <c r="D991" s="9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42"/>
      <c r="Y991" s="42"/>
      <c r="Z991" s="27"/>
      <c r="AA991" s="27"/>
      <c r="AB991" s="27"/>
      <c r="AC991" s="9"/>
      <c r="AD991" s="27"/>
      <c r="AE991" s="9"/>
      <c r="AF991" s="9"/>
      <c r="AG991" s="27"/>
      <c r="AH991" s="27"/>
      <c r="AI991" s="27"/>
      <c r="AJ991" s="42"/>
      <c r="AK991" s="27"/>
      <c r="AL991" s="27"/>
      <c r="AM991" s="27"/>
      <c r="AN991" s="27"/>
      <c r="AO991" s="27"/>
      <c r="AP991" s="27"/>
      <c r="AQ991" s="27"/>
    </row>
    <row r="992" spans="1:43" ht="15.75" customHeight="1">
      <c r="A992" s="27"/>
      <c r="B992" s="9"/>
      <c r="C992" s="27"/>
      <c r="D992" s="9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42"/>
      <c r="Y992" s="42"/>
      <c r="Z992" s="27"/>
      <c r="AA992" s="27"/>
      <c r="AB992" s="27"/>
      <c r="AC992" s="9"/>
      <c r="AD992" s="27"/>
      <c r="AE992" s="9"/>
      <c r="AF992" s="9"/>
      <c r="AG992" s="27"/>
      <c r="AH992" s="27"/>
      <c r="AI992" s="27"/>
      <c r="AJ992" s="42"/>
      <c r="AK992" s="27"/>
      <c r="AL992" s="27"/>
      <c r="AM992" s="27"/>
      <c r="AN992" s="27"/>
      <c r="AO992" s="27"/>
      <c r="AP992" s="27"/>
      <c r="AQ992" s="27"/>
    </row>
    <row r="993" spans="1:43" ht="15.75" customHeight="1">
      <c r="A993" s="27"/>
      <c r="B993" s="9"/>
      <c r="C993" s="27"/>
      <c r="D993" s="9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42"/>
      <c r="Y993" s="42"/>
      <c r="Z993" s="27"/>
      <c r="AA993" s="27"/>
      <c r="AB993" s="27"/>
      <c r="AC993" s="9"/>
      <c r="AD993" s="27"/>
      <c r="AE993" s="9"/>
      <c r="AF993" s="9"/>
      <c r="AG993" s="27"/>
      <c r="AH993" s="27"/>
      <c r="AI993" s="27"/>
      <c r="AJ993" s="42"/>
      <c r="AK993" s="27"/>
      <c r="AL993" s="27"/>
      <c r="AM993" s="27"/>
      <c r="AN993" s="27"/>
      <c r="AO993" s="27"/>
      <c r="AP993" s="27"/>
      <c r="AQ993" s="27"/>
    </row>
    <row r="994" spans="1:43" ht="15.75" customHeight="1">
      <c r="A994" s="27"/>
      <c r="B994" s="9"/>
      <c r="C994" s="27"/>
      <c r="D994" s="9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42"/>
      <c r="Y994" s="42"/>
      <c r="Z994" s="27"/>
      <c r="AA994" s="27"/>
      <c r="AB994" s="27"/>
      <c r="AC994" s="9"/>
      <c r="AD994" s="27"/>
      <c r="AE994" s="9"/>
      <c r="AF994" s="9"/>
      <c r="AG994" s="27"/>
      <c r="AH994" s="27"/>
      <c r="AI994" s="27"/>
      <c r="AJ994" s="42"/>
      <c r="AK994" s="27"/>
      <c r="AL994" s="27"/>
      <c r="AM994" s="27"/>
      <c r="AN994" s="27"/>
      <c r="AO994" s="27"/>
      <c r="AP994" s="27"/>
      <c r="AQ994" s="27"/>
    </row>
    <row r="995" spans="1:43" ht="15.75" customHeight="1">
      <c r="A995" s="27"/>
      <c r="B995" s="9"/>
      <c r="C995" s="27"/>
      <c r="D995" s="9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42"/>
      <c r="Y995" s="42"/>
      <c r="Z995" s="27"/>
      <c r="AA995" s="27"/>
      <c r="AB995" s="27"/>
      <c r="AC995" s="9"/>
      <c r="AD995" s="27"/>
      <c r="AE995" s="9"/>
      <c r="AF995" s="9"/>
      <c r="AG995" s="27"/>
      <c r="AH995" s="27"/>
      <c r="AI995" s="27"/>
      <c r="AJ995" s="42"/>
      <c r="AK995" s="27"/>
      <c r="AL995" s="27"/>
      <c r="AM995" s="27"/>
      <c r="AN995" s="27"/>
      <c r="AO995" s="27"/>
      <c r="AP995" s="27"/>
      <c r="AQ995" s="27"/>
    </row>
    <row r="996" spans="1:43" ht="15.75" customHeight="1">
      <c r="A996" s="27"/>
      <c r="B996" s="9"/>
      <c r="C996" s="27"/>
      <c r="D996" s="9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42"/>
      <c r="Y996" s="42"/>
      <c r="Z996" s="27"/>
      <c r="AA996" s="27"/>
      <c r="AB996" s="27"/>
      <c r="AC996" s="9"/>
      <c r="AD996" s="27"/>
      <c r="AE996" s="9"/>
      <c r="AF996" s="9"/>
      <c r="AG996" s="27"/>
      <c r="AH996" s="27"/>
      <c r="AI996" s="27"/>
      <c r="AJ996" s="42"/>
      <c r="AK996" s="27"/>
      <c r="AL996" s="27"/>
      <c r="AM996" s="27"/>
      <c r="AN996" s="27"/>
      <c r="AO996" s="27"/>
      <c r="AP996" s="27"/>
      <c r="AQ996" s="27"/>
    </row>
    <row r="997" spans="1:43" ht="15.75" customHeight="1">
      <c r="A997" s="27"/>
      <c r="B997" s="9"/>
      <c r="C997" s="27"/>
      <c r="D997" s="9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42"/>
      <c r="Y997" s="42"/>
      <c r="Z997" s="27"/>
      <c r="AA997" s="27"/>
      <c r="AB997" s="27"/>
      <c r="AC997" s="9"/>
      <c r="AD997" s="27"/>
      <c r="AE997" s="9"/>
      <c r="AF997" s="9"/>
      <c r="AG997" s="27"/>
      <c r="AH997" s="27"/>
      <c r="AI997" s="27"/>
      <c r="AJ997" s="42"/>
      <c r="AK997" s="27"/>
      <c r="AL997" s="27"/>
      <c r="AM997" s="27"/>
      <c r="AN997" s="27"/>
      <c r="AO997" s="27"/>
      <c r="AP997" s="27"/>
      <c r="AQ997" s="27"/>
    </row>
    <row r="998" spans="1:43" ht="15.75" customHeight="1">
      <c r="A998" s="27"/>
      <c r="B998" s="9"/>
      <c r="C998" s="27"/>
      <c r="D998" s="9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42"/>
      <c r="Y998" s="42"/>
      <c r="Z998" s="27"/>
      <c r="AA998" s="27"/>
      <c r="AB998" s="27"/>
      <c r="AC998" s="9"/>
      <c r="AD998" s="27"/>
      <c r="AE998" s="9"/>
      <c r="AF998" s="9"/>
      <c r="AG998" s="27"/>
      <c r="AH998" s="27"/>
      <c r="AI998" s="27"/>
      <c r="AJ998" s="42"/>
      <c r="AK998" s="27"/>
      <c r="AL998" s="27"/>
      <c r="AM998" s="27"/>
      <c r="AN998" s="27"/>
      <c r="AO998" s="27"/>
      <c r="AP998" s="27"/>
      <c r="AQ998" s="27"/>
    </row>
    <row r="999" spans="1:43" ht="15.75" customHeight="1">
      <c r="A999" s="27"/>
      <c r="B999" s="9"/>
      <c r="C999" s="27"/>
      <c r="D999" s="9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42"/>
      <c r="Y999" s="42"/>
      <c r="Z999" s="27"/>
      <c r="AA999" s="27"/>
      <c r="AB999" s="27"/>
      <c r="AC999" s="9"/>
      <c r="AD999" s="27"/>
      <c r="AE999" s="9"/>
      <c r="AF999" s="9"/>
      <c r="AG999" s="27"/>
      <c r="AH999" s="27"/>
      <c r="AI999" s="27"/>
      <c r="AJ999" s="42"/>
      <c r="AK999" s="27"/>
      <c r="AL999" s="27"/>
      <c r="AM999" s="27"/>
      <c r="AN999" s="27"/>
      <c r="AO999" s="27"/>
      <c r="AP999" s="27"/>
      <c r="AQ999" s="27"/>
    </row>
    <row r="1000" spans="1:43" ht="15.75" customHeight="1">
      <c r="A1000" s="27"/>
      <c r="B1000" s="9"/>
      <c r="C1000" s="27"/>
      <c r="D1000" s="9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42"/>
      <c r="Y1000" s="42"/>
      <c r="Z1000" s="27"/>
      <c r="AA1000" s="27"/>
      <c r="AB1000" s="27"/>
      <c r="AC1000" s="9"/>
      <c r="AD1000" s="27"/>
      <c r="AE1000" s="9"/>
      <c r="AF1000" s="9"/>
      <c r="AG1000" s="27"/>
      <c r="AH1000" s="27"/>
      <c r="AI1000" s="27"/>
      <c r="AJ1000" s="42"/>
      <c r="AK1000" s="27"/>
      <c r="AL1000" s="27"/>
      <c r="AM1000" s="27"/>
      <c r="AN1000" s="27"/>
      <c r="AO1000" s="27"/>
      <c r="AP1000" s="27"/>
      <c r="AQ1000" s="27"/>
    </row>
    <row r="1001" spans="1:43" ht="15.75" customHeight="1">
      <c r="A1001" s="27"/>
      <c r="B1001" s="9"/>
      <c r="C1001" s="27"/>
      <c r="D1001" s="9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42"/>
      <c r="Y1001" s="42"/>
      <c r="Z1001" s="27"/>
      <c r="AA1001" s="27"/>
      <c r="AB1001" s="27"/>
      <c r="AC1001" s="9"/>
      <c r="AD1001" s="27"/>
      <c r="AE1001" s="9"/>
      <c r="AF1001" s="9"/>
      <c r="AG1001" s="27"/>
      <c r="AH1001" s="27"/>
      <c r="AI1001" s="27"/>
      <c r="AJ1001" s="42"/>
      <c r="AK1001" s="27"/>
      <c r="AL1001" s="27"/>
      <c r="AM1001" s="27"/>
      <c r="AN1001" s="27"/>
      <c r="AO1001" s="27"/>
      <c r="AP1001" s="27"/>
      <c r="AQ1001" s="27"/>
    </row>
    <row r="1002" spans="1:43" ht="15.75" customHeight="1">
      <c r="A1002" s="27"/>
      <c r="B1002" s="9"/>
      <c r="C1002" s="27"/>
      <c r="D1002" s="9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42"/>
      <c r="Y1002" s="42"/>
      <c r="Z1002" s="27"/>
      <c r="AA1002" s="27"/>
      <c r="AB1002" s="27"/>
      <c r="AC1002" s="9"/>
      <c r="AD1002" s="27"/>
      <c r="AE1002" s="9"/>
      <c r="AF1002" s="9"/>
      <c r="AG1002" s="27"/>
      <c r="AH1002" s="27"/>
      <c r="AI1002" s="27"/>
      <c r="AJ1002" s="42"/>
      <c r="AK1002" s="27"/>
      <c r="AL1002" s="27"/>
      <c r="AM1002" s="27"/>
      <c r="AN1002" s="27"/>
      <c r="AO1002" s="27"/>
      <c r="AP1002" s="27"/>
      <c r="AQ1002" s="27"/>
    </row>
    <row r="1003" spans="1:43" ht="15.75" customHeight="1">
      <c r="A1003" s="27"/>
      <c r="B1003" s="9"/>
      <c r="C1003" s="27"/>
      <c r="D1003" s="9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42"/>
      <c r="Y1003" s="42"/>
      <c r="Z1003" s="27"/>
      <c r="AA1003" s="27"/>
      <c r="AB1003" s="27"/>
      <c r="AC1003" s="9"/>
      <c r="AD1003" s="27"/>
      <c r="AE1003" s="9"/>
      <c r="AF1003" s="9"/>
      <c r="AG1003" s="27"/>
      <c r="AH1003" s="27"/>
      <c r="AI1003" s="27"/>
      <c r="AJ1003" s="42"/>
      <c r="AK1003" s="27"/>
      <c r="AL1003" s="27"/>
      <c r="AM1003" s="27"/>
      <c r="AN1003" s="27"/>
      <c r="AO1003" s="27"/>
      <c r="AP1003" s="27"/>
      <c r="AQ1003" s="27"/>
    </row>
    <row r="1004" spans="1:43" ht="15.75" customHeight="1">
      <c r="A1004" s="27"/>
      <c r="B1004" s="9"/>
      <c r="C1004" s="27"/>
      <c r="D1004" s="9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42"/>
      <c r="Y1004" s="42"/>
      <c r="Z1004" s="27"/>
      <c r="AA1004" s="27"/>
      <c r="AB1004" s="27"/>
      <c r="AC1004" s="9"/>
      <c r="AD1004" s="27"/>
      <c r="AE1004" s="9"/>
      <c r="AF1004" s="9"/>
      <c r="AG1004" s="27"/>
      <c r="AH1004" s="27"/>
      <c r="AI1004" s="27"/>
      <c r="AJ1004" s="42"/>
      <c r="AK1004" s="27"/>
      <c r="AL1004" s="27"/>
      <c r="AM1004" s="27"/>
      <c r="AN1004" s="27"/>
      <c r="AO1004" s="27"/>
      <c r="AP1004" s="27"/>
      <c r="AQ1004" s="27"/>
    </row>
    <row r="1005" spans="1:43" ht="15.75" customHeight="1">
      <c r="A1005" s="27"/>
      <c r="B1005" s="9"/>
      <c r="C1005" s="27"/>
      <c r="D1005" s="9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42"/>
      <c r="Y1005" s="42"/>
      <c r="Z1005" s="27"/>
      <c r="AA1005" s="27"/>
      <c r="AB1005" s="27"/>
      <c r="AC1005" s="9"/>
      <c r="AD1005" s="27"/>
      <c r="AE1005" s="9"/>
      <c r="AF1005" s="9"/>
      <c r="AG1005" s="27"/>
      <c r="AH1005" s="27"/>
      <c r="AI1005" s="27"/>
      <c r="AJ1005" s="42"/>
      <c r="AK1005" s="27"/>
      <c r="AL1005" s="27"/>
      <c r="AM1005" s="27"/>
      <c r="AN1005" s="27"/>
      <c r="AO1005" s="27"/>
      <c r="AP1005" s="27"/>
      <c r="AQ1005" s="27"/>
    </row>
    <row r="1006" spans="1:43" ht="15.75" customHeight="1">
      <c r="A1006" s="27"/>
      <c r="B1006" s="9"/>
      <c r="C1006" s="27"/>
      <c r="D1006" s="9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42"/>
      <c r="Y1006" s="42"/>
      <c r="Z1006" s="27"/>
      <c r="AA1006" s="27"/>
      <c r="AB1006" s="27"/>
      <c r="AC1006" s="9"/>
      <c r="AD1006" s="27"/>
      <c r="AE1006" s="9"/>
      <c r="AF1006" s="9"/>
      <c r="AG1006" s="27"/>
      <c r="AH1006" s="27"/>
      <c r="AI1006" s="27"/>
      <c r="AJ1006" s="42"/>
      <c r="AK1006" s="27"/>
      <c r="AL1006" s="27"/>
      <c r="AM1006" s="27"/>
      <c r="AN1006" s="27"/>
      <c r="AO1006" s="27"/>
      <c r="AP1006" s="27"/>
      <c r="AQ1006" s="27"/>
    </row>
    <row r="1007" spans="1:43" ht="15.75" customHeight="1">
      <c r="A1007" s="27"/>
      <c r="B1007" s="9"/>
      <c r="C1007" s="27"/>
      <c r="D1007" s="9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42"/>
      <c r="Y1007" s="42"/>
      <c r="Z1007" s="27"/>
      <c r="AA1007" s="27"/>
      <c r="AB1007" s="27"/>
      <c r="AC1007" s="9"/>
      <c r="AD1007" s="27"/>
      <c r="AE1007" s="9"/>
      <c r="AF1007" s="9"/>
      <c r="AG1007" s="27"/>
      <c r="AH1007" s="27"/>
      <c r="AI1007" s="27"/>
      <c r="AJ1007" s="42"/>
      <c r="AK1007" s="27"/>
      <c r="AL1007" s="27"/>
      <c r="AM1007" s="27"/>
      <c r="AN1007" s="27"/>
      <c r="AO1007" s="27"/>
      <c r="AP1007" s="27"/>
      <c r="AQ1007" s="27"/>
    </row>
    <row r="1008" spans="1:43" ht="15.75" customHeight="1">
      <c r="A1008" s="27"/>
      <c r="B1008" s="9"/>
      <c r="C1008" s="27"/>
      <c r="D1008" s="9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42"/>
      <c r="Y1008" s="42"/>
      <c r="Z1008" s="27"/>
      <c r="AA1008" s="27"/>
      <c r="AB1008" s="27"/>
      <c r="AC1008" s="9"/>
      <c r="AD1008" s="27"/>
      <c r="AE1008" s="9"/>
      <c r="AF1008" s="9"/>
      <c r="AG1008" s="27"/>
      <c r="AH1008" s="27"/>
      <c r="AI1008" s="27"/>
      <c r="AJ1008" s="42"/>
      <c r="AK1008" s="27"/>
      <c r="AL1008" s="27"/>
      <c r="AM1008" s="27"/>
      <c r="AN1008" s="27"/>
      <c r="AO1008" s="27"/>
      <c r="AP1008" s="27"/>
      <c r="AQ1008" s="27"/>
    </row>
    <row r="1009" spans="1:43" ht="15.75" customHeight="1">
      <c r="A1009" s="27"/>
      <c r="B1009" s="9"/>
      <c r="C1009" s="27"/>
      <c r="D1009" s="9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42"/>
      <c r="Y1009" s="42"/>
      <c r="Z1009" s="27"/>
      <c r="AA1009" s="27"/>
      <c r="AB1009" s="27"/>
      <c r="AC1009" s="9"/>
      <c r="AD1009" s="27"/>
      <c r="AE1009" s="9"/>
      <c r="AF1009" s="9"/>
      <c r="AG1009" s="27"/>
      <c r="AH1009" s="27"/>
      <c r="AI1009" s="27"/>
      <c r="AJ1009" s="42"/>
      <c r="AK1009" s="27"/>
      <c r="AL1009" s="27"/>
      <c r="AM1009" s="27"/>
      <c r="AN1009" s="27"/>
      <c r="AO1009" s="27"/>
      <c r="AP1009" s="27"/>
      <c r="AQ1009" s="27"/>
    </row>
    <row r="1010" spans="1:43" ht="15.75" customHeight="1">
      <c r="A1010" s="27"/>
      <c r="B1010" s="9"/>
      <c r="C1010" s="27"/>
      <c r="D1010" s="9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42"/>
      <c r="Y1010" s="42"/>
      <c r="Z1010" s="27"/>
      <c r="AA1010" s="27"/>
      <c r="AB1010" s="27"/>
      <c r="AC1010" s="9"/>
      <c r="AD1010" s="27"/>
      <c r="AE1010" s="9"/>
      <c r="AF1010" s="9"/>
      <c r="AG1010" s="27"/>
      <c r="AH1010" s="27"/>
      <c r="AI1010" s="27"/>
      <c r="AJ1010" s="42"/>
      <c r="AK1010" s="27"/>
      <c r="AL1010" s="27"/>
      <c r="AM1010" s="27"/>
      <c r="AN1010" s="27"/>
      <c r="AO1010" s="27"/>
      <c r="AP1010" s="27"/>
      <c r="AQ1010" s="27"/>
    </row>
    <row r="1011" spans="1:43" ht="15.75" customHeight="1">
      <c r="A1011" s="27"/>
      <c r="B1011" s="9"/>
      <c r="C1011" s="27"/>
      <c r="D1011" s="9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42"/>
      <c r="Y1011" s="42"/>
      <c r="Z1011" s="27"/>
      <c r="AA1011" s="27"/>
      <c r="AB1011" s="27"/>
      <c r="AC1011" s="9"/>
      <c r="AD1011" s="27"/>
      <c r="AE1011" s="9"/>
      <c r="AF1011" s="9"/>
      <c r="AG1011" s="27"/>
      <c r="AH1011" s="27"/>
      <c r="AI1011" s="27"/>
      <c r="AJ1011" s="42"/>
      <c r="AK1011" s="27"/>
      <c r="AL1011" s="27"/>
      <c r="AM1011" s="27"/>
      <c r="AN1011" s="27"/>
      <c r="AO1011" s="27"/>
      <c r="AP1011" s="27"/>
      <c r="AQ1011" s="27"/>
    </row>
    <row r="1012" spans="1:43" ht="15.75" customHeight="1">
      <c r="A1012" s="27"/>
      <c r="B1012" s="9"/>
      <c r="C1012" s="27"/>
      <c r="D1012" s="9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42"/>
      <c r="Y1012" s="42"/>
      <c r="Z1012" s="27"/>
      <c r="AA1012" s="27"/>
      <c r="AB1012" s="27"/>
      <c r="AC1012" s="9"/>
      <c r="AD1012" s="27"/>
      <c r="AE1012" s="9"/>
      <c r="AF1012" s="9"/>
      <c r="AG1012" s="27"/>
      <c r="AH1012" s="27"/>
      <c r="AI1012" s="27"/>
      <c r="AJ1012" s="42"/>
      <c r="AK1012" s="27"/>
      <c r="AL1012" s="27"/>
      <c r="AM1012" s="27"/>
      <c r="AN1012" s="27"/>
      <c r="AO1012" s="27"/>
      <c r="AP1012" s="27"/>
      <c r="AQ1012" s="27"/>
    </row>
    <row r="1013" spans="1:43" ht="15.75" customHeight="1">
      <c r="A1013" s="27"/>
      <c r="B1013" s="9"/>
      <c r="C1013" s="27"/>
      <c r="D1013" s="9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42"/>
      <c r="Y1013" s="42"/>
      <c r="Z1013" s="27"/>
      <c r="AA1013" s="27"/>
      <c r="AB1013" s="27"/>
      <c r="AC1013" s="9"/>
      <c r="AD1013" s="27"/>
      <c r="AE1013" s="9"/>
      <c r="AF1013" s="9"/>
      <c r="AG1013" s="27"/>
      <c r="AH1013" s="27"/>
      <c r="AI1013" s="27"/>
      <c r="AJ1013" s="42"/>
      <c r="AK1013" s="27"/>
      <c r="AL1013" s="27"/>
      <c r="AM1013" s="27"/>
      <c r="AN1013" s="27"/>
      <c r="AO1013" s="27"/>
      <c r="AP1013" s="27"/>
      <c r="AQ1013" s="27"/>
    </row>
    <row r="1014" spans="1:43" ht="15.75" customHeight="1">
      <c r="A1014" s="27"/>
      <c r="B1014" s="9"/>
      <c r="C1014" s="27"/>
      <c r="D1014" s="9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42"/>
      <c r="Y1014" s="42"/>
      <c r="Z1014" s="27"/>
      <c r="AA1014" s="27"/>
      <c r="AB1014" s="27"/>
      <c r="AC1014" s="9"/>
      <c r="AD1014" s="27"/>
      <c r="AE1014" s="9"/>
      <c r="AF1014" s="9"/>
      <c r="AG1014" s="27"/>
      <c r="AH1014" s="27"/>
      <c r="AI1014" s="27"/>
      <c r="AJ1014" s="42"/>
      <c r="AK1014" s="27"/>
      <c r="AL1014" s="27"/>
      <c r="AM1014" s="27"/>
      <c r="AN1014" s="27"/>
      <c r="AO1014" s="27"/>
      <c r="AP1014" s="27"/>
      <c r="AQ1014" s="27"/>
    </row>
    <row r="1015" spans="1:43" ht="15.75" customHeight="1">
      <c r="A1015" s="27"/>
      <c r="B1015" s="9"/>
      <c r="C1015" s="27"/>
      <c r="D1015" s="9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42"/>
      <c r="Y1015" s="42"/>
      <c r="Z1015" s="27"/>
      <c r="AA1015" s="27"/>
      <c r="AB1015" s="27"/>
      <c r="AC1015" s="9"/>
      <c r="AD1015" s="27"/>
      <c r="AE1015" s="9"/>
      <c r="AF1015" s="9"/>
      <c r="AG1015" s="27"/>
      <c r="AH1015" s="27"/>
      <c r="AI1015" s="27"/>
      <c r="AJ1015" s="42"/>
      <c r="AK1015" s="27"/>
      <c r="AL1015" s="27"/>
      <c r="AM1015" s="27"/>
      <c r="AN1015" s="27"/>
      <c r="AO1015" s="27"/>
      <c r="AP1015" s="27"/>
      <c r="AQ1015" s="27"/>
    </row>
    <row r="1016" spans="1:43" ht="15.75" customHeight="1">
      <c r="A1016" s="27"/>
      <c r="B1016" s="9"/>
      <c r="C1016" s="27"/>
      <c r="D1016" s="9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42"/>
      <c r="Y1016" s="42"/>
      <c r="Z1016" s="27"/>
      <c r="AA1016" s="27"/>
      <c r="AB1016" s="27"/>
      <c r="AC1016" s="9"/>
      <c r="AD1016" s="27"/>
      <c r="AE1016" s="9"/>
      <c r="AF1016" s="9"/>
      <c r="AG1016" s="27"/>
      <c r="AH1016" s="27"/>
      <c r="AI1016" s="27"/>
      <c r="AJ1016" s="42"/>
      <c r="AK1016" s="27"/>
      <c r="AL1016" s="27"/>
      <c r="AM1016" s="27"/>
      <c r="AN1016" s="27"/>
      <c r="AO1016" s="27"/>
      <c r="AP1016" s="27"/>
      <c r="AQ1016" s="27"/>
    </row>
    <row r="1017" spans="1:43" ht="15.75" customHeight="1">
      <c r="A1017" s="27"/>
      <c r="B1017" s="9"/>
      <c r="C1017" s="27"/>
      <c r="D1017" s="9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42"/>
      <c r="Y1017" s="42"/>
      <c r="Z1017" s="27"/>
      <c r="AA1017" s="27"/>
      <c r="AB1017" s="27"/>
      <c r="AC1017" s="9"/>
      <c r="AD1017" s="27"/>
      <c r="AE1017" s="9"/>
      <c r="AF1017" s="9"/>
      <c r="AG1017" s="27"/>
      <c r="AH1017" s="27"/>
      <c r="AI1017" s="27"/>
      <c r="AJ1017" s="42"/>
      <c r="AK1017" s="27"/>
      <c r="AL1017" s="27"/>
      <c r="AM1017" s="27"/>
      <c r="AN1017" s="27"/>
      <c r="AO1017" s="27"/>
      <c r="AP1017" s="27"/>
      <c r="AQ1017" s="27"/>
    </row>
    <row r="1018" spans="1:43" ht="15.75" customHeight="1">
      <c r="A1018" s="27"/>
      <c r="B1018" s="9"/>
      <c r="C1018" s="27"/>
      <c r="D1018" s="9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42"/>
      <c r="Y1018" s="42"/>
      <c r="Z1018" s="27"/>
      <c r="AA1018" s="27"/>
      <c r="AB1018" s="27"/>
      <c r="AC1018" s="9"/>
      <c r="AD1018" s="27"/>
      <c r="AE1018" s="9"/>
      <c r="AF1018" s="9"/>
      <c r="AG1018" s="27"/>
      <c r="AH1018" s="27"/>
      <c r="AI1018" s="27"/>
      <c r="AJ1018" s="42"/>
      <c r="AK1018" s="27"/>
      <c r="AL1018" s="27"/>
      <c r="AM1018" s="27"/>
      <c r="AN1018" s="27"/>
      <c r="AO1018" s="27"/>
      <c r="AP1018" s="27"/>
      <c r="AQ1018" s="27"/>
    </row>
    <row r="1019" spans="1:43" ht="15.75" customHeight="1">
      <c r="A1019" s="27"/>
      <c r="B1019" s="9"/>
      <c r="C1019" s="27"/>
      <c r="D1019" s="9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42"/>
      <c r="Y1019" s="42"/>
      <c r="Z1019" s="27"/>
      <c r="AA1019" s="27"/>
      <c r="AB1019" s="27"/>
      <c r="AC1019" s="9"/>
      <c r="AD1019" s="27"/>
      <c r="AE1019" s="9"/>
      <c r="AF1019" s="9"/>
      <c r="AG1019" s="27"/>
      <c r="AH1019" s="27"/>
      <c r="AI1019" s="27"/>
      <c r="AJ1019" s="42"/>
      <c r="AK1019" s="27"/>
      <c r="AL1019" s="27"/>
      <c r="AM1019" s="27"/>
      <c r="AN1019" s="27"/>
      <c r="AO1019" s="27"/>
      <c r="AP1019" s="27"/>
      <c r="AQ1019" s="27"/>
    </row>
    <row r="1020" spans="1:43" ht="15.75" customHeight="1">
      <c r="A1020" s="27"/>
      <c r="B1020" s="9"/>
      <c r="C1020" s="27"/>
      <c r="D1020" s="9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42"/>
      <c r="Y1020" s="42"/>
      <c r="Z1020" s="27"/>
      <c r="AA1020" s="27"/>
      <c r="AB1020" s="27"/>
      <c r="AC1020" s="9"/>
      <c r="AD1020" s="27"/>
      <c r="AE1020" s="9"/>
      <c r="AF1020" s="9"/>
      <c r="AG1020" s="27"/>
      <c r="AH1020" s="27"/>
      <c r="AI1020" s="27"/>
      <c r="AJ1020" s="42"/>
      <c r="AK1020" s="27"/>
      <c r="AL1020" s="27"/>
      <c r="AM1020" s="27"/>
      <c r="AN1020" s="27"/>
      <c r="AO1020" s="27"/>
      <c r="AP1020" s="27"/>
      <c r="AQ1020" s="27"/>
    </row>
    <row r="1021" spans="1:43" ht="15.75" customHeight="1">
      <c r="A1021" s="27"/>
      <c r="B1021" s="9"/>
      <c r="C1021" s="27"/>
      <c r="D1021" s="9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42"/>
      <c r="Y1021" s="42"/>
      <c r="Z1021" s="27"/>
      <c r="AA1021" s="27"/>
      <c r="AB1021" s="27"/>
      <c r="AC1021" s="9"/>
      <c r="AD1021" s="27"/>
      <c r="AE1021" s="9"/>
      <c r="AF1021" s="9"/>
      <c r="AG1021" s="27"/>
      <c r="AH1021" s="27"/>
      <c r="AI1021" s="27"/>
      <c r="AJ1021" s="42"/>
      <c r="AK1021" s="27"/>
      <c r="AL1021" s="27"/>
      <c r="AM1021" s="27"/>
      <c r="AN1021" s="27"/>
      <c r="AO1021" s="27"/>
      <c r="AP1021" s="27"/>
      <c r="AQ1021" s="27"/>
    </row>
    <row r="1022" spans="1:43" ht="15.75" customHeight="1">
      <c r="A1022" s="27"/>
      <c r="B1022" s="9"/>
      <c r="C1022" s="27"/>
      <c r="D1022" s="9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42"/>
      <c r="Y1022" s="42"/>
      <c r="Z1022" s="27"/>
      <c r="AA1022" s="27"/>
      <c r="AB1022" s="27"/>
      <c r="AC1022" s="9"/>
      <c r="AD1022" s="27"/>
      <c r="AE1022" s="9"/>
      <c r="AF1022" s="9"/>
      <c r="AG1022" s="27"/>
      <c r="AH1022" s="27"/>
      <c r="AI1022" s="27"/>
      <c r="AJ1022" s="42"/>
      <c r="AK1022" s="27"/>
      <c r="AL1022" s="27"/>
      <c r="AM1022" s="27"/>
      <c r="AN1022" s="27"/>
      <c r="AO1022" s="27"/>
      <c r="AP1022" s="27"/>
      <c r="AQ1022" s="27"/>
    </row>
    <row r="1023" spans="1:43" ht="15.75" customHeight="1">
      <c r="A1023" s="27"/>
      <c r="B1023" s="9"/>
      <c r="C1023" s="27"/>
      <c r="D1023" s="9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42"/>
      <c r="Y1023" s="42"/>
      <c r="Z1023" s="27"/>
      <c r="AA1023" s="27"/>
      <c r="AB1023" s="27"/>
      <c r="AC1023" s="9"/>
      <c r="AD1023" s="27"/>
      <c r="AE1023" s="9"/>
      <c r="AF1023" s="9"/>
      <c r="AG1023" s="27"/>
      <c r="AH1023" s="27"/>
      <c r="AI1023" s="27"/>
      <c r="AJ1023" s="42"/>
      <c r="AK1023" s="27"/>
      <c r="AL1023" s="27"/>
      <c r="AM1023" s="27"/>
      <c r="AN1023" s="27"/>
      <c r="AO1023" s="27"/>
      <c r="AP1023" s="27"/>
      <c r="AQ1023" s="27"/>
    </row>
    <row r="1024" spans="1:43" ht="15.75" customHeight="1">
      <c r="A1024" s="27"/>
      <c r="B1024" s="9"/>
      <c r="C1024" s="27"/>
      <c r="D1024" s="9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42"/>
      <c r="Y1024" s="42"/>
      <c r="Z1024" s="27"/>
      <c r="AA1024" s="27"/>
      <c r="AB1024" s="27"/>
      <c r="AC1024" s="9"/>
      <c r="AD1024" s="27"/>
      <c r="AE1024" s="9"/>
      <c r="AF1024" s="9"/>
      <c r="AG1024" s="27"/>
      <c r="AH1024" s="27"/>
      <c r="AI1024" s="27"/>
      <c r="AJ1024" s="42"/>
      <c r="AK1024" s="27"/>
      <c r="AL1024" s="27"/>
      <c r="AM1024" s="27"/>
      <c r="AN1024" s="27"/>
      <c r="AO1024" s="27"/>
      <c r="AP1024" s="27"/>
      <c r="AQ1024" s="27"/>
    </row>
    <row r="1025" spans="1:43" ht="15.75" customHeight="1">
      <c r="A1025" s="27"/>
      <c r="B1025" s="9"/>
      <c r="C1025" s="27"/>
      <c r="D1025" s="9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42"/>
      <c r="Y1025" s="42"/>
      <c r="Z1025" s="27"/>
      <c r="AA1025" s="27"/>
      <c r="AB1025" s="27"/>
      <c r="AC1025" s="9"/>
      <c r="AD1025" s="27"/>
      <c r="AE1025" s="9"/>
      <c r="AF1025" s="9"/>
      <c r="AG1025" s="27"/>
      <c r="AH1025" s="27"/>
      <c r="AI1025" s="27"/>
      <c r="AJ1025" s="42"/>
      <c r="AK1025" s="27"/>
      <c r="AL1025" s="27"/>
      <c r="AM1025" s="27"/>
      <c r="AN1025" s="27"/>
      <c r="AO1025" s="27"/>
      <c r="AP1025" s="27"/>
      <c r="AQ1025" s="27"/>
    </row>
    <row r="1026" spans="1:43" ht="15.75" customHeight="1">
      <c r="A1026" s="27"/>
      <c r="B1026" s="9"/>
      <c r="C1026" s="27"/>
      <c r="D1026" s="9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42"/>
      <c r="Y1026" s="42"/>
      <c r="Z1026" s="27"/>
      <c r="AA1026" s="27"/>
      <c r="AB1026" s="27"/>
      <c r="AC1026" s="9"/>
      <c r="AD1026" s="27"/>
      <c r="AE1026" s="9"/>
      <c r="AF1026" s="9"/>
      <c r="AG1026" s="27"/>
      <c r="AH1026" s="27"/>
      <c r="AI1026" s="27"/>
      <c r="AJ1026" s="42"/>
      <c r="AK1026" s="27"/>
      <c r="AL1026" s="27"/>
      <c r="AM1026" s="27"/>
      <c r="AN1026" s="27"/>
      <c r="AO1026" s="27"/>
      <c r="AP1026" s="27"/>
      <c r="AQ1026" s="27"/>
    </row>
    <row r="1027" spans="1:43" ht="15.75" customHeight="1">
      <c r="A1027" s="27"/>
      <c r="B1027" s="9"/>
      <c r="C1027" s="27"/>
      <c r="D1027" s="9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42"/>
      <c r="Y1027" s="42"/>
      <c r="Z1027" s="27"/>
      <c r="AA1027" s="27"/>
      <c r="AB1027" s="27"/>
      <c r="AC1027" s="9"/>
      <c r="AD1027" s="27"/>
      <c r="AE1027" s="9"/>
      <c r="AF1027" s="9"/>
      <c r="AG1027" s="27"/>
      <c r="AH1027" s="27"/>
      <c r="AI1027" s="27"/>
      <c r="AJ1027" s="42"/>
      <c r="AK1027" s="27"/>
      <c r="AL1027" s="27"/>
      <c r="AM1027" s="27"/>
      <c r="AN1027" s="27"/>
      <c r="AO1027" s="27"/>
      <c r="AP1027" s="27"/>
      <c r="AQ1027" s="27"/>
    </row>
    <row r="1028" spans="1:43" ht="15.75" customHeight="1">
      <c r="A1028" s="27"/>
      <c r="B1028" s="9"/>
      <c r="C1028" s="27"/>
      <c r="D1028" s="9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42"/>
      <c r="Y1028" s="42"/>
      <c r="Z1028" s="27"/>
      <c r="AA1028" s="27"/>
      <c r="AB1028" s="27"/>
      <c r="AC1028" s="9"/>
      <c r="AD1028" s="27"/>
      <c r="AE1028" s="9"/>
      <c r="AF1028" s="9"/>
      <c r="AG1028" s="27"/>
      <c r="AH1028" s="27"/>
      <c r="AI1028" s="27"/>
      <c r="AJ1028" s="42"/>
      <c r="AK1028" s="27"/>
      <c r="AL1028" s="27"/>
      <c r="AM1028" s="27"/>
      <c r="AN1028" s="27"/>
      <c r="AO1028" s="27"/>
      <c r="AP1028" s="27"/>
      <c r="AQ1028" s="27"/>
    </row>
    <row r="1029" spans="1:43" ht="15.75" customHeight="1">
      <c r="A1029" s="27"/>
      <c r="B1029" s="9"/>
      <c r="C1029" s="27"/>
      <c r="D1029" s="9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42"/>
      <c r="Y1029" s="42"/>
      <c r="Z1029" s="27"/>
      <c r="AA1029" s="27"/>
      <c r="AB1029" s="27"/>
      <c r="AC1029" s="9"/>
      <c r="AD1029" s="27"/>
      <c r="AE1029" s="9"/>
      <c r="AF1029" s="9"/>
      <c r="AG1029" s="27"/>
      <c r="AH1029" s="27"/>
      <c r="AI1029" s="27"/>
      <c r="AJ1029" s="42"/>
      <c r="AK1029" s="27"/>
      <c r="AL1029" s="27"/>
      <c r="AM1029" s="27"/>
      <c r="AN1029" s="27"/>
      <c r="AO1029" s="27"/>
      <c r="AP1029" s="27"/>
      <c r="AQ1029" s="27"/>
    </row>
    <row r="1030" spans="1:43" ht="15.75" customHeight="1">
      <c r="A1030" s="27"/>
      <c r="B1030" s="9"/>
      <c r="C1030" s="27"/>
      <c r="D1030" s="9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42"/>
      <c r="Y1030" s="42"/>
      <c r="Z1030" s="27"/>
      <c r="AA1030" s="27"/>
      <c r="AB1030" s="27"/>
      <c r="AC1030" s="9"/>
      <c r="AD1030" s="27"/>
      <c r="AE1030" s="9"/>
      <c r="AF1030" s="9"/>
      <c r="AG1030" s="27"/>
      <c r="AH1030" s="27"/>
      <c r="AI1030" s="27"/>
      <c r="AJ1030" s="42"/>
      <c r="AK1030" s="27"/>
      <c r="AL1030" s="27"/>
      <c r="AM1030" s="27"/>
      <c r="AN1030" s="27"/>
      <c r="AO1030" s="27"/>
      <c r="AP1030" s="27"/>
      <c r="AQ1030" s="27"/>
    </row>
    <row r="1031" spans="1:43" ht="15.75" customHeight="1">
      <c r="A1031" s="27"/>
      <c r="B1031" s="9"/>
      <c r="C1031" s="27"/>
      <c r="D1031" s="9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42"/>
      <c r="Y1031" s="42"/>
      <c r="Z1031" s="27"/>
      <c r="AA1031" s="27"/>
      <c r="AB1031" s="27"/>
      <c r="AC1031" s="9"/>
      <c r="AD1031" s="27"/>
      <c r="AE1031" s="9"/>
      <c r="AF1031" s="9"/>
      <c r="AG1031" s="27"/>
      <c r="AH1031" s="27"/>
      <c r="AI1031" s="27"/>
      <c r="AJ1031" s="42"/>
      <c r="AK1031" s="27"/>
      <c r="AL1031" s="27"/>
      <c r="AM1031" s="27"/>
      <c r="AN1031" s="27"/>
      <c r="AO1031" s="27"/>
      <c r="AP1031" s="27"/>
      <c r="AQ1031" s="27"/>
    </row>
    <row r="1032" spans="1:43" ht="15.75" customHeight="1">
      <c r="A1032" s="27"/>
      <c r="B1032" s="9"/>
      <c r="C1032" s="27"/>
      <c r="D1032" s="9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42"/>
      <c r="Y1032" s="42"/>
      <c r="Z1032" s="27"/>
      <c r="AA1032" s="27"/>
      <c r="AB1032" s="27"/>
      <c r="AC1032" s="9"/>
      <c r="AD1032" s="27"/>
      <c r="AE1032" s="9"/>
      <c r="AF1032" s="9"/>
      <c r="AG1032" s="27"/>
      <c r="AH1032" s="27"/>
      <c r="AI1032" s="27"/>
      <c r="AJ1032" s="42"/>
      <c r="AK1032" s="27"/>
      <c r="AL1032" s="27"/>
      <c r="AM1032" s="27"/>
      <c r="AN1032" s="27"/>
      <c r="AO1032" s="27"/>
      <c r="AP1032" s="27"/>
      <c r="AQ1032" s="27"/>
    </row>
    <row r="1033" spans="1:43" ht="15.75" customHeight="1">
      <c r="A1033" s="27"/>
      <c r="B1033" s="9"/>
      <c r="C1033" s="27"/>
      <c r="D1033" s="9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42"/>
      <c r="Y1033" s="42"/>
      <c r="Z1033" s="27"/>
      <c r="AA1033" s="27"/>
      <c r="AB1033" s="27"/>
      <c r="AC1033" s="9"/>
      <c r="AD1033" s="27"/>
      <c r="AE1033" s="9"/>
      <c r="AF1033" s="9"/>
      <c r="AG1033" s="27"/>
      <c r="AH1033" s="27"/>
      <c r="AI1033" s="27"/>
      <c r="AJ1033" s="42"/>
      <c r="AK1033" s="27"/>
      <c r="AL1033" s="27"/>
      <c r="AM1033" s="27"/>
      <c r="AN1033" s="27"/>
      <c r="AO1033" s="27"/>
      <c r="AP1033" s="27"/>
      <c r="AQ1033" s="27"/>
    </row>
    <row r="1034" spans="1:43" ht="15.75" customHeight="1">
      <c r="A1034" s="27"/>
      <c r="B1034" s="9"/>
      <c r="C1034" s="27"/>
      <c r="D1034" s="9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42"/>
      <c r="Y1034" s="42"/>
      <c r="Z1034" s="27"/>
      <c r="AA1034" s="27"/>
      <c r="AB1034" s="27"/>
      <c r="AC1034" s="9"/>
      <c r="AD1034" s="27"/>
      <c r="AE1034" s="9"/>
      <c r="AF1034" s="9"/>
      <c r="AG1034" s="27"/>
      <c r="AH1034" s="27"/>
      <c r="AI1034" s="27"/>
      <c r="AJ1034" s="42"/>
      <c r="AK1034" s="27"/>
      <c r="AL1034" s="27"/>
      <c r="AM1034" s="27"/>
      <c r="AN1034" s="27"/>
      <c r="AO1034" s="27"/>
      <c r="AP1034" s="27"/>
      <c r="AQ1034" s="27"/>
    </row>
    <row r="1035" spans="1:43" ht="15.75" customHeight="1">
      <c r="A1035" s="27"/>
      <c r="B1035" s="9"/>
      <c r="C1035" s="27"/>
      <c r="D1035" s="9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42"/>
      <c r="Y1035" s="42"/>
      <c r="Z1035" s="27"/>
      <c r="AA1035" s="27"/>
      <c r="AB1035" s="27"/>
      <c r="AC1035" s="9"/>
      <c r="AD1035" s="27"/>
      <c r="AE1035" s="9"/>
      <c r="AF1035" s="9"/>
      <c r="AG1035" s="27"/>
      <c r="AH1035" s="27"/>
      <c r="AI1035" s="27"/>
      <c r="AJ1035" s="42"/>
      <c r="AK1035" s="27"/>
      <c r="AL1035" s="27"/>
      <c r="AM1035" s="27"/>
      <c r="AN1035" s="27"/>
      <c r="AO1035" s="27"/>
      <c r="AP1035" s="27"/>
      <c r="AQ1035" s="27"/>
    </row>
    <row r="1036" spans="1:43" ht="15.75" customHeight="1">
      <c r="A1036" s="27"/>
      <c r="B1036" s="9"/>
      <c r="C1036" s="27"/>
      <c r="D1036" s="9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42"/>
      <c r="Y1036" s="42"/>
      <c r="Z1036" s="27"/>
      <c r="AA1036" s="27"/>
      <c r="AB1036" s="27"/>
      <c r="AC1036" s="9"/>
      <c r="AD1036" s="27"/>
      <c r="AE1036" s="9"/>
      <c r="AF1036" s="9"/>
      <c r="AG1036" s="27"/>
      <c r="AH1036" s="27"/>
      <c r="AI1036" s="27"/>
      <c r="AJ1036" s="42"/>
      <c r="AK1036" s="27"/>
      <c r="AL1036" s="27"/>
      <c r="AM1036" s="27"/>
      <c r="AN1036" s="27"/>
      <c r="AO1036" s="27"/>
      <c r="AP1036" s="27"/>
      <c r="AQ1036" s="27"/>
    </row>
    <row r="1037" spans="1:43" ht="15.75" customHeight="1">
      <c r="A1037" s="27"/>
      <c r="B1037" s="9"/>
      <c r="C1037" s="27"/>
      <c r="D1037" s="9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42"/>
      <c r="Y1037" s="42"/>
      <c r="Z1037" s="27"/>
      <c r="AA1037" s="27"/>
      <c r="AB1037" s="27"/>
      <c r="AC1037" s="9"/>
      <c r="AD1037" s="27"/>
      <c r="AE1037" s="9"/>
      <c r="AF1037" s="9"/>
      <c r="AG1037" s="27"/>
      <c r="AH1037" s="27"/>
      <c r="AI1037" s="27"/>
      <c r="AJ1037" s="42"/>
      <c r="AK1037" s="27"/>
      <c r="AL1037" s="27"/>
      <c r="AM1037" s="27"/>
      <c r="AN1037" s="27"/>
      <c r="AO1037" s="27"/>
      <c r="AP1037" s="27"/>
      <c r="AQ1037" s="27"/>
    </row>
    <row r="1038" spans="1:43" ht="15.75" customHeight="1">
      <c r="A1038" s="27"/>
      <c r="B1038" s="9"/>
      <c r="C1038" s="27"/>
      <c r="D1038" s="9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42"/>
      <c r="Y1038" s="42"/>
      <c r="Z1038" s="27"/>
      <c r="AA1038" s="27"/>
      <c r="AB1038" s="27"/>
      <c r="AC1038" s="9"/>
      <c r="AD1038" s="27"/>
      <c r="AE1038" s="9"/>
      <c r="AF1038" s="9"/>
      <c r="AG1038" s="27"/>
      <c r="AH1038" s="27"/>
      <c r="AI1038" s="27"/>
      <c r="AJ1038" s="42"/>
      <c r="AK1038" s="27"/>
      <c r="AL1038" s="27"/>
      <c r="AM1038" s="27"/>
      <c r="AN1038" s="27"/>
      <c r="AO1038" s="27"/>
      <c r="AP1038" s="27"/>
      <c r="AQ1038" s="27"/>
    </row>
    <row r="1039" spans="1:43" ht="15.75" customHeight="1">
      <c r="A1039" s="27"/>
      <c r="B1039" s="9"/>
      <c r="C1039" s="27"/>
      <c r="D1039" s="9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42"/>
      <c r="Y1039" s="42"/>
      <c r="Z1039" s="27"/>
      <c r="AA1039" s="27"/>
      <c r="AB1039" s="27"/>
      <c r="AC1039" s="9"/>
      <c r="AD1039" s="27"/>
      <c r="AE1039" s="9"/>
      <c r="AF1039" s="9"/>
      <c r="AG1039" s="27"/>
      <c r="AH1039" s="27"/>
      <c r="AI1039" s="27"/>
      <c r="AJ1039" s="42"/>
      <c r="AK1039" s="27"/>
      <c r="AL1039" s="27"/>
      <c r="AM1039" s="27"/>
      <c r="AN1039" s="27"/>
      <c r="AO1039" s="27"/>
      <c r="AP1039" s="27"/>
      <c r="AQ1039" s="27"/>
    </row>
    <row r="1040" spans="1:43" ht="15.75" customHeight="1">
      <c r="A1040" s="27"/>
      <c r="B1040" s="9"/>
      <c r="C1040" s="27"/>
      <c r="D1040" s="9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42"/>
      <c r="Y1040" s="42"/>
      <c r="Z1040" s="27"/>
      <c r="AA1040" s="27"/>
      <c r="AB1040" s="27"/>
      <c r="AC1040" s="9"/>
      <c r="AD1040" s="27"/>
      <c r="AE1040" s="9"/>
      <c r="AF1040" s="9"/>
      <c r="AG1040" s="27"/>
      <c r="AH1040" s="27"/>
      <c r="AI1040" s="27"/>
      <c r="AJ1040" s="42"/>
      <c r="AK1040" s="27"/>
      <c r="AL1040" s="27"/>
      <c r="AM1040" s="27"/>
      <c r="AN1040" s="27"/>
      <c r="AO1040" s="27"/>
      <c r="AP1040" s="27"/>
      <c r="AQ1040" s="27"/>
    </row>
    <row r="1041" spans="1:43" ht="15.75" customHeight="1">
      <c r="A1041" s="27"/>
      <c r="B1041" s="9"/>
      <c r="C1041" s="27"/>
      <c r="D1041" s="9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42"/>
      <c r="Y1041" s="42"/>
      <c r="Z1041" s="27"/>
      <c r="AA1041" s="27"/>
      <c r="AB1041" s="27"/>
      <c r="AC1041" s="9"/>
      <c r="AD1041" s="27"/>
      <c r="AE1041" s="9"/>
      <c r="AF1041" s="9"/>
      <c r="AG1041" s="27"/>
      <c r="AH1041" s="27"/>
      <c r="AI1041" s="27"/>
      <c r="AJ1041" s="42"/>
      <c r="AK1041" s="27"/>
      <c r="AL1041" s="27"/>
      <c r="AM1041" s="27"/>
      <c r="AN1041" s="27"/>
      <c r="AO1041" s="27"/>
      <c r="AP1041" s="27"/>
      <c r="AQ1041" s="27"/>
    </row>
    <row r="1042" spans="1:43" ht="15.75" customHeight="1">
      <c r="A1042" s="27"/>
      <c r="B1042" s="9"/>
      <c r="C1042" s="27"/>
      <c r="D1042" s="9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42"/>
      <c r="Y1042" s="42"/>
      <c r="Z1042" s="27"/>
      <c r="AA1042" s="27"/>
      <c r="AB1042" s="27"/>
      <c r="AC1042" s="9"/>
      <c r="AD1042" s="27"/>
      <c r="AE1042" s="9"/>
      <c r="AF1042" s="9"/>
      <c r="AG1042" s="27"/>
      <c r="AH1042" s="27"/>
      <c r="AI1042" s="27"/>
      <c r="AJ1042" s="42"/>
      <c r="AK1042" s="27"/>
      <c r="AL1042" s="27"/>
      <c r="AM1042" s="27"/>
      <c r="AN1042" s="27"/>
      <c r="AO1042" s="27"/>
      <c r="AP1042" s="27"/>
      <c r="AQ1042" s="27"/>
    </row>
    <row r="1043" spans="1:43" ht="15.75" customHeight="1">
      <c r="A1043" s="27"/>
      <c r="B1043" s="9"/>
      <c r="C1043" s="27"/>
      <c r="D1043" s="9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42"/>
      <c r="Y1043" s="42"/>
      <c r="Z1043" s="27"/>
      <c r="AA1043" s="27"/>
      <c r="AB1043" s="27"/>
      <c r="AC1043" s="9"/>
      <c r="AD1043" s="27"/>
      <c r="AE1043" s="9"/>
      <c r="AF1043" s="9"/>
      <c r="AG1043" s="27"/>
      <c r="AH1043" s="27"/>
      <c r="AI1043" s="27"/>
      <c r="AJ1043" s="42"/>
      <c r="AK1043" s="27"/>
      <c r="AL1043" s="27"/>
      <c r="AM1043" s="27"/>
      <c r="AN1043" s="27"/>
      <c r="AO1043" s="27"/>
      <c r="AP1043" s="27"/>
      <c r="AQ1043" s="27"/>
    </row>
    <row r="1044" spans="1:43" ht="15.75" customHeight="1">
      <c r="A1044" s="27"/>
      <c r="B1044" s="9"/>
      <c r="C1044" s="27"/>
      <c r="D1044" s="9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42"/>
      <c r="Y1044" s="42"/>
      <c r="Z1044" s="27"/>
      <c r="AA1044" s="27"/>
      <c r="AB1044" s="27"/>
      <c r="AC1044" s="9"/>
      <c r="AD1044" s="27"/>
      <c r="AE1044" s="9"/>
      <c r="AF1044" s="9"/>
      <c r="AG1044" s="27"/>
      <c r="AH1044" s="27"/>
      <c r="AI1044" s="27"/>
      <c r="AJ1044" s="42"/>
      <c r="AK1044" s="27"/>
      <c r="AL1044" s="27"/>
      <c r="AM1044" s="27"/>
      <c r="AN1044" s="27"/>
      <c r="AO1044" s="27"/>
      <c r="AP1044" s="27"/>
      <c r="AQ1044" s="27"/>
    </row>
    <row r="1045" spans="1:43" ht="15.75" customHeight="1">
      <c r="A1045" s="27"/>
      <c r="B1045" s="9"/>
      <c r="C1045" s="27"/>
      <c r="D1045" s="9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42"/>
      <c r="Y1045" s="42"/>
      <c r="Z1045" s="27"/>
      <c r="AA1045" s="27"/>
      <c r="AB1045" s="27"/>
      <c r="AC1045" s="9"/>
      <c r="AD1045" s="27"/>
      <c r="AE1045" s="9"/>
      <c r="AF1045" s="9"/>
      <c r="AG1045" s="27"/>
      <c r="AH1045" s="27"/>
      <c r="AI1045" s="27"/>
      <c r="AJ1045" s="42"/>
      <c r="AK1045" s="27"/>
      <c r="AL1045" s="27"/>
      <c r="AM1045" s="27"/>
      <c r="AN1045" s="27"/>
      <c r="AO1045" s="27"/>
      <c r="AP1045" s="27"/>
      <c r="AQ1045" s="27"/>
    </row>
    <row r="1046" spans="1:43" ht="15.75" customHeight="1">
      <c r="A1046" s="27"/>
      <c r="B1046" s="9"/>
      <c r="C1046" s="27"/>
      <c r="D1046" s="9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42"/>
      <c r="Y1046" s="42"/>
      <c r="Z1046" s="27"/>
      <c r="AA1046" s="27"/>
      <c r="AB1046" s="27"/>
      <c r="AC1046" s="9"/>
      <c r="AD1046" s="27"/>
      <c r="AE1046" s="9"/>
      <c r="AF1046" s="9"/>
      <c r="AG1046" s="27"/>
      <c r="AH1046" s="27"/>
      <c r="AI1046" s="27"/>
      <c r="AJ1046" s="42"/>
      <c r="AK1046" s="27"/>
      <c r="AL1046" s="27"/>
      <c r="AM1046" s="27"/>
      <c r="AN1046" s="27"/>
      <c r="AO1046" s="27"/>
      <c r="AP1046" s="27"/>
      <c r="AQ1046" s="27"/>
    </row>
    <row r="1047" spans="1:43" ht="15.75" customHeight="1">
      <c r="A1047" s="27"/>
      <c r="B1047" s="9"/>
      <c r="C1047" s="27"/>
      <c r="D1047" s="9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42"/>
      <c r="Y1047" s="42"/>
      <c r="Z1047" s="27"/>
      <c r="AA1047" s="27"/>
      <c r="AB1047" s="27"/>
      <c r="AC1047" s="9"/>
      <c r="AD1047" s="27"/>
      <c r="AE1047" s="9"/>
      <c r="AF1047" s="9"/>
      <c r="AG1047" s="27"/>
      <c r="AH1047" s="27"/>
      <c r="AI1047" s="27"/>
      <c r="AJ1047" s="42"/>
      <c r="AK1047" s="27"/>
      <c r="AL1047" s="27"/>
      <c r="AM1047" s="27"/>
      <c r="AN1047" s="27"/>
      <c r="AO1047" s="27"/>
      <c r="AP1047" s="27"/>
      <c r="AQ1047" s="27"/>
    </row>
    <row r="1048" spans="1:43" ht="15.75" customHeight="1">
      <c r="A1048" s="27"/>
      <c r="B1048" s="9"/>
      <c r="C1048" s="27"/>
      <c r="D1048" s="9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42"/>
      <c r="Y1048" s="42"/>
      <c r="Z1048" s="27"/>
      <c r="AA1048" s="27"/>
      <c r="AB1048" s="27"/>
      <c r="AC1048" s="9"/>
      <c r="AD1048" s="27"/>
      <c r="AE1048" s="9"/>
      <c r="AF1048" s="9"/>
      <c r="AG1048" s="27"/>
      <c r="AH1048" s="27"/>
      <c r="AI1048" s="27"/>
      <c r="AJ1048" s="42"/>
      <c r="AK1048" s="27"/>
      <c r="AL1048" s="27"/>
      <c r="AM1048" s="27"/>
      <c r="AN1048" s="27"/>
      <c r="AO1048" s="27"/>
      <c r="AP1048" s="27"/>
      <c r="AQ1048" s="27"/>
    </row>
    <row r="1049" spans="1:43" ht="15.75" customHeight="1">
      <c r="A1049" s="27"/>
      <c r="B1049" s="9"/>
      <c r="C1049" s="27"/>
      <c r="D1049" s="9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42"/>
      <c r="Y1049" s="42"/>
      <c r="Z1049" s="27"/>
      <c r="AA1049" s="27"/>
      <c r="AB1049" s="27"/>
      <c r="AC1049" s="9"/>
      <c r="AD1049" s="27"/>
      <c r="AE1049" s="9"/>
      <c r="AF1049" s="9"/>
      <c r="AG1049" s="27"/>
      <c r="AH1049" s="27"/>
      <c r="AI1049" s="27"/>
      <c r="AJ1049" s="42"/>
      <c r="AK1049" s="27"/>
      <c r="AL1049" s="27"/>
      <c r="AM1049" s="27"/>
      <c r="AN1049" s="27"/>
      <c r="AO1049" s="27"/>
      <c r="AP1049" s="27"/>
      <c r="AQ1049" s="27"/>
    </row>
    <row r="1050" spans="1:43" ht="15.75" customHeight="1">
      <c r="A1050" s="27"/>
      <c r="B1050" s="9"/>
      <c r="C1050" s="27"/>
      <c r="D1050" s="9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42"/>
      <c r="Y1050" s="42"/>
      <c r="Z1050" s="27"/>
      <c r="AA1050" s="27"/>
      <c r="AB1050" s="27"/>
      <c r="AC1050" s="9"/>
      <c r="AD1050" s="27"/>
      <c r="AE1050" s="9"/>
      <c r="AF1050" s="9"/>
      <c r="AG1050" s="27"/>
      <c r="AH1050" s="27"/>
      <c r="AI1050" s="27"/>
      <c r="AJ1050" s="42"/>
      <c r="AK1050" s="27"/>
      <c r="AL1050" s="27"/>
      <c r="AM1050" s="27"/>
      <c r="AN1050" s="27"/>
      <c r="AO1050" s="27"/>
      <c r="AP1050" s="27"/>
      <c r="AQ1050" s="27"/>
    </row>
    <row r="1051" spans="1:43" ht="15.75" customHeight="1">
      <c r="A1051" s="27"/>
      <c r="B1051" s="9"/>
      <c r="C1051" s="27"/>
      <c r="D1051" s="9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42"/>
      <c r="Y1051" s="42"/>
      <c r="Z1051" s="27"/>
      <c r="AA1051" s="27"/>
      <c r="AB1051" s="27"/>
      <c r="AC1051" s="9"/>
      <c r="AD1051" s="27"/>
      <c r="AE1051" s="9"/>
      <c r="AF1051" s="9"/>
      <c r="AG1051" s="27"/>
      <c r="AH1051" s="27"/>
      <c r="AI1051" s="27"/>
      <c r="AJ1051" s="42"/>
      <c r="AK1051" s="27"/>
      <c r="AL1051" s="27"/>
      <c r="AM1051" s="27"/>
      <c r="AN1051" s="27"/>
      <c r="AO1051" s="27"/>
      <c r="AP1051" s="27"/>
      <c r="AQ1051" s="27"/>
    </row>
    <row r="1052" spans="1:43" ht="15.75" customHeight="1">
      <c r="A1052" s="27"/>
      <c r="B1052" s="9"/>
      <c r="C1052" s="27"/>
      <c r="D1052" s="9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42"/>
      <c r="Y1052" s="42"/>
      <c r="Z1052" s="27"/>
      <c r="AA1052" s="27"/>
      <c r="AB1052" s="27"/>
      <c r="AC1052" s="9"/>
      <c r="AD1052" s="27"/>
      <c r="AE1052" s="9"/>
      <c r="AF1052" s="9"/>
      <c r="AG1052" s="27"/>
      <c r="AH1052" s="27"/>
      <c r="AI1052" s="27"/>
      <c r="AJ1052" s="42"/>
      <c r="AK1052" s="27"/>
      <c r="AL1052" s="27"/>
      <c r="AM1052" s="27"/>
      <c r="AN1052" s="27"/>
      <c r="AO1052" s="27"/>
      <c r="AP1052" s="27"/>
      <c r="AQ1052" s="27"/>
    </row>
    <row r="1053" spans="1:43" ht="15.75" customHeight="1">
      <c r="A1053" s="27"/>
      <c r="B1053" s="9"/>
      <c r="C1053" s="27"/>
      <c r="D1053" s="9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42"/>
      <c r="Y1053" s="42"/>
      <c r="Z1053" s="27"/>
      <c r="AA1053" s="27"/>
      <c r="AB1053" s="27"/>
      <c r="AC1053" s="9"/>
      <c r="AD1053" s="27"/>
      <c r="AE1053" s="9"/>
      <c r="AF1053" s="9"/>
      <c r="AG1053" s="27"/>
      <c r="AH1053" s="27"/>
      <c r="AI1053" s="27"/>
      <c r="AJ1053" s="42"/>
      <c r="AK1053" s="27"/>
      <c r="AL1053" s="27"/>
      <c r="AM1053" s="27"/>
      <c r="AN1053" s="27"/>
      <c r="AO1053" s="27"/>
      <c r="AP1053" s="27"/>
      <c r="AQ1053" s="27"/>
    </row>
    <row r="1054" spans="1:43" ht="15.75" customHeight="1">
      <c r="A1054" s="27"/>
      <c r="B1054" s="9"/>
      <c r="C1054" s="27"/>
      <c r="D1054" s="9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42"/>
      <c r="Y1054" s="42"/>
      <c r="Z1054" s="27"/>
      <c r="AA1054" s="27"/>
      <c r="AB1054" s="27"/>
      <c r="AC1054" s="9"/>
      <c r="AD1054" s="27"/>
      <c r="AE1054" s="9"/>
      <c r="AF1054" s="9"/>
      <c r="AG1054" s="27"/>
      <c r="AH1054" s="27"/>
      <c r="AI1054" s="27"/>
      <c r="AJ1054" s="42"/>
      <c r="AK1054" s="27"/>
      <c r="AL1054" s="27"/>
      <c r="AM1054" s="27"/>
      <c r="AN1054" s="27"/>
      <c r="AO1054" s="27"/>
      <c r="AP1054" s="27"/>
      <c r="AQ1054" s="27"/>
    </row>
    <row r="1055" spans="1:43" ht="15.75" customHeight="1">
      <c r="A1055" s="27"/>
      <c r="B1055" s="9"/>
      <c r="C1055" s="27"/>
      <c r="D1055" s="9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42"/>
      <c r="Y1055" s="42"/>
      <c r="Z1055" s="27"/>
      <c r="AA1055" s="27"/>
      <c r="AB1055" s="27"/>
      <c r="AC1055" s="9"/>
      <c r="AD1055" s="27"/>
      <c r="AE1055" s="9"/>
      <c r="AF1055" s="9"/>
      <c r="AG1055" s="27"/>
      <c r="AH1055" s="27"/>
      <c r="AI1055" s="27"/>
      <c r="AJ1055" s="42"/>
      <c r="AK1055" s="27"/>
      <c r="AL1055" s="27"/>
      <c r="AM1055" s="27"/>
      <c r="AN1055" s="27"/>
      <c r="AO1055" s="27"/>
      <c r="AP1055" s="27"/>
      <c r="AQ1055" s="27"/>
    </row>
    <row r="1056" spans="1:43" ht="15.75" customHeight="1">
      <c r="A1056" s="27"/>
      <c r="B1056" s="9"/>
      <c r="C1056" s="27"/>
      <c r="D1056" s="9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42"/>
      <c r="Y1056" s="42"/>
      <c r="Z1056" s="27"/>
      <c r="AA1056" s="27"/>
      <c r="AB1056" s="27"/>
      <c r="AC1056" s="9"/>
      <c r="AD1056" s="27"/>
      <c r="AE1056" s="9"/>
      <c r="AF1056" s="9"/>
      <c r="AG1056" s="27"/>
      <c r="AH1056" s="27"/>
      <c r="AI1056" s="27"/>
      <c r="AJ1056" s="42"/>
      <c r="AK1056" s="27"/>
      <c r="AL1056" s="27"/>
      <c r="AM1056" s="27"/>
      <c r="AN1056" s="27"/>
      <c r="AO1056" s="27"/>
      <c r="AP1056" s="27"/>
      <c r="AQ1056" s="27"/>
    </row>
    <row r="1057" spans="1:43" ht="15.75" customHeight="1">
      <c r="A1057" s="27"/>
      <c r="B1057" s="9"/>
      <c r="C1057" s="27"/>
      <c r="D1057" s="9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42"/>
      <c r="Y1057" s="42"/>
      <c r="Z1057" s="27"/>
      <c r="AA1057" s="27"/>
      <c r="AB1057" s="27"/>
      <c r="AC1057" s="9"/>
      <c r="AD1057" s="27"/>
      <c r="AE1057" s="9"/>
      <c r="AF1057" s="9"/>
      <c r="AG1057" s="27"/>
      <c r="AH1057" s="27"/>
      <c r="AI1057" s="27"/>
      <c r="AJ1057" s="42"/>
      <c r="AK1057" s="27"/>
      <c r="AL1057" s="27"/>
      <c r="AM1057" s="27"/>
      <c r="AN1057" s="27"/>
      <c r="AO1057" s="27"/>
      <c r="AP1057" s="27"/>
      <c r="AQ1057" s="27"/>
    </row>
    <row r="1058" spans="1:43" ht="15.75" customHeight="1">
      <c r="A1058" s="27"/>
      <c r="B1058" s="9"/>
      <c r="C1058" s="27"/>
      <c r="D1058" s="9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42"/>
      <c r="Y1058" s="42"/>
      <c r="Z1058" s="27"/>
      <c r="AA1058" s="27"/>
      <c r="AB1058" s="27"/>
      <c r="AC1058" s="9"/>
      <c r="AD1058" s="27"/>
      <c r="AE1058" s="9"/>
      <c r="AF1058" s="9"/>
      <c r="AG1058" s="27"/>
      <c r="AH1058" s="27"/>
      <c r="AI1058" s="27"/>
      <c r="AJ1058" s="42"/>
      <c r="AK1058" s="27"/>
      <c r="AL1058" s="27"/>
      <c r="AM1058" s="27"/>
      <c r="AN1058" s="27"/>
      <c r="AO1058" s="27"/>
      <c r="AP1058" s="27"/>
      <c r="AQ1058" s="27"/>
    </row>
    <row r="1059" spans="1:43" ht="15.75" customHeight="1">
      <c r="A1059" s="27"/>
      <c r="B1059" s="9"/>
      <c r="C1059" s="27"/>
      <c r="D1059" s="9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42"/>
      <c r="Y1059" s="42"/>
      <c r="Z1059" s="27"/>
      <c r="AA1059" s="27"/>
      <c r="AB1059" s="27"/>
      <c r="AC1059" s="9"/>
      <c r="AD1059" s="27"/>
      <c r="AE1059" s="9"/>
      <c r="AF1059" s="9"/>
      <c r="AG1059" s="27"/>
      <c r="AH1059" s="27"/>
      <c r="AI1059" s="27"/>
      <c r="AJ1059" s="42"/>
      <c r="AK1059" s="27"/>
      <c r="AL1059" s="27"/>
      <c r="AM1059" s="27"/>
      <c r="AN1059" s="27"/>
      <c r="AO1059" s="27"/>
      <c r="AP1059" s="27"/>
      <c r="AQ1059" s="27"/>
    </row>
    <row r="1060" spans="1:43" ht="15.75" customHeight="1">
      <c r="A1060" s="27"/>
      <c r="B1060" s="9"/>
      <c r="C1060" s="27"/>
      <c r="D1060" s="9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42"/>
      <c r="Y1060" s="42"/>
      <c r="Z1060" s="27"/>
      <c r="AA1060" s="27"/>
      <c r="AB1060" s="27"/>
      <c r="AC1060" s="9"/>
      <c r="AD1060" s="27"/>
      <c r="AE1060" s="9"/>
      <c r="AF1060" s="9"/>
      <c r="AG1060" s="27"/>
      <c r="AH1060" s="27"/>
      <c r="AI1060" s="27"/>
      <c r="AJ1060" s="42"/>
      <c r="AK1060" s="27"/>
      <c r="AL1060" s="27"/>
      <c r="AM1060" s="27"/>
      <c r="AN1060" s="27"/>
      <c r="AO1060" s="27"/>
      <c r="AP1060" s="27"/>
      <c r="AQ1060" s="27"/>
    </row>
    <row r="1061" spans="1:43" ht="15.75" customHeight="1">
      <c r="A1061" s="27"/>
      <c r="B1061" s="9"/>
      <c r="C1061" s="27"/>
      <c r="D1061" s="9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42"/>
      <c r="Y1061" s="42"/>
      <c r="Z1061" s="27"/>
      <c r="AA1061" s="27"/>
      <c r="AB1061" s="27"/>
      <c r="AC1061" s="9"/>
      <c r="AD1061" s="27"/>
      <c r="AE1061" s="9"/>
      <c r="AF1061" s="9"/>
      <c r="AG1061" s="27"/>
      <c r="AH1061" s="27"/>
      <c r="AI1061" s="27"/>
      <c r="AJ1061" s="42"/>
      <c r="AK1061" s="27"/>
      <c r="AL1061" s="27"/>
      <c r="AM1061" s="27"/>
      <c r="AN1061" s="27"/>
      <c r="AO1061" s="27"/>
      <c r="AP1061" s="27"/>
      <c r="AQ1061" s="27"/>
    </row>
    <row r="1062" spans="1:43" ht="15.75" customHeight="1">
      <c r="A1062" s="27"/>
      <c r="B1062" s="9"/>
      <c r="C1062" s="27"/>
      <c r="D1062" s="9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42"/>
      <c r="Y1062" s="42"/>
      <c r="Z1062" s="27"/>
      <c r="AA1062" s="27"/>
      <c r="AB1062" s="27"/>
      <c r="AC1062" s="9"/>
      <c r="AD1062" s="27"/>
      <c r="AE1062" s="9"/>
      <c r="AF1062" s="9"/>
      <c r="AG1062" s="27"/>
      <c r="AH1062" s="27"/>
      <c r="AI1062" s="27"/>
      <c r="AJ1062" s="42"/>
      <c r="AK1062" s="27"/>
      <c r="AL1062" s="27"/>
      <c r="AM1062" s="27"/>
      <c r="AN1062" s="27"/>
      <c r="AO1062" s="27"/>
      <c r="AP1062" s="27"/>
      <c r="AQ1062" s="27"/>
    </row>
    <row r="1063" spans="1:43" ht="15.75" customHeight="1">
      <c r="A1063" s="27"/>
      <c r="B1063" s="9"/>
      <c r="C1063" s="27"/>
      <c r="D1063" s="9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42"/>
      <c r="Y1063" s="42"/>
      <c r="Z1063" s="27"/>
      <c r="AA1063" s="27"/>
      <c r="AB1063" s="27"/>
      <c r="AC1063" s="9"/>
      <c r="AD1063" s="27"/>
      <c r="AE1063" s="9"/>
      <c r="AF1063" s="9"/>
      <c r="AG1063" s="27"/>
      <c r="AH1063" s="27"/>
      <c r="AI1063" s="27"/>
      <c r="AJ1063" s="42"/>
      <c r="AK1063" s="27"/>
      <c r="AL1063" s="27"/>
      <c r="AM1063" s="27"/>
      <c r="AN1063" s="27"/>
      <c r="AO1063" s="27"/>
      <c r="AP1063" s="27"/>
      <c r="AQ1063" s="27"/>
    </row>
    <row r="1064" spans="1:43" ht="15.75" customHeight="1">
      <c r="A1064" s="27"/>
      <c r="B1064" s="9"/>
      <c r="C1064" s="27"/>
      <c r="D1064" s="9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42"/>
      <c r="Y1064" s="42"/>
      <c r="Z1064" s="27"/>
      <c r="AA1064" s="27"/>
      <c r="AB1064" s="27"/>
      <c r="AC1064" s="9"/>
      <c r="AD1064" s="27"/>
      <c r="AE1064" s="9"/>
      <c r="AF1064" s="9"/>
      <c r="AG1064" s="27"/>
      <c r="AH1064" s="27"/>
      <c r="AI1064" s="27"/>
      <c r="AJ1064" s="42"/>
      <c r="AK1064" s="27"/>
      <c r="AL1064" s="27"/>
      <c r="AM1064" s="27"/>
      <c r="AN1064" s="27"/>
      <c r="AO1064" s="27"/>
      <c r="AP1064" s="27"/>
      <c r="AQ1064" s="27"/>
    </row>
    <row r="1065" spans="1:43" ht="15.75" customHeight="1">
      <c r="A1065" s="27"/>
      <c r="B1065" s="9"/>
      <c r="C1065" s="27"/>
      <c r="D1065" s="9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42"/>
      <c r="Y1065" s="42"/>
      <c r="Z1065" s="27"/>
      <c r="AA1065" s="27"/>
      <c r="AB1065" s="27"/>
      <c r="AC1065" s="9"/>
      <c r="AD1065" s="27"/>
      <c r="AE1065" s="9"/>
      <c r="AF1065" s="9"/>
      <c r="AG1065" s="27"/>
      <c r="AH1065" s="27"/>
      <c r="AI1065" s="27"/>
      <c r="AJ1065" s="42"/>
      <c r="AK1065" s="27"/>
      <c r="AL1065" s="27"/>
      <c r="AM1065" s="27"/>
      <c r="AN1065" s="27"/>
      <c r="AO1065" s="27"/>
      <c r="AP1065" s="27"/>
      <c r="AQ1065" s="27"/>
    </row>
    <row r="1066" spans="1:43" ht="15.75" customHeight="1">
      <c r="A1066" s="27"/>
      <c r="B1066" s="9"/>
      <c r="C1066" s="27"/>
      <c r="D1066" s="9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42"/>
      <c r="Y1066" s="42"/>
      <c r="Z1066" s="27"/>
      <c r="AA1066" s="27"/>
      <c r="AB1066" s="27"/>
      <c r="AC1066" s="9"/>
      <c r="AD1066" s="27"/>
      <c r="AE1066" s="9"/>
      <c r="AF1066" s="9"/>
      <c r="AG1066" s="27"/>
      <c r="AH1066" s="27"/>
      <c r="AI1066" s="27"/>
      <c r="AJ1066" s="42"/>
      <c r="AK1066" s="27"/>
      <c r="AL1066" s="27"/>
      <c r="AM1066" s="27"/>
      <c r="AN1066" s="27"/>
      <c r="AO1066" s="27"/>
      <c r="AP1066" s="27"/>
      <c r="AQ1066" s="27"/>
    </row>
    <row r="1067" spans="1:43" ht="15.75" customHeight="1">
      <c r="A1067" s="27"/>
      <c r="B1067" s="9"/>
      <c r="C1067" s="27"/>
      <c r="D1067" s="9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42"/>
      <c r="Y1067" s="42"/>
      <c r="Z1067" s="27"/>
      <c r="AA1067" s="27"/>
      <c r="AB1067" s="27"/>
      <c r="AC1067" s="9"/>
      <c r="AD1067" s="27"/>
      <c r="AE1067" s="9"/>
      <c r="AF1067" s="9"/>
      <c r="AG1067" s="27"/>
      <c r="AH1067" s="27"/>
      <c r="AI1067" s="27"/>
      <c r="AJ1067" s="42"/>
      <c r="AK1067" s="27"/>
      <c r="AL1067" s="27"/>
      <c r="AM1067" s="27"/>
      <c r="AN1067" s="27"/>
      <c r="AO1067" s="27"/>
      <c r="AP1067" s="27"/>
      <c r="AQ1067" s="27"/>
    </row>
    <row r="1068" spans="1:43" ht="15.75" customHeight="1">
      <c r="A1068" s="27"/>
      <c r="B1068" s="9"/>
      <c r="C1068" s="27"/>
      <c r="D1068" s="9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42"/>
      <c r="Y1068" s="42"/>
      <c r="Z1068" s="27"/>
      <c r="AA1068" s="27"/>
      <c r="AB1068" s="27"/>
      <c r="AC1068" s="9"/>
      <c r="AD1068" s="27"/>
      <c r="AE1068" s="9"/>
      <c r="AF1068" s="9"/>
      <c r="AG1068" s="27"/>
      <c r="AH1068" s="27"/>
      <c r="AI1068" s="27"/>
      <c r="AJ1068" s="42"/>
      <c r="AK1068" s="27"/>
      <c r="AL1068" s="27"/>
      <c r="AM1068" s="27"/>
      <c r="AN1068" s="27"/>
      <c r="AO1068" s="27"/>
      <c r="AP1068" s="27"/>
      <c r="AQ1068" s="27"/>
    </row>
    <row r="1069" spans="1:43" ht="15.75" customHeight="1">
      <c r="A1069" s="27"/>
      <c r="B1069" s="9"/>
      <c r="C1069" s="27"/>
      <c r="D1069" s="9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42"/>
      <c r="Y1069" s="42"/>
      <c r="Z1069" s="27"/>
      <c r="AA1069" s="27"/>
      <c r="AB1069" s="27"/>
      <c r="AC1069" s="9"/>
      <c r="AD1069" s="27"/>
      <c r="AE1069" s="9"/>
      <c r="AF1069" s="9"/>
      <c r="AG1069" s="27"/>
      <c r="AH1069" s="27"/>
      <c r="AI1069" s="27"/>
      <c r="AJ1069" s="42"/>
      <c r="AK1069" s="27"/>
      <c r="AL1069" s="27"/>
      <c r="AM1069" s="27"/>
      <c r="AN1069" s="27"/>
      <c r="AO1069" s="27"/>
      <c r="AP1069" s="27"/>
      <c r="AQ1069" s="27"/>
    </row>
    <row r="1070" spans="1:43" ht="15.75" customHeight="1">
      <c r="A1070" s="27"/>
      <c r="B1070" s="9"/>
      <c r="C1070" s="27"/>
      <c r="D1070" s="9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42"/>
      <c r="Y1070" s="42"/>
      <c r="Z1070" s="27"/>
      <c r="AA1070" s="27"/>
      <c r="AB1070" s="27"/>
      <c r="AC1070" s="9"/>
      <c r="AD1070" s="27"/>
      <c r="AE1070" s="9"/>
      <c r="AF1070" s="9"/>
      <c r="AG1070" s="27"/>
      <c r="AH1070" s="27"/>
      <c r="AI1070" s="27"/>
      <c r="AJ1070" s="42"/>
      <c r="AK1070" s="27"/>
      <c r="AL1070" s="27"/>
      <c r="AM1070" s="27"/>
      <c r="AN1070" s="27"/>
      <c r="AO1070" s="27"/>
      <c r="AP1070" s="27"/>
      <c r="AQ1070" s="27"/>
    </row>
    <row r="1071" spans="1:43" ht="15.75" customHeight="1">
      <c r="A1071" s="27"/>
      <c r="B1071" s="9"/>
      <c r="C1071" s="27"/>
      <c r="D1071" s="9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42"/>
      <c r="Y1071" s="42"/>
      <c r="Z1071" s="27"/>
      <c r="AA1071" s="27"/>
      <c r="AB1071" s="27"/>
      <c r="AC1071" s="9"/>
      <c r="AD1071" s="27"/>
      <c r="AE1071" s="9"/>
      <c r="AF1071" s="9"/>
      <c r="AG1071" s="27"/>
      <c r="AH1071" s="27"/>
      <c r="AI1071" s="27"/>
      <c r="AJ1071" s="42"/>
      <c r="AK1071" s="27"/>
      <c r="AL1071" s="27"/>
      <c r="AM1071" s="27"/>
      <c r="AN1071" s="27"/>
      <c r="AO1071" s="27"/>
      <c r="AP1071" s="27"/>
      <c r="AQ1071" s="27"/>
    </row>
    <row r="1072" spans="1:43" ht="15.75" customHeight="1">
      <c r="A1072" s="27"/>
      <c r="B1072" s="9"/>
      <c r="C1072" s="27"/>
      <c r="D1072" s="9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42"/>
      <c r="Y1072" s="42"/>
      <c r="Z1072" s="27"/>
      <c r="AA1072" s="27"/>
      <c r="AB1072" s="27"/>
      <c r="AC1072" s="9"/>
      <c r="AD1072" s="27"/>
      <c r="AE1072" s="9"/>
      <c r="AF1072" s="9"/>
      <c r="AG1072" s="27"/>
      <c r="AH1072" s="27"/>
      <c r="AI1072" s="27"/>
      <c r="AJ1072" s="42"/>
      <c r="AK1072" s="27"/>
      <c r="AL1072" s="27"/>
      <c r="AM1072" s="27"/>
      <c r="AN1072" s="27"/>
      <c r="AO1072" s="27"/>
      <c r="AP1072" s="27"/>
      <c r="AQ1072" s="27"/>
    </row>
    <row r="1073" spans="1:43" ht="15.75" customHeight="1">
      <c r="A1073" s="27"/>
      <c r="B1073" s="9"/>
      <c r="C1073" s="27"/>
      <c r="D1073" s="9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42"/>
      <c r="Y1073" s="42"/>
      <c r="Z1073" s="27"/>
      <c r="AA1073" s="27"/>
      <c r="AB1073" s="27"/>
      <c r="AC1073" s="9"/>
      <c r="AD1073" s="27"/>
      <c r="AE1073" s="9"/>
      <c r="AF1073" s="9"/>
      <c r="AG1073" s="27"/>
      <c r="AH1073" s="27"/>
      <c r="AI1073" s="27"/>
      <c r="AJ1073" s="42"/>
      <c r="AK1073" s="27"/>
      <c r="AL1073" s="27"/>
      <c r="AM1073" s="27"/>
      <c r="AN1073" s="27"/>
      <c r="AO1073" s="27"/>
      <c r="AP1073" s="27"/>
      <c r="AQ1073" s="27"/>
    </row>
    <row r="1074" spans="1:43" ht="15.75" customHeight="1">
      <c r="A1074" s="27"/>
      <c r="B1074" s="9"/>
      <c r="C1074" s="27"/>
      <c r="D1074" s="9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42"/>
      <c r="Y1074" s="42"/>
      <c r="Z1074" s="27"/>
      <c r="AA1074" s="27"/>
      <c r="AB1074" s="27"/>
      <c r="AC1074" s="9"/>
      <c r="AD1074" s="27"/>
      <c r="AE1074" s="9"/>
      <c r="AF1074" s="9"/>
      <c r="AG1074" s="27"/>
      <c r="AH1074" s="27"/>
      <c r="AI1074" s="27"/>
      <c r="AJ1074" s="42"/>
      <c r="AK1074" s="27"/>
      <c r="AL1074" s="27"/>
      <c r="AM1074" s="27"/>
      <c r="AN1074" s="27"/>
      <c r="AO1074" s="27"/>
      <c r="AP1074" s="27"/>
      <c r="AQ1074" s="27"/>
    </row>
    <row r="1075" spans="1:43" ht="15.75" customHeight="1">
      <c r="A1075" s="27"/>
      <c r="B1075" s="9"/>
      <c r="C1075" s="27"/>
      <c r="D1075" s="9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42"/>
      <c r="Y1075" s="42"/>
      <c r="Z1075" s="27"/>
      <c r="AA1075" s="27"/>
      <c r="AB1075" s="27"/>
      <c r="AC1075" s="9"/>
      <c r="AD1075" s="27"/>
      <c r="AE1075" s="9"/>
      <c r="AF1075" s="9"/>
      <c r="AG1075" s="27"/>
      <c r="AH1075" s="27"/>
      <c r="AI1075" s="27"/>
      <c r="AJ1075" s="42"/>
      <c r="AK1075" s="27"/>
      <c r="AL1075" s="27"/>
      <c r="AM1075" s="27"/>
      <c r="AN1075" s="27"/>
      <c r="AO1075" s="27"/>
      <c r="AP1075" s="27"/>
      <c r="AQ1075" s="27"/>
    </row>
    <row r="1076" spans="1:43" ht="15.75" customHeight="1">
      <c r="A1076" s="27"/>
      <c r="B1076" s="9"/>
      <c r="C1076" s="27"/>
      <c r="D1076" s="9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42"/>
      <c r="Y1076" s="42"/>
      <c r="Z1076" s="27"/>
      <c r="AA1076" s="27"/>
      <c r="AB1076" s="27"/>
      <c r="AC1076" s="9"/>
      <c r="AD1076" s="27"/>
      <c r="AE1076" s="9"/>
      <c r="AF1076" s="9"/>
      <c r="AG1076" s="27"/>
      <c r="AH1076" s="27"/>
      <c r="AI1076" s="27"/>
      <c r="AJ1076" s="42"/>
      <c r="AK1076" s="27"/>
      <c r="AL1076" s="27"/>
      <c r="AM1076" s="27"/>
      <c r="AN1076" s="27"/>
      <c r="AO1076" s="27"/>
      <c r="AP1076" s="27"/>
      <c r="AQ1076" s="27"/>
    </row>
    <row r="1077" spans="1:43" ht="15.75" customHeight="1">
      <c r="A1077" s="27"/>
      <c r="B1077" s="9"/>
      <c r="C1077" s="27"/>
      <c r="D1077" s="9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42"/>
      <c r="Y1077" s="42"/>
      <c r="Z1077" s="27"/>
      <c r="AA1077" s="27"/>
      <c r="AB1077" s="27"/>
      <c r="AC1077" s="9"/>
      <c r="AD1077" s="27"/>
      <c r="AE1077" s="9"/>
      <c r="AF1077" s="9"/>
      <c r="AG1077" s="27"/>
      <c r="AH1077" s="27"/>
      <c r="AI1077" s="27"/>
      <c r="AJ1077" s="42"/>
      <c r="AK1077" s="27"/>
      <c r="AL1077" s="27"/>
      <c r="AM1077" s="27"/>
      <c r="AN1077" s="27"/>
      <c r="AO1077" s="27"/>
      <c r="AP1077" s="27"/>
      <c r="AQ1077" s="27"/>
    </row>
    <row r="1078" spans="1:43" ht="15.75" customHeight="1">
      <c r="A1078" s="27"/>
      <c r="B1078" s="9"/>
      <c r="C1078" s="27"/>
      <c r="D1078" s="9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42"/>
      <c r="Y1078" s="42"/>
      <c r="Z1078" s="27"/>
      <c r="AA1078" s="27"/>
      <c r="AB1078" s="27"/>
      <c r="AC1078" s="9"/>
      <c r="AD1078" s="27"/>
      <c r="AE1078" s="9"/>
      <c r="AF1078" s="9"/>
      <c r="AG1078" s="27"/>
      <c r="AH1078" s="27"/>
      <c r="AI1078" s="27"/>
      <c r="AJ1078" s="42"/>
      <c r="AK1078" s="27"/>
      <c r="AL1078" s="27"/>
      <c r="AM1078" s="27"/>
      <c r="AN1078" s="27"/>
      <c r="AO1078" s="27"/>
      <c r="AP1078" s="27"/>
      <c r="AQ1078" s="27"/>
    </row>
    <row r="1079" spans="1:43" ht="15.75" customHeight="1">
      <c r="A1079" s="27"/>
      <c r="B1079" s="9"/>
      <c r="C1079" s="27"/>
      <c r="D1079" s="9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42"/>
      <c r="Y1079" s="42"/>
      <c r="Z1079" s="27"/>
      <c r="AA1079" s="27"/>
      <c r="AB1079" s="27"/>
      <c r="AC1079" s="9"/>
      <c r="AD1079" s="27"/>
      <c r="AE1079" s="9"/>
      <c r="AF1079" s="9"/>
      <c r="AG1079" s="27"/>
      <c r="AH1079" s="27"/>
      <c r="AI1079" s="27"/>
      <c r="AJ1079" s="42"/>
      <c r="AK1079" s="27"/>
      <c r="AL1079" s="27"/>
      <c r="AM1079" s="27"/>
      <c r="AN1079" s="27"/>
      <c r="AO1079" s="27"/>
      <c r="AP1079" s="27"/>
      <c r="AQ1079" s="27"/>
    </row>
    <row r="1080" spans="1:43" ht="15.75" customHeight="1">
      <c r="A1080" s="27"/>
      <c r="B1080" s="9"/>
      <c r="C1080" s="27"/>
      <c r="D1080" s="9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42"/>
      <c r="Y1080" s="42"/>
      <c r="Z1080" s="27"/>
      <c r="AA1080" s="27"/>
      <c r="AB1080" s="27"/>
      <c r="AC1080" s="9"/>
      <c r="AD1080" s="27"/>
      <c r="AE1080" s="9"/>
      <c r="AF1080" s="9"/>
      <c r="AG1080" s="27"/>
      <c r="AH1080" s="27"/>
      <c r="AI1080" s="27"/>
      <c r="AJ1080" s="42"/>
      <c r="AK1080" s="27"/>
      <c r="AL1080" s="27"/>
      <c r="AM1080" s="27"/>
      <c r="AN1080" s="27"/>
      <c r="AO1080" s="27"/>
      <c r="AP1080" s="27"/>
      <c r="AQ1080" s="27"/>
    </row>
    <row r="1081" spans="1:43" ht="15.75" customHeight="1">
      <c r="A1081" s="27"/>
      <c r="B1081" s="9"/>
      <c r="C1081" s="27"/>
      <c r="D1081" s="9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42"/>
      <c r="Y1081" s="42"/>
      <c r="Z1081" s="27"/>
      <c r="AA1081" s="27"/>
      <c r="AB1081" s="27"/>
      <c r="AC1081" s="9"/>
      <c r="AD1081" s="27"/>
      <c r="AE1081" s="9"/>
      <c r="AF1081" s="9"/>
      <c r="AG1081" s="27"/>
      <c r="AH1081" s="27"/>
      <c r="AI1081" s="27"/>
      <c r="AJ1081" s="42"/>
      <c r="AK1081" s="27"/>
      <c r="AL1081" s="27"/>
      <c r="AM1081" s="27"/>
      <c r="AN1081" s="27"/>
      <c r="AO1081" s="27"/>
      <c r="AP1081" s="27"/>
      <c r="AQ1081" s="27"/>
    </row>
    <row r="1082" spans="1:43" ht="15.75" customHeight="1">
      <c r="A1082" s="27"/>
      <c r="B1082" s="9"/>
      <c r="C1082" s="27"/>
      <c r="D1082" s="9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42"/>
      <c r="Y1082" s="42"/>
      <c r="Z1082" s="27"/>
      <c r="AA1082" s="27"/>
      <c r="AB1082" s="27"/>
      <c r="AC1082" s="9"/>
      <c r="AD1082" s="27"/>
      <c r="AE1082" s="9"/>
      <c r="AF1082" s="9"/>
      <c r="AG1082" s="27"/>
      <c r="AH1082" s="27"/>
      <c r="AI1082" s="27"/>
      <c r="AJ1082" s="42"/>
      <c r="AK1082" s="27"/>
      <c r="AL1082" s="27"/>
      <c r="AM1082" s="27"/>
      <c r="AN1082" s="27"/>
      <c r="AO1082" s="27"/>
      <c r="AP1082" s="27"/>
      <c r="AQ1082" s="27"/>
    </row>
    <row r="1083" spans="1:43" ht="15.75" customHeight="1">
      <c r="A1083" s="27"/>
      <c r="B1083" s="9"/>
      <c r="C1083" s="27"/>
      <c r="D1083" s="9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42"/>
      <c r="Y1083" s="42"/>
      <c r="Z1083" s="27"/>
      <c r="AA1083" s="27"/>
      <c r="AB1083" s="27"/>
      <c r="AC1083" s="9"/>
      <c r="AD1083" s="27"/>
      <c r="AE1083" s="9"/>
      <c r="AF1083" s="9"/>
      <c r="AG1083" s="27"/>
      <c r="AH1083" s="27"/>
      <c r="AI1083" s="27"/>
      <c r="AJ1083" s="42"/>
      <c r="AK1083" s="27"/>
      <c r="AL1083" s="27"/>
      <c r="AM1083" s="27"/>
      <c r="AN1083" s="27"/>
      <c r="AO1083" s="27"/>
      <c r="AP1083" s="27"/>
      <c r="AQ1083" s="27"/>
    </row>
    <row r="1084" spans="1:43" ht="15.75" customHeight="1">
      <c r="A1084" s="27"/>
      <c r="B1084" s="9"/>
      <c r="C1084" s="27"/>
      <c r="D1084" s="9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42"/>
      <c r="Y1084" s="42"/>
      <c r="Z1084" s="27"/>
      <c r="AA1084" s="27"/>
      <c r="AB1084" s="27"/>
      <c r="AC1084" s="9"/>
      <c r="AD1084" s="27"/>
      <c r="AE1084" s="9"/>
      <c r="AF1084" s="9"/>
      <c r="AG1084" s="27"/>
      <c r="AH1084" s="27"/>
      <c r="AI1084" s="27"/>
      <c r="AJ1084" s="42"/>
      <c r="AK1084" s="27"/>
      <c r="AL1084" s="27"/>
      <c r="AM1084" s="27"/>
      <c r="AN1084" s="27"/>
      <c r="AO1084" s="27"/>
      <c r="AP1084" s="27"/>
      <c r="AQ1084" s="27"/>
    </row>
    <row r="1085" spans="1:43" ht="15.75" customHeight="1">
      <c r="A1085" s="27"/>
      <c r="B1085" s="9"/>
      <c r="C1085" s="27"/>
      <c r="D1085" s="9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42"/>
      <c r="Y1085" s="42"/>
      <c r="Z1085" s="27"/>
      <c r="AA1085" s="27"/>
      <c r="AB1085" s="27"/>
      <c r="AC1085" s="9"/>
      <c r="AD1085" s="27"/>
      <c r="AE1085" s="9"/>
      <c r="AF1085" s="9"/>
      <c r="AG1085" s="27"/>
      <c r="AH1085" s="27"/>
      <c r="AI1085" s="27"/>
      <c r="AJ1085" s="42"/>
      <c r="AK1085" s="27"/>
      <c r="AL1085" s="27"/>
      <c r="AM1085" s="27"/>
      <c r="AN1085" s="27"/>
      <c r="AO1085" s="27"/>
      <c r="AP1085" s="27"/>
      <c r="AQ1085" s="27"/>
    </row>
    <row r="1086" spans="1:43" ht="15.75" customHeight="1">
      <c r="A1086" s="27"/>
      <c r="B1086" s="9"/>
      <c r="C1086" s="27"/>
      <c r="D1086" s="9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42"/>
      <c r="Y1086" s="42"/>
      <c r="Z1086" s="27"/>
      <c r="AA1086" s="27"/>
      <c r="AB1086" s="27"/>
      <c r="AC1086" s="9"/>
      <c r="AD1086" s="27"/>
      <c r="AE1086" s="9"/>
      <c r="AF1086" s="9"/>
      <c r="AG1086" s="27"/>
      <c r="AH1086" s="27"/>
      <c r="AI1086" s="27"/>
      <c r="AJ1086" s="42"/>
      <c r="AK1086" s="27"/>
      <c r="AL1086" s="27"/>
      <c r="AM1086" s="27"/>
      <c r="AN1086" s="27"/>
      <c r="AO1086" s="27"/>
      <c r="AP1086" s="27"/>
      <c r="AQ1086" s="27"/>
    </row>
    <row r="1087" spans="1:43" ht="15.75" customHeight="1">
      <c r="A1087" s="27"/>
      <c r="B1087" s="9"/>
      <c r="C1087" s="27"/>
      <c r="D1087" s="9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42"/>
      <c r="Y1087" s="42"/>
      <c r="Z1087" s="27"/>
      <c r="AA1087" s="27"/>
      <c r="AB1087" s="27"/>
      <c r="AC1087" s="9"/>
      <c r="AD1087" s="27"/>
      <c r="AE1087" s="9"/>
      <c r="AF1087" s="9"/>
      <c r="AG1087" s="27"/>
      <c r="AH1087" s="27"/>
      <c r="AI1087" s="27"/>
      <c r="AJ1087" s="42"/>
      <c r="AK1087" s="27"/>
      <c r="AL1087" s="27"/>
      <c r="AM1087" s="27"/>
      <c r="AN1087" s="27"/>
      <c r="AO1087" s="27"/>
      <c r="AP1087" s="27"/>
      <c r="AQ1087" s="27"/>
    </row>
    <row r="1088" spans="1:43" ht="15.75" customHeight="1">
      <c r="A1088" s="27"/>
      <c r="B1088" s="9"/>
      <c r="C1088" s="27"/>
      <c r="D1088" s="9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42"/>
      <c r="Y1088" s="42"/>
      <c r="Z1088" s="27"/>
      <c r="AA1088" s="27"/>
      <c r="AB1088" s="27"/>
      <c r="AC1088" s="9"/>
      <c r="AD1088" s="27"/>
      <c r="AE1088" s="9"/>
      <c r="AF1088" s="9"/>
      <c r="AG1088" s="27"/>
      <c r="AH1088" s="27"/>
      <c r="AI1088" s="27"/>
      <c r="AJ1088" s="42"/>
      <c r="AK1088" s="27"/>
      <c r="AL1088" s="27"/>
      <c r="AM1088" s="27"/>
      <c r="AN1088" s="27"/>
      <c r="AO1088" s="27"/>
      <c r="AP1088" s="27"/>
      <c r="AQ1088" s="27"/>
    </row>
    <row r="1089" spans="1:43" ht="15.75" customHeight="1">
      <c r="A1089" s="27"/>
      <c r="B1089" s="9"/>
      <c r="C1089" s="27"/>
      <c r="D1089" s="9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42"/>
      <c r="Y1089" s="42"/>
      <c r="Z1089" s="27"/>
      <c r="AA1089" s="27"/>
      <c r="AB1089" s="27"/>
      <c r="AC1089" s="9"/>
      <c r="AD1089" s="27"/>
      <c r="AE1089" s="9"/>
      <c r="AF1089" s="9"/>
      <c r="AG1089" s="27"/>
      <c r="AH1089" s="27"/>
      <c r="AI1089" s="27"/>
      <c r="AJ1089" s="42"/>
      <c r="AK1089" s="27"/>
      <c r="AL1089" s="27"/>
      <c r="AM1089" s="27"/>
      <c r="AN1089" s="27"/>
      <c r="AO1089" s="27"/>
      <c r="AP1089" s="27"/>
      <c r="AQ1089" s="27"/>
    </row>
    <row r="1090" spans="1:43" ht="15.75" customHeight="1">
      <c r="A1090" s="27"/>
      <c r="B1090" s="9"/>
      <c r="C1090" s="27"/>
      <c r="D1090" s="9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42"/>
      <c r="Y1090" s="42"/>
      <c r="Z1090" s="27"/>
      <c r="AA1090" s="27"/>
      <c r="AB1090" s="27"/>
      <c r="AC1090" s="9"/>
      <c r="AD1090" s="27"/>
      <c r="AE1090" s="9"/>
      <c r="AF1090" s="9"/>
      <c r="AG1090" s="27"/>
      <c r="AH1090" s="27"/>
      <c r="AI1090" s="27"/>
      <c r="AJ1090" s="42"/>
      <c r="AK1090" s="27"/>
      <c r="AL1090" s="27"/>
      <c r="AM1090" s="27"/>
      <c r="AN1090" s="27"/>
      <c r="AO1090" s="27"/>
      <c r="AP1090" s="27"/>
      <c r="AQ1090" s="27"/>
    </row>
    <row r="1091" spans="1:43" ht="15.75" customHeight="1">
      <c r="A1091" s="27"/>
      <c r="B1091" s="9"/>
      <c r="C1091" s="27"/>
      <c r="D1091" s="9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42"/>
      <c r="Y1091" s="42"/>
      <c r="Z1091" s="27"/>
      <c r="AA1091" s="27"/>
      <c r="AB1091" s="27"/>
      <c r="AC1091" s="9"/>
      <c r="AD1091" s="27"/>
      <c r="AE1091" s="9"/>
      <c r="AF1091" s="9"/>
      <c r="AG1091" s="27"/>
      <c r="AH1091" s="27"/>
      <c r="AI1091" s="27"/>
      <c r="AJ1091" s="42"/>
      <c r="AK1091" s="27"/>
      <c r="AL1091" s="27"/>
      <c r="AM1091" s="27"/>
      <c r="AN1091" s="27"/>
      <c r="AO1091" s="27"/>
      <c r="AP1091" s="27"/>
      <c r="AQ1091" s="27"/>
    </row>
    <row r="1092" spans="1:43" ht="15.75" customHeight="1">
      <c r="A1092" s="27"/>
      <c r="B1092" s="9"/>
      <c r="C1092" s="27"/>
      <c r="D1092" s="9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42"/>
      <c r="Y1092" s="42"/>
      <c r="Z1092" s="27"/>
      <c r="AA1092" s="27"/>
      <c r="AB1092" s="27"/>
      <c r="AC1092" s="9"/>
      <c r="AD1092" s="27"/>
      <c r="AE1092" s="9"/>
      <c r="AF1092" s="9"/>
      <c r="AG1092" s="27"/>
      <c r="AH1092" s="27"/>
      <c r="AI1092" s="27"/>
      <c r="AJ1092" s="42"/>
      <c r="AK1092" s="27"/>
      <c r="AL1092" s="27"/>
      <c r="AM1092" s="27"/>
      <c r="AN1092" s="27"/>
      <c r="AO1092" s="27"/>
      <c r="AP1092" s="27"/>
      <c r="AQ1092" s="27"/>
    </row>
    <row r="1093" spans="1:43" ht="15.75" customHeight="1">
      <c r="A1093" s="27"/>
      <c r="B1093" s="9"/>
      <c r="C1093" s="27"/>
      <c r="D1093" s="9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42"/>
      <c r="Y1093" s="42"/>
      <c r="Z1093" s="27"/>
      <c r="AA1093" s="27"/>
      <c r="AB1093" s="27"/>
      <c r="AC1093" s="9"/>
      <c r="AD1093" s="27"/>
      <c r="AE1093" s="9"/>
      <c r="AF1093" s="9"/>
      <c r="AG1093" s="27"/>
      <c r="AH1093" s="27"/>
      <c r="AI1093" s="27"/>
      <c r="AJ1093" s="42"/>
      <c r="AK1093" s="27"/>
      <c r="AL1093" s="27"/>
      <c r="AM1093" s="27"/>
      <c r="AN1093" s="27"/>
      <c r="AO1093" s="27"/>
      <c r="AP1093" s="27"/>
      <c r="AQ1093" s="27"/>
    </row>
    <row r="1094" spans="1:43" ht="15.75" customHeight="1">
      <c r="A1094" s="27"/>
      <c r="B1094" s="9"/>
      <c r="C1094" s="27"/>
      <c r="D1094" s="9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42"/>
      <c r="Y1094" s="42"/>
      <c r="Z1094" s="27"/>
      <c r="AA1094" s="27"/>
      <c r="AB1094" s="27"/>
      <c r="AC1094" s="9"/>
      <c r="AD1094" s="27"/>
      <c r="AE1094" s="9"/>
      <c r="AF1094" s="9"/>
      <c r="AG1094" s="27"/>
      <c r="AH1094" s="27"/>
      <c r="AI1094" s="27"/>
      <c r="AJ1094" s="42"/>
      <c r="AK1094" s="27"/>
      <c r="AL1094" s="27"/>
      <c r="AM1094" s="27"/>
      <c r="AN1094" s="27"/>
      <c r="AO1094" s="27"/>
      <c r="AP1094" s="27"/>
      <c r="AQ1094" s="27"/>
    </row>
    <row r="1095" spans="1:43" ht="15.75" customHeight="1">
      <c r="A1095" s="27"/>
      <c r="B1095" s="9"/>
      <c r="C1095" s="27"/>
      <c r="D1095" s="9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42"/>
      <c r="Y1095" s="42"/>
      <c r="Z1095" s="27"/>
      <c r="AA1095" s="27"/>
      <c r="AB1095" s="27"/>
      <c r="AC1095" s="9"/>
      <c r="AD1095" s="27"/>
      <c r="AE1095" s="9"/>
      <c r="AF1095" s="9"/>
      <c r="AG1095" s="27"/>
      <c r="AH1095" s="27"/>
      <c r="AI1095" s="27"/>
      <c r="AJ1095" s="42"/>
      <c r="AK1095" s="27"/>
      <c r="AL1095" s="27"/>
      <c r="AM1095" s="27"/>
      <c r="AN1095" s="27"/>
      <c r="AO1095" s="27"/>
      <c r="AP1095" s="27"/>
      <c r="AQ1095" s="27"/>
    </row>
    <row r="1096" spans="1:43" ht="15.75" customHeight="1">
      <c r="A1096" s="27"/>
      <c r="B1096" s="9"/>
      <c r="C1096" s="27"/>
      <c r="D1096" s="9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42"/>
      <c r="Y1096" s="42"/>
      <c r="Z1096" s="27"/>
      <c r="AA1096" s="27"/>
      <c r="AB1096" s="27"/>
      <c r="AC1096" s="9"/>
      <c r="AD1096" s="27"/>
      <c r="AE1096" s="9"/>
      <c r="AF1096" s="9"/>
      <c r="AG1096" s="27"/>
      <c r="AH1096" s="27"/>
      <c r="AI1096" s="27"/>
      <c r="AJ1096" s="42"/>
      <c r="AK1096" s="27"/>
      <c r="AL1096" s="27"/>
      <c r="AM1096" s="27"/>
      <c r="AN1096" s="27"/>
      <c r="AO1096" s="27"/>
      <c r="AP1096" s="27"/>
      <c r="AQ1096" s="27"/>
    </row>
    <row r="1097" spans="1:43" ht="15.75" customHeight="1">
      <c r="A1097" s="27"/>
      <c r="B1097" s="9"/>
      <c r="C1097" s="27"/>
      <c r="D1097" s="9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42"/>
      <c r="Y1097" s="42"/>
      <c r="Z1097" s="27"/>
      <c r="AA1097" s="27"/>
      <c r="AB1097" s="27"/>
      <c r="AC1097" s="9"/>
      <c r="AD1097" s="27"/>
      <c r="AE1097" s="9"/>
      <c r="AF1097" s="9"/>
      <c r="AG1097" s="27"/>
      <c r="AH1097" s="27"/>
      <c r="AI1097" s="27"/>
      <c r="AJ1097" s="42"/>
      <c r="AK1097" s="27"/>
      <c r="AL1097" s="27"/>
      <c r="AM1097" s="27"/>
      <c r="AN1097" s="27"/>
      <c r="AO1097" s="27"/>
      <c r="AP1097" s="27"/>
      <c r="AQ1097" s="27"/>
    </row>
    <row r="1098" spans="1:43" ht="15.75" customHeight="1">
      <c r="A1098" s="27"/>
      <c r="B1098" s="9"/>
      <c r="C1098" s="27"/>
      <c r="D1098" s="9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42"/>
      <c r="Y1098" s="42"/>
      <c r="Z1098" s="27"/>
      <c r="AA1098" s="27"/>
      <c r="AB1098" s="27"/>
      <c r="AC1098" s="9"/>
      <c r="AD1098" s="27"/>
      <c r="AE1098" s="9"/>
      <c r="AF1098" s="9"/>
      <c r="AG1098" s="27"/>
      <c r="AH1098" s="27"/>
      <c r="AI1098" s="27"/>
      <c r="AJ1098" s="42"/>
      <c r="AK1098" s="27"/>
      <c r="AL1098" s="27"/>
      <c r="AM1098" s="27"/>
      <c r="AN1098" s="27"/>
      <c r="AO1098" s="27"/>
      <c r="AP1098" s="27"/>
      <c r="AQ1098" s="27"/>
    </row>
    <row r="1099" spans="1:43" ht="15.75" customHeight="1">
      <c r="A1099" s="27"/>
      <c r="B1099" s="9"/>
      <c r="C1099" s="27"/>
      <c r="D1099" s="9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42"/>
      <c r="Y1099" s="42"/>
      <c r="Z1099" s="27"/>
      <c r="AA1099" s="27"/>
      <c r="AB1099" s="27"/>
      <c r="AC1099" s="9"/>
      <c r="AD1099" s="27"/>
      <c r="AE1099" s="9"/>
      <c r="AF1099" s="9"/>
      <c r="AG1099" s="27"/>
      <c r="AH1099" s="27"/>
      <c r="AI1099" s="27"/>
      <c r="AJ1099" s="42"/>
      <c r="AK1099" s="27"/>
      <c r="AL1099" s="27"/>
      <c r="AM1099" s="27"/>
      <c r="AN1099" s="27"/>
      <c r="AO1099" s="27"/>
      <c r="AP1099" s="27"/>
      <c r="AQ1099" s="27"/>
    </row>
    <row r="1100" spans="1:43" ht="15.75" customHeight="1">
      <c r="A1100" s="27"/>
      <c r="B1100" s="9"/>
      <c r="C1100" s="27"/>
      <c r="D1100" s="9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42"/>
      <c r="Y1100" s="42"/>
      <c r="Z1100" s="27"/>
      <c r="AA1100" s="27"/>
      <c r="AB1100" s="27"/>
      <c r="AC1100" s="9"/>
      <c r="AD1100" s="27"/>
      <c r="AE1100" s="9"/>
      <c r="AF1100" s="9"/>
      <c r="AG1100" s="27"/>
      <c r="AH1100" s="27"/>
      <c r="AI1100" s="27"/>
      <c r="AJ1100" s="42"/>
      <c r="AK1100" s="27"/>
      <c r="AL1100" s="27"/>
      <c r="AM1100" s="27"/>
      <c r="AN1100" s="27"/>
      <c r="AO1100" s="27"/>
      <c r="AP1100" s="27"/>
      <c r="AQ1100" s="27"/>
    </row>
    <row r="1101" spans="1:43" ht="15.75" customHeight="1">
      <c r="A1101" s="27"/>
      <c r="B1101" s="9"/>
      <c r="C1101" s="27"/>
      <c r="D1101" s="9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42"/>
      <c r="Y1101" s="42"/>
      <c r="Z1101" s="27"/>
      <c r="AA1101" s="27"/>
      <c r="AB1101" s="27"/>
      <c r="AC1101" s="9"/>
      <c r="AD1101" s="27"/>
      <c r="AE1101" s="9"/>
      <c r="AF1101" s="9"/>
      <c r="AG1101" s="27"/>
      <c r="AH1101" s="27"/>
      <c r="AI1101" s="27"/>
      <c r="AJ1101" s="42"/>
      <c r="AK1101" s="27"/>
      <c r="AL1101" s="27"/>
      <c r="AM1101" s="27"/>
      <c r="AN1101" s="27"/>
      <c r="AO1101" s="27"/>
      <c r="AP1101" s="27"/>
      <c r="AQ1101" s="27"/>
    </row>
    <row r="1102" spans="1:43" ht="15.75" customHeight="1">
      <c r="A1102" s="27"/>
      <c r="B1102" s="9"/>
      <c r="C1102" s="27"/>
      <c r="D1102" s="9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42"/>
      <c r="Y1102" s="42"/>
      <c r="Z1102" s="27"/>
      <c r="AA1102" s="27"/>
      <c r="AB1102" s="27"/>
      <c r="AC1102" s="9"/>
      <c r="AD1102" s="27"/>
      <c r="AE1102" s="9"/>
      <c r="AF1102" s="9"/>
      <c r="AG1102" s="27"/>
      <c r="AH1102" s="27"/>
      <c r="AI1102" s="27"/>
      <c r="AJ1102" s="42"/>
      <c r="AK1102" s="27"/>
      <c r="AL1102" s="27"/>
      <c r="AM1102" s="27"/>
      <c r="AN1102" s="27"/>
      <c r="AO1102" s="27"/>
      <c r="AP1102" s="27"/>
      <c r="AQ1102" s="27"/>
    </row>
    <row r="1103" spans="1:43" ht="15.75" customHeight="1">
      <c r="A1103" s="27"/>
      <c r="B1103" s="9"/>
      <c r="C1103" s="27"/>
      <c r="D1103" s="9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42"/>
      <c r="Y1103" s="42"/>
      <c r="Z1103" s="27"/>
      <c r="AA1103" s="27"/>
      <c r="AB1103" s="27"/>
      <c r="AC1103" s="9"/>
      <c r="AD1103" s="27"/>
      <c r="AE1103" s="9"/>
      <c r="AF1103" s="9"/>
      <c r="AG1103" s="27"/>
      <c r="AH1103" s="27"/>
      <c r="AI1103" s="27"/>
      <c r="AJ1103" s="42"/>
      <c r="AK1103" s="27"/>
      <c r="AL1103" s="27"/>
      <c r="AM1103" s="27"/>
      <c r="AN1103" s="27"/>
      <c r="AO1103" s="27"/>
      <c r="AP1103" s="27"/>
      <c r="AQ1103" s="27"/>
    </row>
    <row r="1104" spans="1:43" ht="15.75" customHeight="1">
      <c r="A1104" s="27"/>
      <c r="B1104" s="9"/>
      <c r="C1104" s="27"/>
      <c r="D1104" s="9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42"/>
      <c r="Y1104" s="42"/>
      <c r="Z1104" s="27"/>
      <c r="AA1104" s="27"/>
      <c r="AB1104" s="27"/>
      <c r="AC1104" s="9"/>
      <c r="AD1104" s="27"/>
      <c r="AE1104" s="9"/>
      <c r="AF1104" s="9"/>
      <c r="AG1104" s="27"/>
      <c r="AH1104" s="27"/>
      <c r="AI1104" s="27"/>
      <c r="AJ1104" s="42"/>
      <c r="AK1104" s="27"/>
      <c r="AL1104" s="27"/>
      <c r="AM1104" s="27"/>
      <c r="AN1104" s="27"/>
      <c r="AO1104" s="27"/>
      <c r="AP1104" s="27"/>
      <c r="AQ1104" s="27"/>
    </row>
    <row r="1105" spans="1:43" ht="15.75" customHeight="1">
      <c r="A1105" s="27"/>
      <c r="B1105" s="9"/>
      <c r="C1105" s="27"/>
      <c r="D1105" s="9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42"/>
      <c r="Y1105" s="42"/>
      <c r="Z1105" s="27"/>
      <c r="AA1105" s="27"/>
      <c r="AB1105" s="27"/>
      <c r="AC1105" s="9"/>
      <c r="AD1105" s="27"/>
      <c r="AE1105" s="9"/>
      <c r="AF1105" s="9"/>
      <c r="AG1105" s="27"/>
      <c r="AH1105" s="27"/>
      <c r="AI1105" s="27"/>
      <c r="AJ1105" s="42"/>
      <c r="AK1105" s="27"/>
      <c r="AL1105" s="27"/>
      <c r="AM1105" s="27"/>
      <c r="AN1105" s="27"/>
      <c r="AO1105" s="27"/>
      <c r="AP1105" s="27"/>
      <c r="AQ1105" s="27"/>
    </row>
    <row r="1106" spans="1:43" ht="15.75" customHeight="1">
      <c r="A1106" s="27"/>
      <c r="B1106" s="9"/>
      <c r="C1106" s="27"/>
      <c r="D1106" s="9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42"/>
      <c r="Y1106" s="42"/>
      <c r="Z1106" s="27"/>
      <c r="AA1106" s="27"/>
      <c r="AB1106" s="27"/>
      <c r="AC1106" s="9"/>
      <c r="AD1106" s="27"/>
      <c r="AE1106" s="9"/>
      <c r="AF1106" s="9"/>
      <c r="AG1106" s="27"/>
      <c r="AH1106" s="27"/>
      <c r="AI1106" s="27"/>
      <c r="AJ1106" s="42"/>
      <c r="AK1106" s="27"/>
      <c r="AL1106" s="27"/>
      <c r="AM1106" s="27"/>
      <c r="AN1106" s="27"/>
      <c r="AO1106" s="27"/>
      <c r="AP1106" s="27"/>
      <c r="AQ1106" s="27"/>
    </row>
    <row r="1107" spans="1:43" ht="15.75" customHeight="1">
      <c r="A1107" s="27"/>
      <c r="B1107" s="9"/>
      <c r="C1107" s="27"/>
      <c r="D1107" s="9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42"/>
      <c r="Y1107" s="42"/>
      <c r="Z1107" s="27"/>
      <c r="AA1107" s="27"/>
      <c r="AB1107" s="27"/>
      <c r="AC1107" s="9"/>
      <c r="AD1107" s="27"/>
      <c r="AE1107" s="9"/>
      <c r="AF1107" s="9"/>
      <c r="AG1107" s="27"/>
      <c r="AH1107" s="27"/>
      <c r="AI1107" s="27"/>
      <c r="AJ1107" s="42"/>
      <c r="AK1107" s="27"/>
      <c r="AL1107" s="27"/>
      <c r="AM1107" s="27"/>
      <c r="AN1107" s="27"/>
      <c r="AO1107" s="27"/>
      <c r="AP1107" s="27"/>
      <c r="AQ1107" s="27"/>
    </row>
    <row r="1108" spans="1:43" ht="15.75" customHeight="1">
      <c r="A1108" s="27"/>
      <c r="B1108" s="9"/>
      <c r="C1108" s="27"/>
      <c r="D1108" s="9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42"/>
      <c r="Y1108" s="42"/>
      <c r="Z1108" s="27"/>
      <c r="AA1108" s="27"/>
      <c r="AB1108" s="27"/>
      <c r="AC1108" s="9"/>
      <c r="AD1108" s="27"/>
      <c r="AE1108" s="9"/>
      <c r="AF1108" s="9"/>
      <c r="AG1108" s="27"/>
      <c r="AH1108" s="27"/>
      <c r="AI1108" s="27"/>
      <c r="AJ1108" s="42"/>
      <c r="AK1108" s="27"/>
      <c r="AL1108" s="27"/>
      <c r="AM1108" s="27"/>
      <c r="AN1108" s="27"/>
      <c r="AO1108" s="27"/>
      <c r="AP1108" s="27"/>
      <c r="AQ1108" s="27"/>
    </row>
    <row r="1109" spans="1:43" ht="15.75" customHeight="1">
      <c r="A1109" s="27"/>
      <c r="B1109" s="9"/>
      <c r="C1109" s="27"/>
      <c r="D1109" s="9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42"/>
      <c r="Y1109" s="42"/>
      <c r="Z1109" s="27"/>
      <c r="AA1109" s="27"/>
      <c r="AB1109" s="27"/>
      <c r="AC1109" s="9"/>
      <c r="AD1109" s="27"/>
      <c r="AE1109" s="9"/>
      <c r="AF1109" s="9"/>
      <c r="AG1109" s="27"/>
      <c r="AH1109" s="27"/>
      <c r="AI1109" s="27"/>
      <c r="AJ1109" s="42"/>
      <c r="AK1109" s="27"/>
      <c r="AL1109" s="27"/>
      <c r="AM1109" s="27"/>
      <c r="AN1109" s="27"/>
      <c r="AO1109" s="27"/>
      <c r="AP1109" s="27"/>
      <c r="AQ1109" s="27"/>
    </row>
    <row r="1110" spans="1:43" ht="15.75" customHeight="1">
      <c r="A1110" s="27"/>
      <c r="B1110" s="9"/>
      <c r="C1110" s="27"/>
      <c r="D1110" s="9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42"/>
      <c r="Y1110" s="42"/>
      <c r="Z1110" s="27"/>
      <c r="AA1110" s="27"/>
      <c r="AB1110" s="27"/>
      <c r="AC1110" s="9"/>
      <c r="AD1110" s="27"/>
      <c r="AE1110" s="9"/>
      <c r="AF1110" s="9"/>
      <c r="AG1110" s="27"/>
      <c r="AH1110" s="27"/>
      <c r="AI1110" s="27"/>
      <c r="AJ1110" s="42"/>
      <c r="AK1110" s="27"/>
      <c r="AL1110" s="27"/>
      <c r="AM1110" s="27"/>
      <c r="AN1110" s="27"/>
      <c r="AO1110" s="27"/>
      <c r="AP1110" s="27"/>
      <c r="AQ1110" s="27"/>
    </row>
    <row r="1111" spans="1:43" ht="15.75" customHeight="1">
      <c r="A1111" s="27"/>
      <c r="B1111" s="9"/>
      <c r="C1111" s="27"/>
      <c r="D1111" s="9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42"/>
      <c r="Y1111" s="42"/>
      <c r="Z1111" s="27"/>
      <c r="AA1111" s="27"/>
      <c r="AB1111" s="27"/>
      <c r="AC1111" s="9"/>
      <c r="AD1111" s="27"/>
      <c r="AE1111" s="9"/>
      <c r="AF1111" s="9"/>
      <c r="AG1111" s="27"/>
      <c r="AH1111" s="27"/>
      <c r="AI1111" s="27"/>
      <c r="AJ1111" s="42"/>
      <c r="AK1111" s="27"/>
      <c r="AL1111" s="27"/>
      <c r="AM1111" s="27"/>
      <c r="AN1111" s="27"/>
      <c r="AO1111" s="27"/>
      <c r="AP1111" s="27"/>
      <c r="AQ1111" s="27"/>
    </row>
    <row r="1112" spans="1:43" ht="15.75" customHeight="1">
      <c r="A1112" s="27"/>
      <c r="B1112" s="9"/>
      <c r="C1112" s="27"/>
      <c r="D1112" s="9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42"/>
      <c r="Y1112" s="42"/>
      <c r="Z1112" s="27"/>
      <c r="AA1112" s="27"/>
      <c r="AB1112" s="27"/>
      <c r="AC1112" s="9"/>
      <c r="AD1112" s="27"/>
      <c r="AE1112" s="9"/>
      <c r="AF1112" s="9"/>
      <c r="AG1112" s="27"/>
      <c r="AH1112" s="27"/>
      <c r="AI1112" s="27"/>
      <c r="AJ1112" s="42"/>
      <c r="AK1112" s="27"/>
      <c r="AL1112" s="27"/>
      <c r="AM1112" s="27"/>
      <c r="AN1112" s="27"/>
      <c r="AO1112" s="27"/>
      <c r="AP1112" s="27"/>
      <c r="AQ1112" s="27"/>
    </row>
    <row r="1113" spans="1:43" ht="15.75" customHeight="1">
      <c r="A1113" s="27"/>
      <c r="B1113" s="9"/>
      <c r="C1113" s="27"/>
      <c r="D1113" s="9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42"/>
      <c r="Y1113" s="42"/>
      <c r="Z1113" s="27"/>
      <c r="AA1113" s="27"/>
      <c r="AB1113" s="27"/>
      <c r="AC1113" s="9"/>
      <c r="AD1113" s="27"/>
      <c r="AE1113" s="9"/>
      <c r="AF1113" s="9"/>
      <c r="AG1113" s="27"/>
      <c r="AH1113" s="27"/>
      <c r="AI1113" s="27"/>
      <c r="AJ1113" s="42"/>
      <c r="AK1113" s="27"/>
      <c r="AL1113" s="27"/>
      <c r="AM1113" s="27"/>
      <c r="AN1113" s="27"/>
      <c r="AO1113" s="27"/>
      <c r="AP1113" s="27"/>
      <c r="AQ1113" s="27"/>
    </row>
    <row r="1114" spans="1:43" ht="15.75" customHeight="1">
      <c r="A1114" s="27"/>
      <c r="B1114" s="9"/>
      <c r="C1114" s="27"/>
      <c r="D1114" s="9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42"/>
      <c r="Y1114" s="42"/>
      <c r="Z1114" s="27"/>
      <c r="AA1114" s="27"/>
      <c r="AB1114" s="27"/>
      <c r="AC1114" s="9"/>
      <c r="AD1114" s="27"/>
      <c r="AE1114" s="9"/>
      <c r="AF1114" s="9"/>
      <c r="AG1114" s="27"/>
      <c r="AH1114" s="27"/>
      <c r="AI1114" s="27"/>
      <c r="AJ1114" s="42"/>
      <c r="AK1114" s="27"/>
      <c r="AL1114" s="27"/>
      <c r="AM1114" s="27"/>
      <c r="AN1114" s="27"/>
      <c r="AO1114" s="27"/>
      <c r="AP1114" s="27"/>
      <c r="AQ1114" s="27"/>
    </row>
    <row r="1115" spans="1:43" ht="15.75" customHeight="1">
      <c r="A1115" s="27"/>
      <c r="B1115" s="9"/>
      <c r="C1115" s="27"/>
      <c r="D1115" s="9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42"/>
      <c r="Y1115" s="42"/>
      <c r="Z1115" s="27"/>
      <c r="AA1115" s="27"/>
      <c r="AB1115" s="27"/>
      <c r="AC1115" s="9"/>
      <c r="AD1115" s="27"/>
      <c r="AE1115" s="9"/>
      <c r="AF1115" s="9"/>
      <c r="AG1115" s="27"/>
      <c r="AH1115" s="27"/>
      <c r="AI1115" s="27"/>
      <c r="AJ1115" s="42"/>
      <c r="AK1115" s="27"/>
      <c r="AL1115" s="27"/>
      <c r="AM1115" s="27"/>
      <c r="AN1115" s="27"/>
      <c r="AO1115" s="27"/>
      <c r="AP1115" s="27"/>
      <c r="AQ1115" s="27"/>
    </row>
    <row r="1116" spans="1:43" ht="15.75" customHeight="1">
      <c r="A1116" s="27"/>
      <c r="B1116" s="9"/>
      <c r="C1116" s="27"/>
      <c r="D1116" s="9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42"/>
      <c r="Y1116" s="42"/>
      <c r="Z1116" s="27"/>
      <c r="AA1116" s="27"/>
      <c r="AB1116" s="27"/>
      <c r="AC1116" s="9"/>
      <c r="AD1116" s="27"/>
      <c r="AE1116" s="9"/>
      <c r="AF1116" s="9"/>
      <c r="AG1116" s="27"/>
      <c r="AH1116" s="27"/>
      <c r="AI1116" s="27"/>
      <c r="AJ1116" s="42"/>
      <c r="AK1116" s="27"/>
      <c r="AL1116" s="27"/>
      <c r="AM1116" s="27"/>
      <c r="AN1116" s="27"/>
      <c r="AO1116" s="27"/>
      <c r="AP1116" s="27"/>
      <c r="AQ1116" s="27"/>
    </row>
    <row r="1117" spans="1:43" ht="15.75" customHeight="1">
      <c r="A1117" s="27"/>
      <c r="B1117" s="9"/>
      <c r="C1117" s="27"/>
      <c r="D1117" s="9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42"/>
      <c r="Y1117" s="42"/>
      <c r="Z1117" s="27"/>
      <c r="AA1117" s="27"/>
      <c r="AB1117" s="27"/>
      <c r="AC1117" s="9"/>
      <c r="AD1117" s="27"/>
      <c r="AE1117" s="9"/>
      <c r="AF1117" s="9"/>
      <c r="AG1117" s="27"/>
      <c r="AH1117" s="27"/>
      <c r="AI1117" s="27"/>
      <c r="AJ1117" s="42"/>
      <c r="AK1117" s="27"/>
      <c r="AL1117" s="27"/>
      <c r="AM1117" s="27"/>
      <c r="AN1117" s="27"/>
      <c r="AO1117" s="27"/>
      <c r="AP1117" s="27"/>
      <c r="AQ1117" s="27"/>
    </row>
    <row r="1118" spans="1:43" ht="15.75" customHeight="1">
      <c r="A1118" s="27"/>
      <c r="B1118" s="9"/>
      <c r="C1118" s="27"/>
      <c r="D1118" s="9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42"/>
      <c r="Y1118" s="42"/>
      <c r="Z1118" s="27"/>
      <c r="AA1118" s="27"/>
      <c r="AB1118" s="27"/>
      <c r="AC1118" s="9"/>
      <c r="AD1118" s="27"/>
      <c r="AE1118" s="9"/>
      <c r="AF1118" s="9"/>
      <c r="AG1118" s="27"/>
      <c r="AH1118" s="27"/>
      <c r="AI1118" s="27"/>
      <c r="AJ1118" s="42"/>
      <c r="AK1118" s="27"/>
      <c r="AL1118" s="27"/>
      <c r="AM1118" s="27"/>
      <c r="AN1118" s="27"/>
      <c r="AO1118" s="27"/>
      <c r="AP1118" s="27"/>
      <c r="AQ1118" s="27"/>
    </row>
    <row r="1119" spans="1:43" ht="15.75" customHeight="1">
      <c r="A1119" s="27"/>
      <c r="B1119" s="9"/>
      <c r="C1119" s="27"/>
      <c r="D1119" s="9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42"/>
      <c r="Y1119" s="42"/>
      <c r="Z1119" s="27"/>
      <c r="AA1119" s="27"/>
      <c r="AB1119" s="27"/>
      <c r="AC1119" s="9"/>
      <c r="AD1119" s="27"/>
      <c r="AE1119" s="9"/>
      <c r="AF1119" s="9"/>
      <c r="AG1119" s="27"/>
      <c r="AH1119" s="27"/>
      <c r="AI1119" s="27"/>
      <c r="AJ1119" s="42"/>
      <c r="AK1119" s="27"/>
      <c r="AL1119" s="27"/>
      <c r="AM1119" s="27"/>
      <c r="AN1119" s="27"/>
      <c r="AO1119" s="27"/>
      <c r="AP1119" s="27"/>
      <c r="AQ1119" s="27"/>
    </row>
    <row r="1120" spans="1:43" ht="15.75" customHeight="1">
      <c r="A1120" s="27"/>
      <c r="B1120" s="9"/>
      <c r="C1120" s="27"/>
      <c r="D1120" s="9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42"/>
      <c r="Y1120" s="42"/>
      <c r="Z1120" s="27"/>
      <c r="AA1120" s="27"/>
      <c r="AB1120" s="27"/>
      <c r="AC1120" s="9"/>
      <c r="AD1120" s="27"/>
      <c r="AE1120" s="9"/>
      <c r="AF1120" s="9"/>
      <c r="AG1120" s="27"/>
      <c r="AH1120" s="27"/>
      <c r="AI1120" s="27"/>
      <c r="AJ1120" s="42"/>
      <c r="AK1120" s="27"/>
      <c r="AL1120" s="27"/>
      <c r="AM1120" s="27"/>
      <c r="AN1120" s="27"/>
      <c r="AO1120" s="27"/>
      <c r="AP1120" s="27"/>
      <c r="AQ1120" s="27"/>
    </row>
    <row r="1121" spans="1:43" ht="15.75" customHeight="1">
      <c r="A1121" s="27"/>
      <c r="B1121" s="9"/>
      <c r="C1121" s="27"/>
      <c r="D1121" s="9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42"/>
      <c r="Y1121" s="42"/>
      <c r="Z1121" s="27"/>
      <c r="AA1121" s="27"/>
      <c r="AB1121" s="27"/>
      <c r="AC1121" s="9"/>
      <c r="AD1121" s="27"/>
      <c r="AE1121" s="9"/>
      <c r="AF1121" s="9"/>
      <c r="AG1121" s="27"/>
      <c r="AH1121" s="27"/>
      <c r="AI1121" s="27"/>
      <c r="AJ1121" s="42"/>
      <c r="AK1121" s="27"/>
      <c r="AL1121" s="27"/>
      <c r="AM1121" s="27"/>
      <c r="AN1121" s="27"/>
      <c r="AO1121" s="27"/>
      <c r="AP1121" s="27"/>
      <c r="AQ1121" s="27"/>
    </row>
    <row r="1122" spans="1:43" ht="15.75" customHeight="1">
      <c r="A1122" s="27"/>
      <c r="B1122" s="9"/>
      <c r="C1122" s="27"/>
      <c r="D1122" s="9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42"/>
      <c r="Y1122" s="42"/>
      <c r="Z1122" s="27"/>
      <c r="AA1122" s="27"/>
      <c r="AB1122" s="27"/>
      <c r="AC1122" s="9"/>
      <c r="AD1122" s="27"/>
      <c r="AE1122" s="9"/>
      <c r="AF1122" s="9"/>
      <c r="AG1122" s="27"/>
      <c r="AH1122" s="27"/>
      <c r="AI1122" s="27"/>
      <c r="AJ1122" s="42"/>
      <c r="AK1122" s="27"/>
      <c r="AL1122" s="27"/>
      <c r="AM1122" s="27"/>
      <c r="AN1122" s="27"/>
      <c r="AO1122" s="27"/>
      <c r="AP1122" s="27"/>
      <c r="AQ1122" s="27"/>
    </row>
    <row r="1123" spans="1:43" ht="15.75" customHeight="1">
      <c r="A1123" s="27"/>
      <c r="B1123" s="9"/>
      <c r="C1123" s="27"/>
      <c r="D1123" s="9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42"/>
      <c r="Y1123" s="42"/>
      <c r="Z1123" s="27"/>
      <c r="AA1123" s="27"/>
      <c r="AB1123" s="27"/>
      <c r="AC1123" s="9"/>
      <c r="AD1123" s="27"/>
      <c r="AE1123" s="9"/>
      <c r="AF1123" s="9"/>
      <c r="AG1123" s="27"/>
      <c r="AH1123" s="27"/>
      <c r="AI1123" s="27"/>
      <c r="AJ1123" s="42"/>
      <c r="AK1123" s="27"/>
      <c r="AL1123" s="27"/>
      <c r="AM1123" s="27"/>
      <c r="AN1123" s="27"/>
      <c r="AO1123" s="27"/>
      <c r="AP1123" s="27"/>
      <c r="AQ1123" s="27"/>
    </row>
    <row r="1124" spans="1:43" ht="15.75" customHeight="1">
      <c r="A1124" s="27"/>
      <c r="B1124" s="9"/>
      <c r="C1124" s="27"/>
      <c r="D1124" s="9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42"/>
      <c r="Y1124" s="42"/>
      <c r="Z1124" s="27"/>
      <c r="AA1124" s="27"/>
      <c r="AB1124" s="27"/>
      <c r="AC1124" s="9"/>
      <c r="AD1124" s="27"/>
      <c r="AE1124" s="9"/>
      <c r="AF1124" s="9"/>
      <c r="AG1124" s="27"/>
      <c r="AH1124" s="27"/>
      <c r="AI1124" s="27"/>
      <c r="AJ1124" s="42"/>
      <c r="AK1124" s="27"/>
      <c r="AL1124" s="27"/>
      <c r="AM1124" s="27"/>
      <c r="AN1124" s="27"/>
      <c r="AO1124" s="27"/>
      <c r="AP1124" s="27"/>
      <c r="AQ1124" s="27"/>
    </row>
    <row r="1125" spans="1:43" ht="15.75" customHeight="1">
      <c r="A1125" s="27"/>
      <c r="B1125" s="9"/>
      <c r="C1125" s="27"/>
      <c r="D1125" s="9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42"/>
      <c r="Y1125" s="42"/>
      <c r="Z1125" s="27"/>
      <c r="AA1125" s="27"/>
      <c r="AB1125" s="27"/>
      <c r="AC1125" s="9"/>
      <c r="AD1125" s="27"/>
      <c r="AE1125" s="9"/>
      <c r="AF1125" s="9"/>
      <c r="AG1125" s="27"/>
      <c r="AH1125" s="27"/>
      <c r="AI1125" s="27"/>
      <c r="AJ1125" s="42"/>
      <c r="AK1125" s="27"/>
      <c r="AL1125" s="27"/>
      <c r="AM1125" s="27"/>
      <c r="AN1125" s="27"/>
      <c r="AO1125" s="27"/>
      <c r="AP1125" s="27"/>
      <c r="AQ1125" s="27"/>
    </row>
    <row r="1126" spans="1:43" ht="15.75" customHeight="1">
      <c r="A1126" s="27"/>
      <c r="B1126" s="9"/>
      <c r="C1126" s="27"/>
      <c r="D1126" s="9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42"/>
      <c r="Y1126" s="42"/>
      <c r="Z1126" s="27"/>
      <c r="AA1126" s="27"/>
      <c r="AB1126" s="27"/>
      <c r="AC1126" s="9"/>
      <c r="AD1126" s="27"/>
      <c r="AE1126" s="9"/>
      <c r="AF1126" s="9"/>
      <c r="AG1126" s="27"/>
      <c r="AH1126" s="27"/>
      <c r="AI1126" s="27"/>
      <c r="AJ1126" s="42"/>
      <c r="AK1126" s="27"/>
      <c r="AL1126" s="27"/>
      <c r="AM1126" s="27"/>
      <c r="AN1126" s="27"/>
      <c r="AO1126" s="27"/>
      <c r="AP1126" s="27"/>
      <c r="AQ1126" s="27"/>
    </row>
    <row r="1127" spans="1:43" ht="15.75" customHeight="1">
      <c r="A1127" s="27"/>
      <c r="B1127" s="9"/>
      <c r="C1127" s="27"/>
      <c r="D1127" s="9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42"/>
      <c r="Y1127" s="42"/>
      <c r="Z1127" s="27"/>
      <c r="AA1127" s="27"/>
      <c r="AB1127" s="27"/>
      <c r="AC1127" s="9"/>
      <c r="AD1127" s="27"/>
      <c r="AE1127" s="9"/>
      <c r="AF1127" s="9"/>
      <c r="AG1127" s="27"/>
      <c r="AH1127" s="27"/>
      <c r="AI1127" s="27"/>
      <c r="AJ1127" s="42"/>
      <c r="AK1127" s="27"/>
      <c r="AL1127" s="27"/>
      <c r="AM1127" s="27"/>
      <c r="AN1127" s="27"/>
      <c r="AO1127" s="27"/>
      <c r="AP1127" s="27"/>
      <c r="AQ1127" s="27"/>
    </row>
    <row r="1128" spans="1:43" ht="15.75" customHeight="1">
      <c r="A1128" s="27"/>
      <c r="B1128" s="9"/>
      <c r="C1128" s="27"/>
      <c r="D1128" s="9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42"/>
      <c r="Y1128" s="42"/>
      <c r="Z1128" s="27"/>
      <c r="AA1128" s="27"/>
      <c r="AB1128" s="27"/>
      <c r="AC1128" s="9"/>
      <c r="AD1128" s="27"/>
      <c r="AE1128" s="9"/>
      <c r="AF1128" s="9"/>
      <c r="AG1128" s="27"/>
      <c r="AH1128" s="27"/>
      <c r="AI1128" s="27"/>
      <c r="AJ1128" s="42"/>
      <c r="AK1128" s="27"/>
      <c r="AL1128" s="27"/>
      <c r="AM1128" s="27"/>
      <c r="AN1128" s="27"/>
      <c r="AO1128" s="27"/>
      <c r="AP1128" s="27"/>
      <c r="AQ1128" s="27"/>
    </row>
    <row r="1129" spans="1:43" ht="15.75" customHeight="1">
      <c r="A1129" s="27"/>
      <c r="B1129" s="9"/>
      <c r="C1129" s="27"/>
      <c r="D1129" s="9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42"/>
      <c r="Y1129" s="42"/>
      <c r="Z1129" s="27"/>
      <c r="AA1129" s="27"/>
      <c r="AB1129" s="27"/>
      <c r="AC1129" s="9"/>
      <c r="AD1129" s="27"/>
      <c r="AE1129" s="9"/>
      <c r="AF1129" s="9"/>
      <c r="AG1129" s="27"/>
      <c r="AH1129" s="27"/>
      <c r="AI1129" s="27"/>
      <c r="AJ1129" s="42"/>
      <c r="AK1129" s="27"/>
      <c r="AL1129" s="27"/>
      <c r="AM1129" s="27"/>
      <c r="AN1129" s="27"/>
      <c r="AO1129" s="27"/>
      <c r="AP1129" s="27"/>
      <c r="AQ1129" s="27"/>
    </row>
    <row r="1130" spans="1:43" ht="15.75" customHeight="1">
      <c r="A1130" s="27"/>
      <c r="B1130" s="9"/>
      <c r="C1130" s="27"/>
      <c r="D1130" s="9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42"/>
      <c r="Y1130" s="42"/>
      <c r="Z1130" s="27"/>
      <c r="AA1130" s="27"/>
      <c r="AB1130" s="27"/>
      <c r="AC1130" s="9"/>
      <c r="AD1130" s="27"/>
      <c r="AE1130" s="9"/>
      <c r="AF1130" s="9"/>
      <c r="AG1130" s="27"/>
      <c r="AH1130" s="27"/>
      <c r="AI1130" s="27"/>
      <c r="AJ1130" s="42"/>
      <c r="AK1130" s="27"/>
      <c r="AL1130" s="27"/>
      <c r="AM1130" s="27"/>
      <c r="AN1130" s="27"/>
      <c r="AO1130" s="27"/>
      <c r="AP1130" s="27"/>
      <c r="AQ1130" s="27"/>
    </row>
    <row r="1131" spans="1:43" ht="15.75" customHeight="1">
      <c r="A1131" s="27"/>
      <c r="B1131" s="9"/>
      <c r="C1131" s="27"/>
      <c r="D1131" s="9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42"/>
      <c r="Y1131" s="42"/>
      <c r="Z1131" s="27"/>
      <c r="AA1131" s="27"/>
      <c r="AB1131" s="27"/>
      <c r="AC1131" s="9"/>
      <c r="AD1131" s="27"/>
      <c r="AE1131" s="9"/>
      <c r="AF1131" s="9"/>
      <c r="AG1131" s="27"/>
      <c r="AH1131" s="27"/>
      <c r="AI1131" s="27"/>
      <c r="AJ1131" s="42"/>
      <c r="AK1131" s="27"/>
      <c r="AL1131" s="27"/>
      <c r="AM1131" s="27"/>
      <c r="AN1131" s="27"/>
      <c r="AO1131" s="27"/>
      <c r="AP1131" s="27"/>
      <c r="AQ1131" s="27"/>
    </row>
    <row r="1132" spans="1:43" ht="15.75" customHeight="1">
      <c r="A1132" s="27"/>
      <c r="B1132" s="9"/>
      <c r="C1132" s="27"/>
      <c r="D1132" s="9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42"/>
      <c r="Y1132" s="42"/>
      <c r="Z1132" s="27"/>
      <c r="AA1132" s="27"/>
      <c r="AB1132" s="27"/>
      <c r="AC1132" s="9"/>
      <c r="AD1132" s="27"/>
      <c r="AE1132" s="9"/>
      <c r="AF1132" s="9"/>
      <c r="AG1132" s="27"/>
      <c r="AH1132" s="27"/>
      <c r="AI1132" s="27"/>
      <c r="AJ1132" s="42"/>
      <c r="AK1132" s="27"/>
      <c r="AL1132" s="27"/>
      <c r="AM1132" s="27"/>
      <c r="AN1132" s="27"/>
      <c r="AO1132" s="27"/>
      <c r="AP1132" s="27"/>
      <c r="AQ1132" s="27"/>
    </row>
    <row r="1133" spans="1:43" ht="15.75" customHeight="1">
      <c r="A1133" s="27"/>
      <c r="B1133" s="9"/>
      <c r="C1133" s="27"/>
      <c r="D1133" s="9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42"/>
      <c r="Y1133" s="42"/>
      <c r="Z1133" s="27"/>
      <c r="AA1133" s="27"/>
      <c r="AB1133" s="27"/>
      <c r="AC1133" s="9"/>
      <c r="AD1133" s="27"/>
      <c r="AE1133" s="9"/>
      <c r="AF1133" s="9"/>
      <c r="AG1133" s="27"/>
      <c r="AH1133" s="27"/>
      <c r="AI1133" s="27"/>
      <c r="AJ1133" s="42"/>
      <c r="AK1133" s="27"/>
      <c r="AL1133" s="27"/>
      <c r="AM1133" s="27"/>
      <c r="AN1133" s="27"/>
      <c r="AO1133" s="27"/>
      <c r="AP1133" s="27"/>
      <c r="AQ1133" s="27"/>
    </row>
    <row r="1134" spans="1:43" ht="15.75" customHeight="1">
      <c r="A1134" s="27"/>
      <c r="B1134" s="9"/>
      <c r="C1134" s="27"/>
      <c r="D1134" s="9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42"/>
      <c r="Y1134" s="42"/>
      <c r="Z1134" s="27"/>
      <c r="AA1134" s="27"/>
      <c r="AB1134" s="27"/>
      <c r="AC1134" s="9"/>
      <c r="AD1134" s="27"/>
      <c r="AE1134" s="9"/>
      <c r="AF1134" s="9"/>
      <c r="AG1134" s="27"/>
      <c r="AH1134" s="27"/>
      <c r="AI1134" s="27"/>
      <c r="AJ1134" s="42"/>
      <c r="AK1134" s="27"/>
      <c r="AL1134" s="27"/>
      <c r="AM1134" s="27"/>
      <c r="AN1134" s="27"/>
      <c r="AO1134" s="27"/>
      <c r="AP1134" s="27"/>
      <c r="AQ1134" s="27"/>
    </row>
    <row r="1135" spans="1:43" ht="15.75" customHeight="1">
      <c r="A1135" s="27"/>
      <c r="B1135" s="9"/>
      <c r="C1135" s="27"/>
      <c r="D1135" s="9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42"/>
      <c r="Y1135" s="42"/>
      <c r="Z1135" s="27"/>
      <c r="AA1135" s="27"/>
      <c r="AB1135" s="27"/>
      <c r="AC1135" s="9"/>
      <c r="AD1135" s="27"/>
      <c r="AE1135" s="9"/>
      <c r="AF1135" s="9"/>
      <c r="AG1135" s="27"/>
      <c r="AH1135" s="27"/>
      <c r="AI1135" s="27"/>
      <c r="AJ1135" s="42"/>
      <c r="AK1135" s="27"/>
      <c r="AL1135" s="27"/>
      <c r="AM1135" s="27"/>
      <c r="AN1135" s="27"/>
      <c r="AO1135" s="27"/>
      <c r="AP1135" s="27"/>
      <c r="AQ1135" s="27"/>
    </row>
    <row r="1136" spans="1:43" ht="15.75" customHeight="1">
      <c r="A1136" s="27"/>
      <c r="B1136" s="9"/>
      <c r="C1136" s="27"/>
      <c r="D1136" s="9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42"/>
      <c r="Y1136" s="42"/>
      <c r="Z1136" s="27"/>
      <c r="AA1136" s="27"/>
      <c r="AB1136" s="27"/>
      <c r="AC1136" s="9"/>
      <c r="AD1136" s="27"/>
      <c r="AE1136" s="9"/>
      <c r="AF1136" s="9"/>
      <c r="AG1136" s="27"/>
      <c r="AH1136" s="27"/>
      <c r="AI1136" s="27"/>
      <c r="AJ1136" s="42"/>
      <c r="AK1136" s="27"/>
      <c r="AL1136" s="27"/>
      <c r="AM1136" s="27"/>
      <c r="AN1136" s="27"/>
      <c r="AO1136" s="27"/>
      <c r="AP1136" s="27"/>
      <c r="AQ1136" s="27"/>
    </row>
    <row r="1137" spans="1:43" ht="15.75" customHeight="1">
      <c r="A1137" s="27"/>
      <c r="B1137" s="9"/>
      <c r="C1137" s="27"/>
      <c r="D1137" s="9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42"/>
      <c r="Y1137" s="42"/>
      <c r="Z1137" s="27"/>
      <c r="AA1137" s="27"/>
      <c r="AB1137" s="27"/>
      <c r="AC1137" s="9"/>
      <c r="AD1137" s="27"/>
      <c r="AE1137" s="9"/>
      <c r="AF1137" s="9"/>
      <c r="AG1137" s="27"/>
      <c r="AH1137" s="27"/>
      <c r="AI1137" s="27"/>
      <c r="AJ1137" s="42"/>
      <c r="AK1137" s="27"/>
      <c r="AL1137" s="27"/>
      <c r="AM1137" s="27"/>
      <c r="AN1137" s="27"/>
      <c r="AO1137" s="27"/>
      <c r="AP1137" s="27"/>
      <c r="AQ1137" s="27"/>
    </row>
    <row r="1138" spans="1:43" ht="15.75" customHeight="1">
      <c r="A1138" s="27"/>
      <c r="B1138" s="9"/>
      <c r="C1138" s="27"/>
      <c r="D1138" s="9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42"/>
      <c r="Y1138" s="42"/>
      <c r="Z1138" s="27"/>
      <c r="AA1138" s="27"/>
      <c r="AB1138" s="27"/>
      <c r="AC1138" s="9"/>
      <c r="AD1138" s="27"/>
      <c r="AE1138" s="9"/>
      <c r="AF1138" s="9"/>
      <c r="AG1138" s="27"/>
      <c r="AH1138" s="27"/>
      <c r="AI1138" s="27"/>
      <c r="AJ1138" s="42"/>
      <c r="AK1138" s="27"/>
      <c r="AL1138" s="27"/>
      <c r="AM1138" s="27"/>
      <c r="AN1138" s="27"/>
      <c r="AO1138" s="27"/>
      <c r="AP1138" s="27"/>
      <c r="AQ1138" s="27"/>
    </row>
    <row r="1139" spans="1:43" ht="15.75" customHeight="1">
      <c r="A1139" s="27"/>
      <c r="B1139" s="9"/>
      <c r="C1139" s="27"/>
      <c r="D1139" s="9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42"/>
      <c r="Y1139" s="42"/>
      <c r="Z1139" s="27"/>
      <c r="AA1139" s="27"/>
      <c r="AB1139" s="27"/>
      <c r="AC1139" s="9"/>
      <c r="AD1139" s="27"/>
      <c r="AE1139" s="9"/>
      <c r="AF1139" s="9"/>
      <c r="AG1139" s="27"/>
      <c r="AH1139" s="27"/>
      <c r="AI1139" s="27"/>
      <c r="AJ1139" s="42"/>
      <c r="AK1139" s="27"/>
      <c r="AL1139" s="27"/>
      <c r="AM1139" s="27"/>
      <c r="AN1139" s="27"/>
      <c r="AO1139" s="27"/>
      <c r="AP1139" s="27"/>
      <c r="AQ1139" s="27"/>
    </row>
    <row r="1140" spans="1:43" ht="15.75" customHeight="1">
      <c r="A1140" s="27"/>
      <c r="B1140" s="9"/>
      <c r="C1140" s="27"/>
      <c r="D1140" s="9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42"/>
      <c r="Y1140" s="42"/>
      <c r="Z1140" s="27"/>
      <c r="AA1140" s="27"/>
      <c r="AB1140" s="27"/>
      <c r="AC1140" s="9"/>
      <c r="AD1140" s="27"/>
      <c r="AE1140" s="9"/>
      <c r="AF1140" s="9"/>
      <c r="AG1140" s="27"/>
      <c r="AH1140" s="27"/>
      <c r="AI1140" s="27"/>
      <c r="AJ1140" s="42"/>
      <c r="AK1140" s="27"/>
      <c r="AL1140" s="27"/>
      <c r="AM1140" s="27"/>
      <c r="AN1140" s="27"/>
      <c r="AO1140" s="27"/>
      <c r="AP1140" s="27"/>
      <c r="AQ1140" s="27"/>
    </row>
    <row r="1141" spans="1:43" ht="15.75" customHeight="1">
      <c r="A1141" s="27"/>
      <c r="B1141" s="9"/>
      <c r="C1141" s="27"/>
      <c r="D1141" s="9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42"/>
      <c r="Y1141" s="42"/>
      <c r="Z1141" s="27"/>
      <c r="AA1141" s="27"/>
      <c r="AB1141" s="27"/>
      <c r="AC1141" s="9"/>
      <c r="AD1141" s="27"/>
      <c r="AE1141" s="9"/>
      <c r="AF1141" s="9"/>
      <c r="AG1141" s="27"/>
      <c r="AH1141" s="27"/>
      <c r="AI1141" s="27"/>
      <c r="AJ1141" s="42"/>
      <c r="AK1141" s="27"/>
      <c r="AL1141" s="27"/>
      <c r="AM1141" s="27"/>
      <c r="AN1141" s="27"/>
      <c r="AO1141" s="27"/>
      <c r="AP1141" s="27"/>
      <c r="AQ1141" s="27"/>
    </row>
    <row r="1142" spans="1:43" ht="15.75" customHeight="1">
      <c r="A1142" s="27"/>
      <c r="B1142" s="9"/>
      <c r="C1142" s="27"/>
      <c r="D1142" s="9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42"/>
      <c r="Y1142" s="42"/>
      <c r="Z1142" s="27"/>
      <c r="AA1142" s="27"/>
      <c r="AB1142" s="27"/>
      <c r="AC1142" s="9"/>
      <c r="AD1142" s="27"/>
      <c r="AE1142" s="9"/>
      <c r="AF1142" s="9"/>
      <c r="AG1142" s="27"/>
      <c r="AH1142" s="27"/>
      <c r="AI1142" s="27"/>
      <c r="AJ1142" s="42"/>
      <c r="AK1142" s="27"/>
      <c r="AL1142" s="27"/>
      <c r="AM1142" s="27"/>
      <c r="AN1142" s="27"/>
      <c r="AO1142" s="27"/>
      <c r="AP1142" s="27"/>
      <c r="AQ1142" s="27"/>
    </row>
    <row r="1143" spans="1:43" ht="15.75" customHeight="1">
      <c r="A1143" s="27"/>
      <c r="B1143" s="9"/>
      <c r="C1143" s="27"/>
      <c r="D1143" s="9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42"/>
      <c r="Y1143" s="42"/>
      <c r="Z1143" s="27"/>
      <c r="AA1143" s="27"/>
      <c r="AB1143" s="27"/>
      <c r="AC1143" s="9"/>
      <c r="AD1143" s="27"/>
      <c r="AE1143" s="9"/>
      <c r="AF1143" s="9"/>
      <c r="AG1143" s="27"/>
      <c r="AH1143" s="27"/>
      <c r="AI1143" s="27"/>
      <c r="AJ1143" s="42"/>
      <c r="AK1143" s="27"/>
      <c r="AL1143" s="27"/>
      <c r="AM1143" s="27"/>
      <c r="AN1143" s="27"/>
      <c r="AO1143" s="27"/>
      <c r="AP1143" s="27"/>
      <c r="AQ1143" s="27"/>
    </row>
    <row r="1144" spans="1:43" ht="15.75" customHeight="1">
      <c r="A1144" s="27"/>
      <c r="B1144" s="9"/>
      <c r="C1144" s="27"/>
      <c r="D1144" s="9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42"/>
      <c r="Y1144" s="42"/>
      <c r="Z1144" s="27"/>
      <c r="AA1144" s="27"/>
      <c r="AB1144" s="27"/>
      <c r="AC1144" s="9"/>
      <c r="AD1144" s="27"/>
      <c r="AE1144" s="9"/>
      <c r="AF1144" s="9"/>
      <c r="AG1144" s="27"/>
      <c r="AH1144" s="27"/>
      <c r="AI1144" s="27"/>
      <c r="AJ1144" s="42"/>
      <c r="AK1144" s="27"/>
      <c r="AL1144" s="27"/>
      <c r="AM1144" s="27"/>
      <c r="AN1144" s="27"/>
      <c r="AO1144" s="27"/>
      <c r="AP1144" s="27"/>
      <c r="AQ1144" s="27"/>
    </row>
    <row r="1145" spans="1:43" ht="15.75" customHeight="1">
      <c r="A1145" s="27"/>
      <c r="B1145" s="9"/>
      <c r="C1145" s="27"/>
      <c r="D1145" s="9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42"/>
      <c r="Y1145" s="42"/>
      <c r="Z1145" s="27"/>
      <c r="AA1145" s="27"/>
      <c r="AB1145" s="27"/>
      <c r="AC1145" s="9"/>
      <c r="AD1145" s="27"/>
      <c r="AE1145" s="9"/>
      <c r="AF1145" s="9"/>
      <c r="AG1145" s="27"/>
      <c r="AH1145" s="27"/>
      <c r="AI1145" s="27"/>
      <c r="AJ1145" s="42"/>
      <c r="AK1145" s="27"/>
      <c r="AL1145" s="27"/>
      <c r="AM1145" s="27"/>
      <c r="AN1145" s="27"/>
      <c r="AO1145" s="27"/>
      <c r="AP1145" s="27"/>
      <c r="AQ1145" s="27"/>
    </row>
    <row r="1146" spans="1:43" ht="15.75" customHeight="1">
      <c r="A1146" s="27"/>
      <c r="B1146" s="9"/>
      <c r="C1146" s="27"/>
      <c r="D1146" s="9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42"/>
      <c r="Y1146" s="42"/>
      <c r="Z1146" s="27"/>
      <c r="AA1146" s="27"/>
      <c r="AB1146" s="27"/>
      <c r="AC1146" s="9"/>
      <c r="AD1146" s="27"/>
      <c r="AE1146" s="9"/>
      <c r="AF1146" s="9"/>
      <c r="AG1146" s="27"/>
      <c r="AH1146" s="27"/>
      <c r="AI1146" s="27"/>
      <c r="AJ1146" s="42"/>
      <c r="AK1146" s="27"/>
      <c r="AL1146" s="27"/>
      <c r="AM1146" s="27"/>
      <c r="AN1146" s="27"/>
      <c r="AO1146" s="27"/>
      <c r="AP1146" s="27"/>
      <c r="AQ1146" s="27"/>
    </row>
    <row r="1147" spans="1:43" ht="15.75" customHeight="1">
      <c r="A1147" s="27"/>
      <c r="B1147" s="9"/>
      <c r="C1147" s="27"/>
      <c r="D1147" s="9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42"/>
      <c r="Y1147" s="42"/>
      <c r="Z1147" s="27"/>
      <c r="AA1147" s="27"/>
      <c r="AB1147" s="27"/>
      <c r="AC1147" s="9"/>
      <c r="AD1147" s="27"/>
      <c r="AE1147" s="9"/>
      <c r="AF1147" s="9"/>
      <c r="AG1147" s="27"/>
      <c r="AH1147" s="27"/>
      <c r="AI1147" s="27"/>
      <c r="AJ1147" s="42"/>
      <c r="AK1147" s="27"/>
      <c r="AL1147" s="27"/>
      <c r="AM1147" s="27"/>
      <c r="AN1147" s="27"/>
      <c r="AO1147" s="27"/>
      <c r="AP1147" s="27"/>
      <c r="AQ1147" s="27"/>
    </row>
    <row r="1148" spans="1:43" ht="15.75" customHeight="1">
      <c r="A1148" s="27"/>
      <c r="B1148" s="9"/>
      <c r="C1148" s="27"/>
      <c r="D1148" s="9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42"/>
      <c r="Y1148" s="42"/>
      <c r="Z1148" s="27"/>
      <c r="AA1148" s="27"/>
      <c r="AB1148" s="27"/>
      <c r="AC1148" s="9"/>
      <c r="AD1148" s="27"/>
      <c r="AE1148" s="9"/>
      <c r="AF1148" s="9"/>
      <c r="AG1148" s="27"/>
      <c r="AH1148" s="27"/>
      <c r="AI1148" s="27"/>
      <c r="AJ1148" s="42"/>
      <c r="AK1148" s="27"/>
      <c r="AL1148" s="27"/>
      <c r="AM1148" s="27"/>
      <c r="AN1148" s="27"/>
      <c r="AO1148" s="27"/>
      <c r="AP1148" s="27"/>
      <c r="AQ1148" s="27"/>
    </row>
    <row r="1149" spans="1:43" ht="15.75" customHeight="1">
      <c r="A1149" s="27"/>
      <c r="B1149" s="9"/>
      <c r="C1149" s="27"/>
      <c r="D1149" s="9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42"/>
      <c r="Y1149" s="42"/>
      <c r="Z1149" s="27"/>
      <c r="AA1149" s="27"/>
      <c r="AB1149" s="27"/>
      <c r="AC1149" s="9"/>
      <c r="AD1149" s="27"/>
      <c r="AE1149" s="9"/>
      <c r="AF1149" s="9"/>
      <c r="AG1149" s="27"/>
      <c r="AH1149" s="27"/>
      <c r="AI1149" s="27"/>
      <c r="AJ1149" s="42"/>
      <c r="AK1149" s="27"/>
      <c r="AL1149" s="27"/>
      <c r="AM1149" s="27"/>
      <c r="AN1149" s="27"/>
      <c r="AO1149" s="27"/>
      <c r="AP1149" s="27"/>
      <c r="AQ1149" s="27"/>
    </row>
    <row r="1150" spans="1:43" ht="15.75" customHeight="1">
      <c r="A1150" s="27"/>
      <c r="B1150" s="9"/>
      <c r="C1150" s="27"/>
      <c r="D1150" s="9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42"/>
      <c r="Y1150" s="42"/>
      <c r="Z1150" s="27"/>
      <c r="AA1150" s="27"/>
      <c r="AB1150" s="27"/>
      <c r="AC1150" s="9"/>
      <c r="AD1150" s="27"/>
      <c r="AE1150" s="9"/>
      <c r="AF1150" s="9"/>
      <c r="AG1150" s="27"/>
      <c r="AH1150" s="27"/>
      <c r="AI1150" s="27"/>
      <c r="AJ1150" s="42"/>
      <c r="AK1150" s="27"/>
      <c r="AL1150" s="27"/>
      <c r="AM1150" s="27"/>
      <c r="AN1150" s="27"/>
      <c r="AO1150" s="27"/>
      <c r="AP1150" s="27"/>
      <c r="AQ1150" s="27"/>
    </row>
    <row r="1151" spans="1:43" ht="15.75" customHeight="1">
      <c r="A1151" s="27"/>
      <c r="B1151" s="9"/>
      <c r="C1151" s="27"/>
      <c r="D1151" s="9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42"/>
      <c r="Y1151" s="42"/>
      <c r="Z1151" s="27"/>
      <c r="AA1151" s="27"/>
      <c r="AB1151" s="27"/>
      <c r="AC1151" s="9"/>
      <c r="AD1151" s="27"/>
      <c r="AE1151" s="9"/>
      <c r="AF1151" s="9"/>
      <c r="AG1151" s="27"/>
      <c r="AH1151" s="27"/>
      <c r="AI1151" s="27"/>
      <c r="AJ1151" s="42"/>
      <c r="AK1151" s="27"/>
      <c r="AL1151" s="27"/>
      <c r="AM1151" s="27"/>
      <c r="AN1151" s="27"/>
      <c r="AO1151" s="27"/>
      <c r="AP1151" s="27"/>
      <c r="AQ1151" s="27"/>
    </row>
    <row r="1152" spans="1:43" ht="15.75" customHeight="1">
      <c r="A1152" s="27"/>
      <c r="B1152" s="9"/>
      <c r="C1152" s="27"/>
      <c r="D1152" s="9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42"/>
      <c r="Y1152" s="42"/>
      <c r="Z1152" s="27"/>
      <c r="AA1152" s="27"/>
      <c r="AB1152" s="27"/>
      <c r="AC1152" s="9"/>
      <c r="AD1152" s="27"/>
      <c r="AE1152" s="9"/>
      <c r="AF1152" s="9"/>
      <c r="AG1152" s="27"/>
      <c r="AH1152" s="27"/>
      <c r="AI1152" s="27"/>
      <c r="AJ1152" s="42"/>
      <c r="AK1152" s="27"/>
      <c r="AL1152" s="27"/>
      <c r="AM1152" s="27"/>
      <c r="AN1152" s="27"/>
      <c r="AO1152" s="27"/>
      <c r="AP1152" s="27"/>
      <c r="AQ1152" s="27"/>
    </row>
    <row r="1153" spans="1:43" ht="15.75" customHeight="1">
      <c r="A1153" s="27"/>
      <c r="B1153" s="9"/>
      <c r="C1153" s="27"/>
      <c r="D1153" s="9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42"/>
      <c r="Y1153" s="42"/>
      <c r="Z1153" s="27"/>
      <c r="AA1153" s="27"/>
      <c r="AB1153" s="27"/>
      <c r="AC1153" s="9"/>
      <c r="AD1153" s="27"/>
      <c r="AE1153" s="9"/>
      <c r="AF1153" s="9"/>
      <c r="AG1153" s="27"/>
      <c r="AH1153" s="27"/>
      <c r="AI1153" s="27"/>
      <c r="AJ1153" s="42"/>
      <c r="AK1153" s="27"/>
      <c r="AL1153" s="27"/>
      <c r="AM1153" s="27"/>
      <c r="AN1153" s="27"/>
      <c r="AO1153" s="27"/>
      <c r="AP1153" s="27"/>
      <c r="AQ1153" s="27"/>
    </row>
    <row r="1154" spans="1:43" ht="15.75" customHeight="1">
      <c r="A1154" s="27"/>
      <c r="B1154" s="9"/>
      <c r="C1154" s="27"/>
      <c r="D1154" s="9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42"/>
      <c r="Y1154" s="42"/>
      <c r="Z1154" s="27"/>
      <c r="AA1154" s="27"/>
      <c r="AB1154" s="27"/>
      <c r="AC1154" s="9"/>
      <c r="AD1154" s="27"/>
      <c r="AE1154" s="9"/>
      <c r="AF1154" s="9"/>
      <c r="AG1154" s="27"/>
      <c r="AH1154" s="27"/>
      <c r="AI1154" s="27"/>
      <c r="AJ1154" s="42"/>
      <c r="AK1154" s="27"/>
      <c r="AL1154" s="27"/>
      <c r="AM1154" s="27"/>
      <c r="AN1154" s="27"/>
      <c r="AO1154" s="27"/>
      <c r="AP1154" s="27"/>
      <c r="AQ1154" s="27"/>
    </row>
    <row r="1155" spans="1:43" ht="15.75" customHeight="1">
      <c r="A1155" s="27"/>
      <c r="B1155" s="9"/>
      <c r="C1155" s="27"/>
      <c r="D1155" s="9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42"/>
      <c r="Y1155" s="42"/>
      <c r="Z1155" s="27"/>
      <c r="AA1155" s="27"/>
      <c r="AB1155" s="27"/>
      <c r="AC1155" s="9"/>
      <c r="AD1155" s="27"/>
      <c r="AE1155" s="9"/>
      <c r="AF1155" s="9"/>
      <c r="AG1155" s="27"/>
      <c r="AH1155" s="27"/>
      <c r="AI1155" s="27"/>
      <c r="AJ1155" s="42"/>
      <c r="AK1155" s="27"/>
      <c r="AL1155" s="27"/>
      <c r="AM1155" s="27"/>
      <c r="AN1155" s="27"/>
      <c r="AO1155" s="27"/>
      <c r="AP1155" s="27"/>
      <c r="AQ1155" s="27"/>
    </row>
    <row r="1156" spans="1:43" ht="15.75" customHeight="1">
      <c r="A1156" s="27"/>
      <c r="B1156" s="9"/>
      <c r="C1156" s="27"/>
      <c r="D1156" s="9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42"/>
      <c r="Y1156" s="42"/>
      <c r="Z1156" s="27"/>
      <c r="AA1156" s="27"/>
      <c r="AB1156" s="27"/>
      <c r="AC1156" s="9"/>
      <c r="AD1156" s="27"/>
      <c r="AE1156" s="9"/>
      <c r="AF1156" s="9"/>
      <c r="AG1156" s="27"/>
      <c r="AH1156" s="27"/>
      <c r="AI1156" s="27"/>
      <c r="AJ1156" s="42"/>
      <c r="AK1156" s="27"/>
      <c r="AL1156" s="27"/>
      <c r="AM1156" s="27"/>
      <c r="AN1156" s="27"/>
      <c r="AO1156" s="27"/>
      <c r="AP1156" s="27"/>
      <c r="AQ1156" s="27"/>
    </row>
    <row r="1157" spans="1:43" ht="15.75" customHeight="1">
      <c r="A1157" s="27"/>
      <c r="B1157" s="9"/>
      <c r="C1157" s="27"/>
      <c r="D1157" s="9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42"/>
      <c r="Y1157" s="42"/>
      <c r="Z1157" s="27"/>
      <c r="AA1157" s="27"/>
      <c r="AB1157" s="27"/>
      <c r="AC1157" s="9"/>
      <c r="AD1157" s="27"/>
      <c r="AE1157" s="9"/>
      <c r="AF1157" s="9"/>
      <c r="AG1157" s="27"/>
      <c r="AH1157" s="27"/>
      <c r="AI1157" s="27"/>
      <c r="AJ1157" s="42"/>
      <c r="AK1157" s="27"/>
      <c r="AL1157" s="27"/>
      <c r="AM1157" s="27"/>
      <c r="AN1157" s="27"/>
      <c r="AO1157" s="27"/>
      <c r="AP1157" s="27"/>
      <c r="AQ1157" s="27"/>
    </row>
    <row r="1158" spans="1:43" ht="15.75" customHeight="1">
      <c r="A1158" s="27"/>
      <c r="B1158" s="9"/>
      <c r="C1158" s="27"/>
      <c r="D1158" s="9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42"/>
      <c r="Y1158" s="42"/>
      <c r="Z1158" s="27"/>
      <c r="AA1158" s="27"/>
      <c r="AB1158" s="27"/>
      <c r="AC1158" s="9"/>
      <c r="AD1158" s="27"/>
      <c r="AE1158" s="9"/>
      <c r="AF1158" s="9"/>
      <c r="AG1158" s="27"/>
      <c r="AH1158" s="27"/>
      <c r="AI1158" s="27"/>
      <c r="AJ1158" s="42"/>
      <c r="AK1158" s="27"/>
      <c r="AL1158" s="27"/>
      <c r="AM1158" s="27"/>
      <c r="AN1158" s="27"/>
      <c r="AO1158" s="27"/>
      <c r="AP1158" s="27"/>
      <c r="AQ1158" s="27"/>
    </row>
    <row r="1159" spans="1:43" ht="15.75" customHeight="1">
      <c r="A1159" s="27"/>
      <c r="B1159" s="9"/>
      <c r="C1159" s="27"/>
      <c r="D1159" s="9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42"/>
      <c r="Y1159" s="42"/>
      <c r="Z1159" s="27"/>
      <c r="AA1159" s="27"/>
      <c r="AB1159" s="27"/>
      <c r="AC1159" s="9"/>
      <c r="AD1159" s="27"/>
      <c r="AE1159" s="9"/>
      <c r="AF1159" s="9"/>
      <c r="AG1159" s="27"/>
      <c r="AH1159" s="27"/>
      <c r="AI1159" s="27"/>
      <c r="AJ1159" s="42"/>
      <c r="AK1159" s="27"/>
      <c r="AL1159" s="27"/>
      <c r="AM1159" s="27"/>
      <c r="AN1159" s="27"/>
      <c r="AO1159" s="27"/>
      <c r="AP1159" s="27"/>
      <c r="AQ1159" s="27"/>
    </row>
    <row r="1160" spans="1:43" ht="15.75" customHeight="1">
      <c r="A1160" s="27"/>
      <c r="B1160" s="9"/>
      <c r="C1160" s="27"/>
      <c r="D1160" s="9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42"/>
      <c r="Y1160" s="42"/>
      <c r="Z1160" s="27"/>
      <c r="AA1160" s="27"/>
      <c r="AB1160" s="27"/>
      <c r="AC1160" s="9"/>
      <c r="AD1160" s="27"/>
      <c r="AE1160" s="9"/>
      <c r="AF1160" s="9"/>
      <c r="AG1160" s="27"/>
      <c r="AH1160" s="27"/>
      <c r="AI1160" s="27"/>
      <c r="AJ1160" s="42"/>
      <c r="AK1160" s="27"/>
      <c r="AL1160" s="27"/>
      <c r="AM1160" s="27"/>
      <c r="AN1160" s="27"/>
      <c r="AO1160" s="27"/>
      <c r="AP1160" s="27"/>
      <c r="AQ1160" s="27"/>
    </row>
    <row r="1161" spans="1:43" ht="15.75" customHeight="1">
      <c r="A1161" s="27"/>
      <c r="B1161" s="9"/>
      <c r="C1161" s="27"/>
      <c r="D1161" s="9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42"/>
      <c r="Y1161" s="42"/>
      <c r="Z1161" s="27"/>
      <c r="AA1161" s="27"/>
      <c r="AB1161" s="27"/>
      <c r="AC1161" s="9"/>
      <c r="AD1161" s="27"/>
      <c r="AE1161" s="9"/>
      <c r="AF1161" s="9"/>
      <c r="AG1161" s="27"/>
      <c r="AH1161" s="27"/>
      <c r="AI1161" s="27"/>
      <c r="AJ1161" s="42"/>
      <c r="AK1161" s="27"/>
      <c r="AL1161" s="27"/>
      <c r="AM1161" s="27"/>
      <c r="AN1161" s="27"/>
      <c r="AO1161" s="27"/>
      <c r="AP1161" s="27"/>
      <c r="AQ1161" s="27"/>
    </row>
    <row r="1162" spans="1:43" ht="15.75" customHeight="1">
      <c r="A1162" s="27"/>
      <c r="B1162" s="9"/>
      <c r="C1162" s="27"/>
      <c r="D1162" s="9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42"/>
      <c r="Y1162" s="42"/>
      <c r="Z1162" s="27"/>
      <c r="AA1162" s="27"/>
      <c r="AB1162" s="27"/>
      <c r="AC1162" s="9"/>
      <c r="AD1162" s="27"/>
      <c r="AE1162" s="9"/>
      <c r="AF1162" s="9"/>
      <c r="AG1162" s="27"/>
      <c r="AH1162" s="27"/>
      <c r="AI1162" s="27"/>
      <c r="AJ1162" s="42"/>
      <c r="AK1162" s="27"/>
      <c r="AL1162" s="27"/>
      <c r="AM1162" s="27"/>
      <c r="AN1162" s="27"/>
      <c r="AO1162" s="27"/>
      <c r="AP1162" s="27"/>
      <c r="AQ1162" s="27"/>
    </row>
    <row r="1163" spans="1:43" ht="15.75" customHeight="1">
      <c r="A1163" s="27"/>
      <c r="B1163" s="9"/>
      <c r="C1163" s="27"/>
      <c r="D1163" s="9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42"/>
      <c r="Y1163" s="42"/>
      <c r="Z1163" s="27"/>
      <c r="AA1163" s="27"/>
      <c r="AB1163" s="27"/>
      <c r="AC1163" s="9"/>
      <c r="AD1163" s="27"/>
      <c r="AE1163" s="9"/>
      <c r="AF1163" s="9"/>
      <c r="AG1163" s="27"/>
      <c r="AH1163" s="27"/>
      <c r="AI1163" s="27"/>
      <c r="AJ1163" s="42"/>
      <c r="AK1163" s="27"/>
      <c r="AL1163" s="27"/>
      <c r="AM1163" s="27"/>
      <c r="AN1163" s="27"/>
      <c r="AO1163" s="27"/>
      <c r="AP1163" s="27"/>
      <c r="AQ1163" s="27"/>
    </row>
    <row r="1164" spans="1:43" ht="15.75" customHeight="1">
      <c r="A1164" s="27"/>
      <c r="B1164" s="9"/>
      <c r="C1164" s="27"/>
      <c r="D1164" s="9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42"/>
      <c r="Y1164" s="42"/>
      <c r="Z1164" s="27"/>
      <c r="AA1164" s="27"/>
      <c r="AB1164" s="27"/>
      <c r="AC1164" s="9"/>
      <c r="AD1164" s="27"/>
      <c r="AE1164" s="9"/>
      <c r="AF1164" s="9"/>
      <c r="AG1164" s="27"/>
      <c r="AH1164" s="27"/>
      <c r="AI1164" s="27"/>
      <c r="AJ1164" s="42"/>
      <c r="AK1164" s="27"/>
      <c r="AL1164" s="27"/>
      <c r="AM1164" s="27"/>
      <c r="AN1164" s="27"/>
      <c r="AO1164" s="27"/>
      <c r="AP1164" s="27"/>
      <c r="AQ1164" s="27"/>
    </row>
    <row r="1165" spans="1:43" ht="15.75" customHeight="1">
      <c r="A1165" s="27"/>
      <c r="B1165" s="9"/>
      <c r="C1165" s="27"/>
      <c r="D1165" s="9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42"/>
      <c r="Y1165" s="42"/>
      <c r="Z1165" s="27"/>
      <c r="AA1165" s="27"/>
      <c r="AB1165" s="27"/>
      <c r="AC1165" s="9"/>
      <c r="AD1165" s="27"/>
      <c r="AE1165" s="9"/>
      <c r="AF1165" s="9"/>
      <c r="AG1165" s="27"/>
      <c r="AH1165" s="27"/>
      <c r="AI1165" s="27"/>
      <c r="AJ1165" s="42"/>
      <c r="AK1165" s="27"/>
      <c r="AL1165" s="27"/>
      <c r="AM1165" s="27"/>
      <c r="AN1165" s="27"/>
      <c r="AO1165" s="27"/>
      <c r="AP1165" s="27"/>
      <c r="AQ1165" s="27"/>
    </row>
    <row r="1166" spans="1:43" ht="15.75" customHeight="1">
      <c r="A1166" s="27"/>
      <c r="B1166" s="9"/>
      <c r="C1166" s="27"/>
      <c r="D1166" s="9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42"/>
      <c r="Y1166" s="42"/>
      <c r="Z1166" s="27"/>
      <c r="AA1166" s="27"/>
      <c r="AB1166" s="27"/>
      <c r="AC1166" s="9"/>
      <c r="AD1166" s="27"/>
      <c r="AE1166" s="9"/>
      <c r="AF1166" s="9"/>
      <c r="AG1166" s="27"/>
      <c r="AH1166" s="27"/>
      <c r="AI1166" s="27"/>
      <c r="AJ1166" s="42"/>
      <c r="AK1166" s="27"/>
      <c r="AL1166" s="27"/>
      <c r="AM1166" s="27"/>
      <c r="AN1166" s="27"/>
      <c r="AO1166" s="27"/>
      <c r="AP1166" s="27"/>
      <c r="AQ1166" s="27"/>
    </row>
    <row r="1167" spans="1:43" ht="15.75" customHeight="1">
      <c r="A1167" s="27"/>
      <c r="B1167" s="9"/>
      <c r="C1167" s="27"/>
      <c r="D1167" s="9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42"/>
      <c r="Y1167" s="42"/>
      <c r="Z1167" s="27"/>
      <c r="AA1167" s="27"/>
      <c r="AB1167" s="27"/>
      <c r="AC1167" s="9"/>
      <c r="AD1167" s="27"/>
      <c r="AE1167" s="9"/>
      <c r="AF1167" s="9"/>
      <c r="AG1167" s="27"/>
      <c r="AH1167" s="27"/>
      <c r="AI1167" s="27"/>
      <c r="AJ1167" s="42"/>
      <c r="AK1167" s="27"/>
      <c r="AL1167" s="27"/>
      <c r="AM1167" s="27"/>
      <c r="AN1167" s="27"/>
      <c r="AO1167" s="27"/>
      <c r="AP1167" s="27"/>
      <c r="AQ1167" s="27"/>
    </row>
    <row r="1168" spans="1:43" ht="15.75" customHeight="1">
      <c r="A1168" s="27"/>
      <c r="B1168" s="9"/>
      <c r="C1168" s="27"/>
      <c r="D1168" s="9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42"/>
      <c r="Y1168" s="42"/>
      <c r="Z1168" s="27"/>
      <c r="AA1168" s="27"/>
      <c r="AB1168" s="27"/>
      <c r="AC1168" s="9"/>
      <c r="AD1168" s="27"/>
      <c r="AE1168" s="9"/>
      <c r="AF1168" s="9"/>
      <c r="AG1168" s="27"/>
      <c r="AH1168" s="27"/>
      <c r="AI1168" s="27"/>
      <c r="AJ1168" s="42"/>
      <c r="AK1168" s="27"/>
      <c r="AL1168" s="27"/>
      <c r="AM1168" s="27"/>
      <c r="AN1168" s="27"/>
      <c r="AO1168" s="27"/>
      <c r="AP1168" s="27"/>
      <c r="AQ1168" s="27"/>
    </row>
    <row r="1169" spans="1:43" ht="15.75" customHeight="1">
      <c r="A1169" s="27"/>
      <c r="B1169" s="9"/>
      <c r="C1169" s="27"/>
      <c r="D1169" s="9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42"/>
      <c r="Y1169" s="42"/>
      <c r="Z1169" s="27"/>
      <c r="AA1169" s="27"/>
      <c r="AB1169" s="27"/>
      <c r="AC1169" s="9"/>
      <c r="AD1169" s="27"/>
      <c r="AE1169" s="9"/>
      <c r="AF1169" s="9"/>
      <c r="AG1169" s="27"/>
      <c r="AH1169" s="27"/>
      <c r="AI1169" s="27"/>
      <c r="AJ1169" s="42"/>
      <c r="AK1169" s="27"/>
      <c r="AL1169" s="27"/>
      <c r="AM1169" s="27"/>
      <c r="AN1169" s="27"/>
      <c r="AO1169" s="27"/>
      <c r="AP1169" s="27"/>
      <c r="AQ1169" s="27"/>
    </row>
    <row r="1170" spans="1:43" ht="15.75" customHeight="1">
      <c r="A1170" s="27"/>
      <c r="B1170" s="9"/>
      <c r="C1170" s="27"/>
      <c r="D1170" s="9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42"/>
      <c r="Y1170" s="42"/>
      <c r="Z1170" s="27"/>
      <c r="AA1170" s="27"/>
      <c r="AB1170" s="27"/>
      <c r="AC1170" s="9"/>
      <c r="AD1170" s="27"/>
      <c r="AE1170" s="9"/>
      <c r="AF1170" s="9"/>
      <c r="AG1170" s="27"/>
      <c r="AH1170" s="27"/>
      <c r="AI1170" s="27"/>
      <c r="AJ1170" s="42"/>
      <c r="AK1170" s="27"/>
      <c r="AL1170" s="27"/>
      <c r="AM1170" s="27"/>
      <c r="AN1170" s="27"/>
      <c r="AO1170" s="27"/>
      <c r="AP1170" s="27"/>
      <c r="AQ1170" s="27"/>
    </row>
    <row r="1171" spans="1:43" ht="15.75" customHeight="1">
      <c r="A1171" s="27"/>
      <c r="B1171" s="9"/>
      <c r="C1171" s="27"/>
      <c r="D1171" s="9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42"/>
      <c r="Y1171" s="42"/>
      <c r="Z1171" s="27"/>
      <c r="AA1171" s="27"/>
      <c r="AB1171" s="27"/>
      <c r="AC1171" s="9"/>
      <c r="AD1171" s="27"/>
      <c r="AE1171" s="9"/>
      <c r="AF1171" s="9"/>
      <c r="AG1171" s="27"/>
      <c r="AH1171" s="27"/>
      <c r="AI1171" s="27"/>
      <c r="AJ1171" s="42"/>
      <c r="AK1171" s="27"/>
      <c r="AL1171" s="27"/>
      <c r="AM1171" s="27"/>
      <c r="AN1171" s="27"/>
      <c r="AO1171" s="27"/>
      <c r="AP1171" s="27"/>
      <c r="AQ1171" s="27"/>
    </row>
    <row r="1172" spans="1:43" ht="15.75" customHeight="1">
      <c r="A1172" s="27"/>
      <c r="B1172" s="9"/>
      <c r="C1172" s="27"/>
      <c r="D1172" s="9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42"/>
      <c r="Y1172" s="42"/>
      <c r="Z1172" s="27"/>
      <c r="AA1172" s="27"/>
      <c r="AB1172" s="27"/>
      <c r="AC1172" s="9"/>
      <c r="AD1172" s="27"/>
      <c r="AE1172" s="9"/>
      <c r="AF1172" s="9"/>
      <c r="AG1172" s="27"/>
      <c r="AH1172" s="27"/>
      <c r="AI1172" s="27"/>
      <c r="AJ1172" s="42"/>
      <c r="AK1172" s="27"/>
      <c r="AL1172" s="27"/>
      <c r="AM1172" s="27"/>
      <c r="AN1172" s="27"/>
      <c r="AO1172" s="27"/>
      <c r="AP1172" s="27"/>
      <c r="AQ1172" s="27"/>
    </row>
    <row r="1173" spans="1:43" ht="15.75" customHeight="1">
      <c r="A1173" s="27"/>
      <c r="B1173" s="9"/>
      <c r="C1173" s="27"/>
      <c r="D1173" s="9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42"/>
      <c r="Y1173" s="42"/>
      <c r="Z1173" s="27"/>
      <c r="AA1173" s="27"/>
      <c r="AB1173" s="27"/>
      <c r="AC1173" s="9"/>
      <c r="AD1173" s="27"/>
      <c r="AE1173" s="9"/>
      <c r="AF1173" s="9"/>
      <c r="AG1173" s="27"/>
      <c r="AH1173" s="27"/>
      <c r="AI1173" s="27"/>
      <c r="AJ1173" s="42"/>
      <c r="AK1173" s="27"/>
      <c r="AL1173" s="27"/>
      <c r="AM1173" s="27"/>
      <c r="AN1173" s="27"/>
      <c r="AO1173" s="27"/>
      <c r="AP1173" s="27"/>
      <c r="AQ1173" s="27"/>
    </row>
    <row r="1174" spans="1:43" ht="15.75" customHeight="1">
      <c r="A1174" s="27"/>
      <c r="B1174" s="9"/>
      <c r="C1174" s="27"/>
      <c r="D1174" s="9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42"/>
      <c r="Y1174" s="42"/>
      <c r="Z1174" s="27"/>
      <c r="AA1174" s="27"/>
      <c r="AB1174" s="27"/>
      <c r="AC1174" s="9"/>
      <c r="AD1174" s="27"/>
      <c r="AE1174" s="9"/>
      <c r="AF1174" s="9"/>
      <c r="AG1174" s="27"/>
      <c r="AH1174" s="27"/>
      <c r="AI1174" s="27"/>
      <c r="AJ1174" s="42"/>
      <c r="AK1174" s="27"/>
      <c r="AL1174" s="27"/>
      <c r="AM1174" s="27"/>
      <c r="AN1174" s="27"/>
      <c r="AO1174" s="27"/>
      <c r="AP1174" s="27"/>
      <c r="AQ1174" s="27"/>
    </row>
    <row r="1175" spans="1:43" ht="15.75" customHeight="1">
      <c r="A1175" s="27"/>
      <c r="B1175" s="9"/>
      <c r="C1175" s="27"/>
      <c r="D1175" s="9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42"/>
      <c r="Y1175" s="42"/>
      <c r="Z1175" s="27"/>
      <c r="AA1175" s="27"/>
      <c r="AB1175" s="27"/>
      <c r="AC1175" s="9"/>
      <c r="AD1175" s="27"/>
      <c r="AE1175" s="9"/>
      <c r="AF1175" s="9"/>
      <c r="AG1175" s="27"/>
      <c r="AH1175" s="27"/>
      <c r="AI1175" s="27"/>
      <c r="AJ1175" s="42"/>
      <c r="AK1175" s="27"/>
      <c r="AL1175" s="27"/>
      <c r="AM1175" s="27"/>
      <c r="AN1175" s="27"/>
      <c r="AO1175" s="27"/>
      <c r="AP1175" s="27"/>
      <c r="AQ1175" s="27"/>
    </row>
    <row r="1176" spans="1:43" ht="15.75" customHeight="1">
      <c r="A1176" s="27"/>
      <c r="B1176" s="9"/>
      <c r="C1176" s="27"/>
      <c r="D1176" s="9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42"/>
      <c r="Y1176" s="42"/>
      <c r="Z1176" s="27"/>
      <c r="AA1176" s="27"/>
      <c r="AB1176" s="27"/>
      <c r="AC1176" s="9"/>
      <c r="AD1176" s="27"/>
      <c r="AE1176" s="9"/>
      <c r="AF1176" s="9"/>
      <c r="AG1176" s="27"/>
      <c r="AH1176" s="27"/>
      <c r="AI1176" s="27"/>
      <c r="AJ1176" s="42"/>
      <c r="AK1176" s="27"/>
      <c r="AL1176" s="27"/>
      <c r="AM1176" s="27"/>
      <c r="AN1176" s="27"/>
      <c r="AO1176" s="27"/>
      <c r="AP1176" s="27"/>
      <c r="AQ1176" s="27"/>
    </row>
    <row r="1177" spans="1:43" ht="15.75" customHeight="1">
      <c r="A1177" s="27"/>
      <c r="B1177" s="9"/>
      <c r="C1177" s="27"/>
      <c r="D1177" s="9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42"/>
      <c r="Y1177" s="42"/>
      <c r="Z1177" s="27"/>
      <c r="AA1177" s="27"/>
      <c r="AB1177" s="27"/>
      <c r="AC1177" s="9"/>
      <c r="AD1177" s="27"/>
      <c r="AE1177" s="9"/>
      <c r="AF1177" s="9"/>
      <c r="AG1177" s="27"/>
      <c r="AH1177" s="27"/>
      <c r="AI1177" s="27"/>
      <c r="AJ1177" s="42"/>
      <c r="AK1177" s="27"/>
      <c r="AL1177" s="27"/>
      <c r="AM1177" s="27"/>
      <c r="AN1177" s="27"/>
      <c r="AO1177" s="27"/>
      <c r="AP1177" s="27"/>
      <c r="AQ1177" s="27"/>
    </row>
    <row r="1178" spans="1:43" ht="15.75" customHeight="1">
      <c r="A1178" s="27"/>
      <c r="B1178" s="9"/>
      <c r="C1178" s="27"/>
      <c r="D1178" s="9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42"/>
      <c r="Y1178" s="42"/>
      <c r="Z1178" s="27"/>
      <c r="AA1178" s="27"/>
      <c r="AB1178" s="27"/>
      <c r="AC1178" s="9"/>
      <c r="AD1178" s="27"/>
      <c r="AE1178" s="9"/>
      <c r="AF1178" s="9"/>
      <c r="AG1178" s="27"/>
      <c r="AH1178" s="27"/>
      <c r="AI1178" s="27"/>
      <c r="AJ1178" s="42"/>
      <c r="AK1178" s="27"/>
      <c r="AL1178" s="27"/>
      <c r="AM1178" s="27"/>
      <c r="AN1178" s="27"/>
      <c r="AO1178" s="27"/>
      <c r="AP1178" s="27"/>
      <c r="AQ1178" s="27"/>
    </row>
    <row r="1179" spans="1:43" ht="15.75" customHeight="1">
      <c r="A1179" s="27"/>
      <c r="B1179" s="9"/>
      <c r="C1179" s="27"/>
      <c r="D1179" s="9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42"/>
      <c r="Y1179" s="42"/>
      <c r="Z1179" s="27"/>
      <c r="AA1179" s="27"/>
      <c r="AB1179" s="27"/>
      <c r="AC1179" s="9"/>
      <c r="AD1179" s="27"/>
      <c r="AE1179" s="9"/>
      <c r="AF1179" s="9"/>
      <c r="AG1179" s="27"/>
      <c r="AH1179" s="27"/>
      <c r="AI1179" s="27"/>
      <c r="AJ1179" s="42"/>
      <c r="AK1179" s="27"/>
      <c r="AL1179" s="27"/>
      <c r="AM1179" s="27"/>
      <c r="AN1179" s="27"/>
      <c r="AO1179" s="27"/>
      <c r="AP1179" s="27"/>
      <c r="AQ1179" s="27"/>
    </row>
    <row r="1180" spans="1:43" ht="15.75" customHeight="1">
      <c r="A1180" s="27"/>
      <c r="B1180" s="9"/>
      <c r="C1180" s="27"/>
      <c r="D1180" s="9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42"/>
      <c r="Y1180" s="42"/>
      <c r="Z1180" s="27"/>
      <c r="AA1180" s="27"/>
      <c r="AB1180" s="27"/>
      <c r="AC1180" s="9"/>
      <c r="AD1180" s="27"/>
      <c r="AE1180" s="9"/>
      <c r="AF1180" s="9"/>
      <c r="AG1180" s="27"/>
      <c r="AH1180" s="27"/>
      <c r="AI1180" s="27"/>
      <c r="AJ1180" s="42"/>
      <c r="AK1180" s="27"/>
      <c r="AL1180" s="27"/>
      <c r="AM1180" s="27"/>
      <c r="AN1180" s="27"/>
      <c r="AO1180" s="27"/>
      <c r="AP1180" s="27"/>
      <c r="AQ1180" s="27"/>
    </row>
    <row r="1181" spans="1:43" ht="15.75" customHeight="1">
      <c r="A1181" s="27"/>
      <c r="B1181" s="9"/>
      <c r="C1181" s="27"/>
      <c r="D1181" s="9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42"/>
      <c r="Y1181" s="42"/>
      <c r="Z1181" s="27"/>
      <c r="AA1181" s="27"/>
      <c r="AB1181" s="27"/>
      <c r="AC1181" s="9"/>
      <c r="AD1181" s="27"/>
      <c r="AE1181" s="9"/>
      <c r="AF1181" s="9"/>
      <c r="AG1181" s="27"/>
      <c r="AH1181" s="27"/>
      <c r="AI1181" s="27"/>
      <c r="AJ1181" s="42"/>
      <c r="AK1181" s="27"/>
      <c r="AL1181" s="27"/>
      <c r="AM1181" s="27"/>
      <c r="AN1181" s="27"/>
      <c r="AO1181" s="27"/>
      <c r="AP1181" s="27"/>
      <c r="AQ1181" s="27"/>
    </row>
    <row r="1182" spans="1:43" ht="15.75" customHeight="1">
      <c r="A1182" s="27"/>
      <c r="B1182" s="9"/>
      <c r="C1182" s="27"/>
      <c r="D1182" s="9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42"/>
      <c r="Y1182" s="42"/>
      <c r="Z1182" s="27"/>
      <c r="AA1182" s="27"/>
      <c r="AB1182" s="27"/>
      <c r="AC1182" s="9"/>
      <c r="AD1182" s="27"/>
      <c r="AE1182" s="9"/>
      <c r="AF1182" s="9"/>
      <c r="AG1182" s="27"/>
      <c r="AH1182" s="27"/>
      <c r="AI1182" s="27"/>
      <c r="AJ1182" s="42"/>
      <c r="AK1182" s="27"/>
      <c r="AL1182" s="27"/>
      <c r="AM1182" s="27"/>
      <c r="AN1182" s="27"/>
      <c r="AO1182" s="27"/>
      <c r="AP1182" s="27"/>
      <c r="AQ1182" s="27"/>
    </row>
    <row r="1183" spans="1:43" ht="15.75" customHeight="1">
      <c r="A1183" s="27"/>
      <c r="B1183" s="9"/>
      <c r="C1183" s="27"/>
      <c r="D1183" s="9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42"/>
      <c r="Y1183" s="42"/>
      <c r="Z1183" s="27"/>
      <c r="AA1183" s="27"/>
      <c r="AB1183" s="27"/>
      <c r="AC1183" s="9"/>
      <c r="AD1183" s="27"/>
      <c r="AE1183" s="9"/>
      <c r="AF1183" s="9"/>
      <c r="AG1183" s="27"/>
      <c r="AH1183" s="27"/>
      <c r="AI1183" s="27"/>
      <c r="AJ1183" s="42"/>
      <c r="AK1183" s="27"/>
      <c r="AL1183" s="27"/>
      <c r="AM1183" s="27"/>
      <c r="AN1183" s="27"/>
      <c r="AO1183" s="27"/>
      <c r="AP1183" s="27"/>
      <c r="AQ1183" s="27"/>
    </row>
    <row r="1184" spans="1:43" ht="15.75" customHeight="1">
      <c r="A1184" s="27"/>
      <c r="B1184" s="9"/>
      <c r="C1184" s="27"/>
      <c r="D1184" s="9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42"/>
      <c r="Y1184" s="42"/>
      <c r="Z1184" s="27"/>
      <c r="AA1184" s="27"/>
      <c r="AB1184" s="27"/>
      <c r="AC1184" s="9"/>
      <c r="AD1184" s="27"/>
      <c r="AE1184" s="9"/>
      <c r="AF1184" s="9"/>
      <c r="AG1184" s="27"/>
      <c r="AH1184" s="27"/>
      <c r="AI1184" s="27"/>
      <c r="AJ1184" s="42"/>
      <c r="AK1184" s="27"/>
      <c r="AL1184" s="27"/>
      <c r="AM1184" s="27"/>
      <c r="AN1184" s="27"/>
      <c r="AO1184" s="27"/>
      <c r="AP1184" s="27"/>
      <c r="AQ1184" s="27"/>
    </row>
    <row r="1185" spans="1:43" ht="15.75" customHeight="1">
      <c r="A1185" s="27"/>
      <c r="B1185" s="9"/>
      <c r="C1185" s="27"/>
      <c r="D1185" s="9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42"/>
      <c r="Y1185" s="42"/>
      <c r="Z1185" s="27"/>
      <c r="AA1185" s="27"/>
      <c r="AB1185" s="27"/>
      <c r="AC1185" s="9"/>
      <c r="AD1185" s="27"/>
      <c r="AE1185" s="9"/>
      <c r="AF1185" s="9"/>
      <c r="AG1185" s="27"/>
      <c r="AH1185" s="27"/>
      <c r="AI1185" s="27"/>
      <c r="AJ1185" s="42"/>
      <c r="AK1185" s="27"/>
      <c r="AL1185" s="27"/>
      <c r="AM1185" s="27"/>
      <c r="AN1185" s="27"/>
      <c r="AO1185" s="27"/>
      <c r="AP1185" s="27"/>
      <c r="AQ1185" s="27"/>
    </row>
    <row r="1186" spans="1:43" ht="15.75" customHeight="1">
      <c r="A1186" s="27"/>
      <c r="B1186" s="9"/>
      <c r="C1186" s="27"/>
      <c r="D1186" s="9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42"/>
      <c r="Y1186" s="42"/>
      <c r="Z1186" s="27"/>
      <c r="AA1186" s="27"/>
      <c r="AB1186" s="27"/>
      <c r="AC1186" s="9"/>
      <c r="AD1186" s="27"/>
      <c r="AE1186" s="9"/>
      <c r="AF1186" s="9"/>
      <c r="AG1186" s="27"/>
      <c r="AH1186" s="27"/>
      <c r="AI1186" s="27"/>
      <c r="AJ1186" s="42"/>
      <c r="AK1186" s="27"/>
      <c r="AL1186" s="27"/>
      <c r="AM1186" s="27"/>
      <c r="AN1186" s="27"/>
      <c r="AO1186" s="27"/>
      <c r="AP1186" s="27"/>
      <c r="AQ1186" s="27"/>
    </row>
    <row r="1187" spans="1:43" ht="15.75" customHeight="1">
      <c r="A1187" s="27"/>
      <c r="B1187" s="9"/>
      <c r="C1187" s="27"/>
      <c r="D1187" s="9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42"/>
      <c r="Y1187" s="42"/>
      <c r="Z1187" s="27"/>
      <c r="AA1187" s="27"/>
      <c r="AB1187" s="27"/>
      <c r="AC1187" s="9"/>
      <c r="AD1187" s="27"/>
      <c r="AE1187" s="9"/>
      <c r="AF1187" s="9"/>
      <c r="AG1187" s="27"/>
      <c r="AH1187" s="27"/>
      <c r="AI1187" s="27"/>
      <c r="AJ1187" s="42"/>
      <c r="AK1187" s="27"/>
      <c r="AL1187" s="27"/>
      <c r="AM1187" s="27"/>
      <c r="AN1187" s="27"/>
      <c r="AO1187" s="27"/>
      <c r="AP1187" s="27"/>
      <c r="AQ1187" s="27"/>
    </row>
    <row r="1188" spans="1:43" ht="15.75" customHeight="1">
      <c r="A1188" s="27"/>
      <c r="B1188" s="9"/>
      <c r="C1188" s="27"/>
      <c r="D1188" s="9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42"/>
      <c r="Y1188" s="42"/>
      <c r="Z1188" s="27"/>
      <c r="AA1188" s="27"/>
      <c r="AB1188" s="27"/>
      <c r="AC1188" s="9"/>
      <c r="AD1188" s="27"/>
      <c r="AE1188" s="9"/>
      <c r="AF1188" s="9"/>
      <c r="AG1188" s="27"/>
      <c r="AH1188" s="27"/>
      <c r="AI1188" s="27"/>
      <c r="AJ1188" s="42"/>
      <c r="AK1188" s="27"/>
      <c r="AL1188" s="27"/>
      <c r="AM1188" s="27"/>
      <c r="AN1188" s="27"/>
      <c r="AO1188" s="27"/>
      <c r="AP1188" s="27"/>
      <c r="AQ1188" s="27"/>
    </row>
    <row r="1189" spans="1:43" ht="15.75" customHeight="1">
      <c r="A1189" s="27"/>
      <c r="B1189" s="9"/>
      <c r="C1189" s="27"/>
      <c r="D1189" s="9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42"/>
      <c r="Y1189" s="42"/>
      <c r="Z1189" s="27"/>
      <c r="AA1189" s="27"/>
      <c r="AB1189" s="27"/>
      <c r="AC1189" s="9"/>
      <c r="AD1189" s="27"/>
      <c r="AE1189" s="9"/>
      <c r="AF1189" s="9"/>
      <c r="AG1189" s="27"/>
      <c r="AH1189" s="27"/>
      <c r="AI1189" s="27"/>
      <c r="AJ1189" s="42"/>
      <c r="AK1189" s="27"/>
      <c r="AL1189" s="27"/>
      <c r="AM1189" s="27"/>
      <c r="AN1189" s="27"/>
      <c r="AO1189" s="27"/>
      <c r="AP1189" s="27"/>
      <c r="AQ1189" s="27"/>
    </row>
    <row r="1190" spans="1:43" ht="15.75" customHeight="1">
      <c r="A1190" s="27"/>
      <c r="B1190" s="9"/>
      <c r="C1190" s="27"/>
      <c r="D1190" s="9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42"/>
      <c r="Y1190" s="42"/>
      <c r="Z1190" s="27"/>
      <c r="AA1190" s="27"/>
      <c r="AB1190" s="27"/>
      <c r="AC1190" s="9"/>
      <c r="AD1190" s="27"/>
      <c r="AE1190" s="9"/>
      <c r="AF1190" s="9"/>
      <c r="AG1190" s="27"/>
      <c r="AH1190" s="27"/>
      <c r="AI1190" s="27"/>
      <c r="AJ1190" s="42"/>
      <c r="AK1190" s="27"/>
      <c r="AL1190" s="27"/>
      <c r="AM1190" s="27"/>
      <c r="AN1190" s="27"/>
      <c r="AO1190" s="27"/>
      <c r="AP1190" s="27"/>
      <c r="AQ1190" s="27"/>
    </row>
    <row r="1191" spans="1:43" ht="15.75" customHeight="1">
      <c r="A1191" s="27"/>
      <c r="B1191" s="9"/>
      <c r="C1191" s="27"/>
      <c r="D1191" s="9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42"/>
      <c r="Y1191" s="42"/>
      <c r="Z1191" s="27"/>
      <c r="AA1191" s="27"/>
      <c r="AB1191" s="27"/>
      <c r="AC1191" s="9"/>
      <c r="AD1191" s="27"/>
      <c r="AE1191" s="9"/>
      <c r="AF1191" s="9"/>
      <c r="AG1191" s="27"/>
      <c r="AH1191" s="27"/>
      <c r="AI1191" s="27"/>
      <c r="AJ1191" s="42"/>
      <c r="AK1191" s="27"/>
      <c r="AL1191" s="27"/>
      <c r="AM1191" s="27"/>
      <c r="AN1191" s="27"/>
      <c r="AO1191" s="27"/>
      <c r="AP1191" s="27"/>
      <c r="AQ1191" s="27"/>
    </row>
    <row r="1192" spans="1:43" ht="15.75" customHeight="1">
      <c r="A1192" s="27"/>
      <c r="B1192" s="9"/>
      <c r="C1192" s="27"/>
      <c r="D1192" s="9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42"/>
      <c r="Y1192" s="42"/>
      <c r="Z1192" s="27"/>
      <c r="AA1192" s="27"/>
      <c r="AB1192" s="27"/>
      <c r="AC1192" s="9"/>
      <c r="AD1192" s="27"/>
      <c r="AE1192" s="9"/>
      <c r="AF1192" s="9"/>
      <c r="AG1192" s="27"/>
      <c r="AH1192" s="27"/>
      <c r="AI1192" s="27"/>
      <c r="AJ1192" s="42"/>
      <c r="AK1192" s="27"/>
      <c r="AL1192" s="27"/>
      <c r="AM1192" s="27"/>
      <c r="AN1192" s="27"/>
      <c r="AO1192" s="27"/>
      <c r="AP1192" s="27"/>
      <c r="AQ1192" s="27"/>
    </row>
    <row r="1193" spans="1:43" ht="15.75" customHeight="1">
      <c r="A1193" s="27"/>
      <c r="B1193" s="9"/>
      <c r="C1193" s="27"/>
      <c r="D1193" s="9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42"/>
      <c r="Y1193" s="42"/>
      <c r="Z1193" s="27"/>
      <c r="AA1193" s="27"/>
      <c r="AB1193" s="27"/>
      <c r="AC1193" s="9"/>
      <c r="AD1193" s="27"/>
      <c r="AE1193" s="9"/>
      <c r="AF1193" s="9"/>
      <c r="AG1193" s="27"/>
      <c r="AH1193" s="27"/>
      <c r="AI1193" s="27"/>
      <c r="AJ1193" s="42"/>
      <c r="AK1193" s="27"/>
      <c r="AL1193" s="27"/>
      <c r="AM1193" s="27"/>
      <c r="AN1193" s="27"/>
      <c r="AO1193" s="27"/>
      <c r="AP1193" s="27"/>
      <c r="AQ1193" s="27"/>
    </row>
    <row r="1194" spans="1:43" ht="15.75" customHeight="1">
      <c r="A1194" s="27"/>
      <c r="B1194" s="9"/>
      <c r="C1194" s="27"/>
      <c r="D1194" s="9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42"/>
      <c r="Y1194" s="42"/>
      <c r="Z1194" s="27"/>
      <c r="AA1194" s="27"/>
      <c r="AB1194" s="27"/>
      <c r="AC1194" s="9"/>
      <c r="AD1194" s="27"/>
      <c r="AE1194" s="9"/>
      <c r="AF1194" s="9"/>
      <c r="AG1194" s="27"/>
      <c r="AH1194" s="27"/>
      <c r="AI1194" s="27"/>
      <c r="AJ1194" s="42"/>
      <c r="AK1194" s="27"/>
      <c r="AL1194" s="27"/>
      <c r="AM1194" s="27"/>
      <c r="AN1194" s="27"/>
      <c r="AO1194" s="27"/>
      <c r="AP1194" s="27"/>
      <c r="AQ1194" s="27"/>
    </row>
    <row r="1195" spans="1:43" ht="15.75" customHeight="1">
      <c r="A1195" s="27"/>
      <c r="B1195" s="9"/>
      <c r="C1195" s="27"/>
      <c r="D1195" s="9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42"/>
      <c r="Y1195" s="42"/>
      <c r="Z1195" s="27"/>
      <c r="AA1195" s="27"/>
      <c r="AB1195" s="27"/>
      <c r="AC1195" s="9"/>
      <c r="AD1195" s="27"/>
      <c r="AE1195" s="9"/>
      <c r="AF1195" s="9"/>
      <c r="AG1195" s="27"/>
      <c r="AH1195" s="27"/>
      <c r="AI1195" s="27"/>
      <c r="AJ1195" s="42"/>
      <c r="AK1195" s="27"/>
      <c r="AL1195" s="27"/>
      <c r="AM1195" s="27"/>
      <c r="AN1195" s="27"/>
      <c r="AO1195" s="27"/>
      <c r="AP1195" s="27"/>
      <c r="AQ1195" s="27"/>
    </row>
    <row r="1196" spans="1:43" ht="15.75" customHeight="1">
      <c r="A1196" s="27"/>
      <c r="B1196" s="9"/>
      <c r="C1196" s="27"/>
      <c r="D1196" s="9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42"/>
      <c r="Y1196" s="42"/>
      <c r="Z1196" s="27"/>
      <c r="AA1196" s="27"/>
      <c r="AB1196" s="27"/>
      <c r="AC1196" s="9"/>
      <c r="AD1196" s="27"/>
      <c r="AE1196" s="9"/>
      <c r="AF1196" s="9"/>
      <c r="AG1196" s="27"/>
      <c r="AH1196" s="27"/>
      <c r="AI1196" s="27"/>
      <c r="AJ1196" s="42"/>
      <c r="AK1196" s="27"/>
      <c r="AL1196" s="27"/>
      <c r="AM1196" s="27"/>
      <c r="AN1196" s="27"/>
      <c r="AO1196" s="27"/>
      <c r="AP1196" s="27"/>
      <c r="AQ1196" s="27"/>
    </row>
    <row r="1197" spans="1:43" ht="15.75" customHeight="1">
      <c r="A1197" s="27"/>
      <c r="B1197" s="9"/>
      <c r="C1197" s="27"/>
      <c r="D1197" s="9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42"/>
      <c r="Y1197" s="42"/>
      <c r="Z1197" s="27"/>
      <c r="AA1197" s="27"/>
      <c r="AB1197" s="27"/>
      <c r="AC1197" s="9"/>
      <c r="AD1197" s="27"/>
      <c r="AE1197" s="9"/>
      <c r="AF1197" s="9"/>
      <c r="AG1197" s="27"/>
      <c r="AH1197" s="27"/>
      <c r="AI1197" s="27"/>
      <c r="AJ1197" s="42"/>
      <c r="AK1197" s="27"/>
      <c r="AL1197" s="27"/>
      <c r="AM1197" s="27"/>
      <c r="AN1197" s="27"/>
      <c r="AO1197" s="27"/>
      <c r="AP1197" s="27"/>
      <c r="AQ1197" s="27"/>
    </row>
    <row r="1198" spans="1:43" ht="15.75" customHeight="1">
      <c r="A1198" s="27"/>
      <c r="B1198" s="9"/>
      <c r="C1198" s="27"/>
      <c r="D1198" s="9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42"/>
      <c r="Y1198" s="42"/>
      <c r="Z1198" s="27"/>
      <c r="AA1198" s="27"/>
      <c r="AB1198" s="27"/>
      <c r="AC1198" s="9"/>
      <c r="AD1198" s="27"/>
      <c r="AE1198" s="9"/>
      <c r="AF1198" s="9"/>
      <c r="AG1198" s="27"/>
      <c r="AH1198" s="27"/>
      <c r="AI1198" s="27"/>
      <c r="AJ1198" s="42"/>
      <c r="AK1198" s="27"/>
      <c r="AL1198" s="27"/>
      <c r="AM1198" s="27"/>
      <c r="AN1198" s="27"/>
      <c r="AO1198" s="27"/>
      <c r="AP1198" s="27"/>
      <c r="AQ1198" s="27"/>
    </row>
    <row r="1199" spans="1:43" ht="15.75" customHeight="1">
      <c r="A1199" s="27"/>
      <c r="B1199" s="9"/>
      <c r="C1199" s="27"/>
      <c r="D1199" s="9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42"/>
      <c r="Y1199" s="42"/>
      <c r="Z1199" s="27"/>
      <c r="AA1199" s="27"/>
      <c r="AB1199" s="27"/>
      <c r="AC1199" s="9"/>
      <c r="AD1199" s="27"/>
      <c r="AE1199" s="9"/>
      <c r="AF1199" s="9"/>
      <c r="AG1199" s="27"/>
      <c r="AH1199" s="27"/>
      <c r="AI1199" s="27"/>
      <c r="AJ1199" s="42"/>
      <c r="AK1199" s="27"/>
      <c r="AL1199" s="27"/>
      <c r="AM1199" s="27"/>
      <c r="AN1199" s="27"/>
      <c r="AO1199" s="27"/>
      <c r="AP1199" s="27"/>
      <c r="AQ1199" s="27"/>
    </row>
    <row r="1200" spans="1:43" ht="15.75" customHeight="1">
      <c r="A1200" s="27"/>
      <c r="B1200" s="9"/>
      <c r="C1200" s="27"/>
      <c r="D1200" s="9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42"/>
      <c r="Y1200" s="42"/>
      <c r="Z1200" s="27"/>
      <c r="AA1200" s="27"/>
      <c r="AB1200" s="27"/>
      <c r="AC1200" s="9"/>
      <c r="AD1200" s="27"/>
      <c r="AE1200" s="9"/>
      <c r="AF1200" s="9"/>
      <c r="AG1200" s="27"/>
      <c r="AH1200" s="27"/>
      <c r="AI1200" s="27"/>
      <c r="AJ1200" s="42"/>
      <c r="AK1200" s="27"/>
      <c r="AL1200" s="27"/>
      <c r="AM1200" s="27"/>
      <c r="AN1200" s="27"/>
      <c r="AO1200" s="27"/>
      <c r="AP1200" s="27"/>
      <c r="AQ1200" s="27"/>
    </row>
    <row r="1201" spans="1:43" ht="15.75" customHeight="1">
      <c r="A1201" s="27"/>
      <c r="B1201" s="9"/>
      <c r="C1201" s="27"/>
      <c r="D1201" s="9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42"/>
      <c r="Y1201" s="42"/>
      <c r="Z1201" s="27"/>
      <c r="AA1201" s="27"/>
      <c r="AB1201" s="27"/>
      <c r="AC1201" s="9"/>
      <c r="AD1201" s="27"/>
      <c r="AE1201" s="9"/>
      <c r="AF1201" s="9"/>
      <c r="AG1201" s="27"/>
      <c r="AH1201" s="27"/>
      <c r="AI1201" s="27"/>
      <c r="AJ1201" s="42"/>
      <c r="AK1201" s="27"/>
      <c r="AL1201" s="27"/>
      <c r="AM1201" s="27"/>
      <c r="AN1201" s="27"/>
      <c r="AO1201" s="27"/>
      <c r="AP1201" s="27"/>
      <c r="AQ1201" s="27"/>
    </row>
    <row r="1202" spans="1:43" ht="15.75" customHeight="1">
      <c r="A1202" s="27"/>
      <c r="B1202" s="9"/>
      <c r="C1202" s="27"/>
      <c r="D1202" s="9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42"/>
      <c r="Y1202" s="42"/>
      <c r="Z1202" s="27"/>
      <c r="AA1202" s="27"/>
      <c r="AB1202" s="27"/>
      <c r="AC1202" s="9"/>
      <c r="AD1202" s="27"/>
      <c r="AE1202" s="9"/>
      <c r="AF1202" s="9"/>
      <c r="AG1202" s="27"/>
      <c r="AH1202" s="27"/>
      <c r="AI1202" s="27"/>
      <c r="AJ1202" s="42"/>
      <c r="AK1202" s="27"/>
      <c r="AL1202" s="27"/>
      <c r="AM1202" s="27"/>
      <c r="AN1202" s="27"/>
      <c r="AO1202" s="27"/>
      <c r="AP1202" s="27"/>
      <c r="AQ1202" s="27"/>
    </row>
    <row r="1203" spans="1:43" ht="15.75" customHeight="1">
      <c r="A1203" s="27"/>
      <c r="B1203" s="9"/>
      <c r="C1203" s="27"/>
      <c r="D1203" s="9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42"/>
      <c r="Y1203" s="42"/>
      <c r="Z1203" s="27"/>
      <c r="AA1203" s="27"/>
      <c r="AB1203" s="27"/>
      <c r="AC1203" s="9"/>
      <c r="AD1203" s="27"/>
      <c r="AE1203" s="9"/>
      <c r="AF1203" s="9"/>
      <c r="AG1203" s="27"/>
      <c r="AH1203" s="27"/>
      <c r="AI1203" s="27"/>
      <c r="AJ1203" s="42"/>
      <c r="AK1203" s="27"/>
      <c r="AL1203" s="27"/>
      <c r="AM1203" s="27"/>
      <c r="AN1203" s="27"/>
      <c r="AO1203" s="27"/>
      <c r="AP1203" s="27"/>
      <c r="AQ1203" s="27"/>
    </row>
    <row r="1204" spans="1:43" ht="15.75" customHeight="1">
      <c r="A1204" s="27"/>
      <c r="B1204" s="9"/>
      <c r="C1204" s="27"/>
      <c r="D1204" s="9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42"/>
      <c r="Y1204" s="42"/>
      <c r="Z1204" s="27"/>
      <c r="AA1204" s="27"/>
      <c r="AB1204" s="27"/>
      <c r="AC1204" s="9"/>
      <c r="AD1204" s="27"/>
      <c r="AE1204" s="9"/>
      <c r="AF1204" s="9"/>
      <c r="AG1204" s="27"/>
      <c r="AH1204" s="27"/>
      <c r="AI1204" s="27"/>
      <c r="AJ1204" s="42"/>
      <c r="AK1204" s="27"/>
      <c r="AL1204" s="27"/>
      <c r="AM1204" s="27"/>
      <c r="AN1204" s="27"/>
      <c r="AO1204" s="27"/>
      <c r="AP1204" s="27"/>
      <c r="AQ1204" s="27"/>
    </row>
    <row r="1205" spans="1:43" ht="15.75" customHeight="1">
      <c r="A1205" s="27"/>
      <c r="B1205" s="9"/>
      <c r="C1205" s="27"/>
      <c r="D1205" s="9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42"/>
      <c r="Y1205" s="42"/>
      <c r="Z1205" s="27"/>
      <c r="AA1205" s="27"/>
      <c r="AB1205" s="27"/>
      <c r="AC1205" s="9"/>
      <c r="AD1205" s="27"/>
      <c r="AE1205" s="9"/>
      <c r="AF1205" s="9"/>
      <c r="AG1205" s="27"/>
      <c r="AH1205" s="27"/>
      <c r="AI1205" s="27"/>
      <c r="AJ1205" s="42"/>
      <c r="AK1205" s="27"/>
      <c r="AL1205" s="27"/>
      <c r="AM1205" s="27"/>
      <c r="AN1205" s="27"/>
      <c r="AO1205" s="27"/>
      <c r="AP1205" s="27"/>
      <c r="AQ1205" s="27"/>
    </row>
    <row r="1206" spans="1:43" ht="15.75" customHeight="1">
      <c r="A1206" s="27"/>
      <c r="B1206" s="9"/>
      <c r="C1206" s="27"/>
      <c r="D1206" s="9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42"/>
      <c r="Y1206" s="42"/>
      <c r="Z1206" s="27"/>
      <c r="AA1206" s="27"/>
      <c r="AB1206" s="27"/>
      <c r="AC1206" s="9"/>
      <c r="AD1206" s="27"/>
      <c r="AE1206" s="9"/>
      <c r="AF1206" s="9"/>
      <c r="AG1206" s="27"/>
      <c r="AH1206" s="27"/>
      <c r="AI1206" s="27"/>
      <c r="AJ1206" s="42"/>
      <c r="AK1206" s="27"/>
      <c r="AL1206" s="27"/>
      <c r="AM1206" s="27"/>
      <c r="AN1206" s="27"/>
      <c r="AO1206" s="27"/>
      <c r="AP1206" s="27"/>
      <c r="AQ1206" s="27"/>
    </row>
    <row r="1207" spans="1:43" ht="15.75" customHeight="1">
      <c r="A1207" s="27"/>
      <c r="B1207" s="9"/>
      <c r="C1207" s="27"/>
      <c r="D1207" s="9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42"/>
      <c r="Y1207" s="42"/>
      <c r="Z1207" s="27"/>
      <c r="AA1207" s="27"/>
      <c r="AB1207" s="27"/>
      <c r="AC1207" s="9"/>
      <c r="AD1207" s="27"/>
      <c r="AE1207" s="9"/>
      <c r="AF1207" s="9"/>
      <c r="AG1207" s="27"/>
      <c r="AH1207" s="27"/>
      <c r="AI1207" s="27"/>
      <c r="AJ1207" s="42"/>
      <c r="AK1207" s="27"/>
      <c r="AL1207" s="27"/>
      <c r="AM1207" s="27"/>
      <c r="AN1207" s="27"/>
      <c r="AO1207" s="27"/>
      <c r="AP1207" s="27"/>
      <c r="AQ1207" s="27"/>
    </row>
    <row r="1208" spans="1:43" ht="15.75" customHeight="1">
      <c r="A1208" s="27"/>
      <c r="B1208" s="9"/>
      <c r="C1208" s="27"/>
      <c r="D1208" s="9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42"/>
      <c r="Y1208" s="42"/>
      <c r="Z1208" s="27"/>
      <c r="AA1208" s="27"/>
      <c r="AB1208" s="27"/>
      <c r="AC1208" s="9"/>
      <c r="AD1208" s="27"/>
      <c r="AE1208" s="9"/>
      <c r="AF1208" s="9"/>
      <c r="AG1208" s="27"/>
      <c r="AH1208" s="27"/>
      <c r="AI1208" s="27"/>
      <c r="AJ1208" s="42"/>
      <c r="AK1208" s="27"/>
      <c r="AL1208" s="27"/>
      <c r="AM1208" s="27"/>
      <c r="AN1208" s="27"/>
      <c r="AO1208" s="27"/>
      <c r="AP1208" s="27"/>
      <c r="AQ1208" s="27"/>
    </row>
    <row r="1209" spans="1:43" ht="15.75" customHeight="1">
      <c r="A1209" s="27"/>
      <c r="B1209" s="9"/>
      <c r="C1209" s="27"/>
      <c r="D1209" s="9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42"/>
      <c r="Y1209" s="42"/>
      <c r="Z1209" s="27"/>
      <c r="AA1209" s="27"/>
      <c r="AB1209" s="27"/>
      <c r="AC1209" s="9"/>
      <c r="AD1209" s="27"/>
      <c r="AE1209" s="9"/>
      <c r="AF1209" s="9"/>
      <c r="AG1209" s="27"/>
      <c r="AH1209" s="27"/>
      <c r="AI1209" s="27"/>
      <c r="AJ1209" s="42"/>
      <c r="AK1209" s="27"/>
      <c r="AL1209" s="27"/>
      <c r="AM1209" s="27"/>
      <c r="AN1209" s="27"/>
      <c r="AO1209" s="27"/>
      <c r="AP1209" s="27"/>
      <c r="AQ1209" s="27"/>
    </row>
    <row r="1210" spans="1:43" ht="15.75" customHeight="1">
      <c r="A1210" s="27"/>
      <c r="B1210" s="9"/>
      <c r="C1210" s="27"/>
      <c r="D1210" s="9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42"/>
      <c r="Y1210" s="42"/>
      <c r="Z1210" s="27"/>
      <c r="AA1210" s="27"/>
      <c r="AB1210" s="27"/>
      <c r="AC1210" s="9"/>
      <c r="AD1210" s="27"/>
      <c r="AE1210" s="9"/>
      <c r="AF1210" s="9"/>
      <c r="AG1210" s="27"/>
      <c r="AH1210" s="27"/>
      <c r="AI1210" s="27"/>
      <c r="AJ1210" s="42"/>
      <c r="AK1210" s="27"/>
      <c r="AL1210" s="27"/>
      <c r="AM1210" s="27"/>
      <c r="AN1210" s="27"/>
      <c r="AO1210" s="27"/>
      <c r="AP1210" s="27"/>
      <c r="AQ1210" s="27"/>
    </row>
    <row r="1211" spans="1:43" ht="15.75" customHeight="1">
      <c r="A1211" s="27"/>
      <c r="B1211" s="9"/>
      <c r="C1211" s="27"/>
      <c r="D1211" s="9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42"/>
      <c r="Y1211" s="42"/>
      <c r="Z1211" s="27"/>
      <c r="AA1211" s="27"/>
      <c r="AB1211" s="27"/>
      <c r="AC1211" s="9"/>
      <c r="AD1211" s="27"/>
      <c r="AE1211" s="9"/>
      <c r="AF1211" s="9"/>
      <c r="AG1211" s="27"/>
      <c r="AH1211" s="27"/>
      <c r="AI1211" s="27"/>
      <c r="AJ1211" s="42"/>
      <c r="AK1211" s="27"/>
      <c r="AL1211" s="27"/>
      <c r="AM1211" s="27"/>
      <c r="AN1211" s="27"/>
      <c r="AO1211" s="27"/>
      <c r="AP1211" s="27"/>
      <c r="AQ1211" s="27"/>
    </row>
    <row r="1212" spans="1:43" ht="15.75" customHeight="1">
      <c r="A1212" s="27"/>
      <c r="B1212" s="9"/>
      <c r="C1212" s="27"/>
      <c r="D1212" s="9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42"/>
      <c r="Y1212" s="42"/>
      <c r="Z1212" s="27"/>
      <c r="AA1212" s="27"/>
      <c r="AB1212" s="27"/>
      <c r="AC1212" s="9"/>
      <c r="AD1212" s="27"/>
      <c r="AE1212" s="9"/>
      <c r="AF1212" s="9"/>
      <c r="AG1212" s="27"/>
      <c r="AH1212" s="27"/>
      <c r="AI1212" s="27"/>
      <c r="AJ1212" s="42"/>
      <c r="AK1212" s="27"/>
      <c r="AL1212" s="27"/>
      <c r="AM1212" s="27"/>
      <c r="AN1212" s="27"/>
      <c r="AO1212" s="27"/>
      <c r="AP1212" s="27"/>
      <c r="AQ1212" s="27"/>
    </row>
    <row r="1213" spans="1:43" ht="15.75" customHeight="1">
      <c r="A1213" s="27"/>
      <c r="B1213" s="9"/>
      <c r="C1213" s="27"/>
      <c r="D1213" s="9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42"/>
      <c r="Y1213" s="42"/>
      <c r="Z1213" s="27"/>
      <c r="AA1213" s="27"/>
      <c r="AB1213" s="27"/>
      <c r="AC1213" s="9"/>
      <c r="AD1213" s="27"/>
      <c r="AE1213" s="9"/>
      <c r="AF1213" s="9"/>
      <c r="AG1213" s="27"/>
      <c r="AH1213" s="27"/>
      <c r="AI1213" s="27"/>
      <c r="AJ1213" s="42"/>
      <c r="AK1213" s="27"/>
      <c r="AL1213" s="27"/>
      <c r="AM1213" s="27"/>
      <c r="AN1213" s="27"/>
      <c r="AO1213" s="27"/>
      <c r="AP1213" s="27"/>
      <c r="AQ1213" s="27"/>
    </row>
    <row r="1214" spans="1:43" ht="15.75" customHeight="1">
      <c r="A1214" s="27"/>
      <c r="B1214" s="9"/>
      <c r="C1214" s="27"/>
      <c r="D1214" s="9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42"/>
      <c r="Y1214" s="42"/>
      <c r="Z1214" s="27"/>
      <c r="AA1214" s="27"/>
      <c r="AB1214" s="27"/>
      <c r="AC1214" s="9"/>
      <c r="AD1214" s="27"/>
      <c r="AE1214" s="9"/>
      <c r="AF1214" s="9"/>
      <c r="AG1214" s="27"/>
      <c r="AH1214" s="27"/>
      <c r="AI1214" s="27"/>
      <c r="AJ1214" s="42"/>
      <c r="AK1214" s="27"/>
      <c r="AL1214" s="27"/>
      <c r="AM1214" s="27"/>
      <c r="AN1214" s="27"/>
      <c r="AO1214" s="27"/>
      <c r="AP1214" s="27"/>
      <c r="AQ1214" s="27"/>
    </row>
    <row r="1215" spans="1:43" ht="15.75" customHeight="1">
      <c r="A1215" s="27"/>
      <c r="B1215" s="9"/>
      <c r="C1215" s="27"/>
      <c r="D1215" s="9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42"/>
      <c r="Y1215" s="42"/>
      <c r="Z1215" s="27"/>
      <c r="AA1215" s="27"/>
      <c r="AB1215" s="27"/>
      <c r="AC1215" s="9"/>
      <c r="AD1215" s="27"/>
      <c r="AE1215" s="9"/>
      <c r="AF1215" s="9"/>
      <c r="AG1215" s="27"/>
      <c r="AH1215" s="27"/>
      <c r="AI1215" s="27"/>
      <c r="AJ1215" s="42"/>
      <c r="AK1215" s="27"/>
      <c r="AL1215" s="27"/>
      <c r="AM1215" s="27"/>
      <c r="AN1215" s="27"/>
      <c r="AO1215" s="27"/>
      <c r="AP1215" s="27"/>
      <c r="AQ1215" s="27"/>
    </row>
    <row r="1216" spans="1:43" ht="15.75" customHeight="1">
      <c r="A1216" s="27"/>
      <c r="B1216" s="9"/>
      <c r="C1216" s="27"/>
      <c r="D1216" s="9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42"/>
      <c r="Y1216" s="42"/>
      <c r="Z1216" s="27"/>
      <c r="AA1216" s="27"/>
      <c r="AB1216" s="27"/>
      <c r="AC1216" s="9"/>
      <c r="AD1216" s="27"/>
      <c r="AE1216" s="9"/>
      <c r="AF1216" s="9"/>
      <c r="AG1216" s="27"/>
      <c r="AH1216" s="27"/>
      <c r="AI1216" s="27"/>
      <c r="AJ1216" s="42"/>
      <c r="AK1216" s="27"/>
      <c r="AL1216" s="27"/>
      <c r="AM1216" s="27"/>
      <c r="AN1216" s="27"/>
      <c r="AO1216" s="27"/>
      <c r="AP1216" s="27"/>
      <c r="AQ1216" s="27"/>
    </row>
    <row r="1217" spans="1:43" ht="15.75" customHeight="1">
      <c r="A1217" s="27"/>
      <c r="B1217" s="9"/>
      <c r="C1217" s="27"/>
      <c r="D1217" s="9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42"/>
      <c r="Y1217" s="42"/>
      <c r="Z1217" s="27"/>
      <c r="AA1217" s="27"/>
      <c r="AB1217" s="27"/>
      <c r="AC1217" s="9"/>
      <c r="AD1217" s="27"/>
      <c r="AE1217" s="9"/>
      <c r="AF1217" s="9"/>
      <c r="AG1217" s="27"/>
      <c r="AH1217" s="27"/>
      <c r="AI1217" s="27"/>
      <c r="AJ1217" s="42"/>
      <c r="AK1217" s="27"/>
      <c r="AL1217" s="27"/>
      <c r="AM1217" s="27"/>
      <c r="AN1217" s="27"/>
      <c r="AO1217" s="27"/>
      <c r="AP1217" s="27"/>
      <c r="AQ1217" s="27"/>
    </row>
    <row r="1218" spans="1:43" ht="15.75" customHeight="1">
      <c r="A1218" s="27"/>
      <c r="B1218" s="9"/>
      <c r="C1218" s="27"/>
      <c r="D1218" s="9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42"/>
      <c r="Y1218" s="42"/>
      <c r="Z1218" s="27"/>
      <c r="AA1218" s="27"/>
      <c r="AB1218" s="27"/>
      <c r="AC1218" s="9"/>
      <c r="AD1218" s="27"/>
      <c r="AE1218" s="9"/>
      <c r="AF1218" s="9"/>
      <c r="AG1218" s="27"/>
      <c r="AH1218" s="27"/>
      <c r="AI1218" s="27"/>
      <c r="AJ1218" s="42"/>
      <c r="AK1218" s="27"/>
      <c r="AL1218" s="27"/>
      <c r="AM1218" s="27"/>
      <c r="AN1218" s="27"/>
      <c r="AO1218" s="27"/>
      <c r="AP1218" s="27"/>
      <c r="AQ1218" s="27"/>
    </row>
    <row r="1219" spans="1:43" ht="15.75" customHeight="1">
      <c r="A1219" s="27"/>
      <c r="B1219" s="9"/>
      <c r="C1219" s="27"/>
      <c r="D1219" s="9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42"/>
      <c r="Y1219" s="42"/>
      <c r="Z1219" s="27"/>
      <c r="AA1219" s="27"/>
      <c r="AB1219" s="27"/>
      <c r="AC1219" s="9"/>
      <c r="AD1219" s="27"/>
      <c r="AE1219" s="9"/>
      <c r="AF1219" s="9"/>
      <c r="AG1219" s="27"/>
      <c r="AH1219" s="27"/>
      <c r="AI1219" s="27"/>
      <c r="AJ1219" s="42"/>
      <c r="AK1219" s="27"/>
      <c r="AL1219" s="27"/>
      <c r="AM1219" s="27"/>
      <c r="AN1219" s="27"/>
      <c r="AO1219" s="27"/>
      <c r="AP1219" s="27"/>
      <c r="AQ1219" s="27"/>
    </row>
    <row r="1220" spans="1:43" ht="15.75" customHeight="1">
      <c r="A1220" s="27"/>
      <c r="B1220" s="9"/>
      <c r="C1220" s="27"/>
      <c r="D1220" s="9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42"/>
      <c r="Y1220" s="42"/>
      <c r="Z1220" s="27"/>
      <c r="AA1220" s="27"/>
      <c r="AB1220" s="27"/>
      <c r="AC1220" s="9"/>
      <c r="AD1220" s="27"/>
      <c r="AE1220" s="9"/>
      <c r="AF1220" s="9"/>
      <c r="AG1220" s="27"/>
      <c r="AH1220" s="27"/>
      <c r="AI1220" s="27"/>
      <c r="AJ1220" s="42"/>
      <c r="AK1220" s="27"/>
      <c r="AL1220" s="27"/>
      <c r="AM1220" s="27"/>
      <c r="AN1220" s="27"/>
      <c r="AO1220" s="27"/>
      <c r="AP1220" s="27"/>
      <c r="AQ1220" s="27"/>
    </row>
    <row r="1221" spans="1:43" ht="15.75" customHeight="1">
      <c r="A1221" s="27"/>
      <c r="B1221" s="9"/>
      <c r="C1221" s="27"/>
      <c r="D1221" s="9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42"/>
      <c r="Y1221" s="42"/>
      <c r="Z1221" s="27"/>
      <c r="AA1221" s="27"/>
      <c r="AB1221" s="27"/>
      <c r="AC1221" s="9"/>
      <c r="AD1221" s="27"/>
      <c r="AE1221" s="9"/>
      <c r="AF1221" s="9"/>
      <c r="AG1221" s="27"/>
      <c r="AH1221" s="27"/>
      <c r="AI1221" s="27"/>
      <c r="AJ1221" s="42"/>
      <c r="AK1221" s="27"/>
      <c r="AL1221" s="27"/>
      <c r="AM1221" s="27"/>
      <c r="AN1221" s="27"/>
      <c r="AO1221" s="27"/>
      <c r="AP1221" s="27"/>
      <c r="AQ1221" s="27"/>
    </row>
    <row r="1222" spans="1:43" ht="15.75" customHeight="1">
      <c r="A1222" s="27"/>
      <c r="B1222" s="9"/>
      <c r="C1222" s="27"/>
      <c r="D1222" s="9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42"/>
      <c r="Y1222" s="42"/>
      <c r="Z1222" s="27"/>
      <c r="AA1222" s="27"/>
      <c r="AB1222" s="27"/>
      <c r="AC1222" s="9"/>
      <c r="AD1222" s="27"/>
      <c r="AE1222" s="9"/>
      <c r="AF1222" s="9"/>
      <c r="AG1222" s="27"/>
      <c r="AH1222" s="27"/>
      <c r="AI1222" s="27"/>
      <c r="AJ1222" s="42"/>
      <c r="AK1222" s="27"/>
      <c r="AL1222" s="27"/>
      <c r="AM1222" s="27"/>
      <c r="AN1222" s="27"/>
      <c r="AO1222" s="27"/>
      <c r="AP1222" s="27"/>
      <c r="AQ1222" s="27"/>
    </row>
    <row r="1223" spans="1:43" ht="15.75" customHeight="1">
      <c r="A1223" s="27"/>
      <c r="B1223" s="9"/>
      <c r="C1223" s="27"/>
      <c r="D1223" s="9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42"/>
      <c r="Y1223" s="42"/>
      <c r="Z1223" s="27"/>
      <c r="AA1223" s="27"/>
      <c r="AB1223" s="27"/>
      <c r="AC1223" s="9"/>
      <c r="AD1223" s="27"/>
      <c r="AE1223" s="9"/>
      <c r="AF1223" s="9"/>
      <c r="AG1223" s="27"/>
      <c r="AH1223" s="27"/>
      <c r="AI1223" s="27"/>
      <c r="AJ1223" s="42"/>
      <c r="AK1223" s="27"/>
      <c r="AL1223" s="27"/>
      <c r="AM1223" s="27"/>
      <c r="AN1223" s="27"/>
      <c r="AO1223" s="27"/>
      <c r="AP1223" s="27"/>
      <c r="AQ1223" s="27"/>
    </row>
    <row r="1224" spans="1:43" ht="15.75" customHeight="1">
      <c r="A1224" s="27"/>
      <c r="B1224" s="9"/>
      <c r="C1224" s="27"/>
      <c r="D1224" s="9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42"/>
      <c r="Y1224" s="42"/>
      <c r="Z1224" s="27"/>
      <c r="AA1224" s="27"/>
      <c r="AB1224" s="27"/>
      <c r="AC1224" s="9"/>
      <c r="AD1224" s="27"/>
      <c r="AE1224" s="9"/>
      <c r="AF1224" s="9"/>
      <c r="AG1224" s="27"/>
      <c r="AH1224" s="27"/>
      <c r="AI1224" s="27"/>
      <c r="AJ1224" s="42"/>
      <c r="AK1224" s="27"/>
      <c r="AL1224" s="27"/>
      <c r="AM1224" s="27"/>
      <c r="AN1224" s="27"/>
      <c r="AO1224" s="27"/>
      <c r="AP1224" s="27"/>
      <c r="AQ1224" s="27"/>
    </row>
    <row r="1225" spans="1:43" ht="15.75" customHeight="1">
      <c r="A1225" s="27"/>
      <c r="B1225" s="9"/>
      <c r="C1225" s="27"/>
      <c r="D1225" s="9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42"/>
      <c r="Y1225" s="42"/>
      <c r="Z1225" s="27"/>
      <c r="AA1225" s="27"/>
      <c r="AB1225" s="27"/>
      <c r="AC1225" s="9"/>
      <c r="AD1225" s="27"/>
      <c r="AE1225" s="9"/>
      <c r="AF1225" s="9"/>
      <c r="AG1225" s="27"/>
      <c r="AH1225" s="27"/>
      <c r="AI1225" s="27"/>
      <c r="AJ1225" s="42"/>
      <c r="AK1225" s="27"/>
      <c r="AL1225" s="27"/>
      <c r="AM1225" s="27"/>
      <c r="AN1225" s="27"/>
      <c r="AO1225" s="27"/>
      <c r="AP1225" s="27"/>
      <c r="AQ1225" s="27"/>
    </row>
    <row r="1226" spans="1:43" ht="15.75" customHeight="1">
      <c r="A1226" s="27"/>
      <c r="B1226" s="9"/>
      <c r="C1226" s="27"/>
      <c r="D1226" s="9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42"/>
      <c r="Y1226" s="42"/>
      <c r="Z1226" s="27"/>
      <c r="AA1226" s="27"/>
      <c r="AB1226" s="27"/>
      <c r="AC1226" s="9"/>
      <c r="AD1226" s="27"/>
      <c r="AE1226" s="9"/>
      <c r="AF1226" s="9"/>
      <c r="AG1226" s="27"/>
      <c r="AH1226" s="27"/>
      <c r="AI1226" s="27"/>
      <c r="AJ1226" s="42"/>
      <c r="AK1226" s="27"/>
      <c r="AL1226" s="27"/>
      <c r="AM1226" s="27"/>
      <c r="AN1226" s="27"/>
      <c r="AO1226" s="27"/>
      <c r="AP1226" s="27"/>
      <c r="AQ1226" s="27"/>
    </row>
    <row r="1227" spans="1:43" ht="15.75" customHeight="1">
      <c r="A1227" s="27"/>
      <c r="B1227" s="9"/>
      <c r="C1227" s="27"/>
      <c r="D1227" s="9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42"/>
      <c r="Y1227" s="42"/>
      <c r="Z1227" s="27"/>
      <c r="AA1227" s="27"/>
      <c r="AB1227" s="27"/>
      <c r="AC1227" s="9"/>
      <c r="AD1227" s="27"/>
      <c r="AE1227" s="9"/>
      <c r="AF1227" s="9"/>
      <c r="AG1227" s="27"/>
      <c r="AH1227" s="27"/>
      <c r="AI1227" s="27"/>
      <c r="AJ1227" s="42"/>
      <c r="AK1227" s="27"/>
      <c r="AL1227" s="27"/>
      <c r="AM1227" s="27"/>
      <c r="AN1227" s="27"/>
      <c r="AO1227" s="27"/>
      <c r="AP1227" s="27"/>
      <c r="AQ1227" s="27"/>
    </row>
    <row r="1228" spans="1:43" ht="15.75" customHeight="1">
      <c r="A1228" s="27"/>
      <c r="B1228" s="9"/>
      <c r="C1228" s="27"/>
      <c r="D1228" s="9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42"/>
      <c r="Y1228" s="42"/>
      <c r="Z1228" s="27"/>
      <c r="AA1228" s="27"/>
      <c r="AB1228" s="27"/>
      <c r="AC1228" s="9"/>
      <c r="AD1228" s="27"/>
      <c r="AE1228" s="9"/>
      <c r="AF1228" s="9"/>
      <c r="AG1228" s="27"/>
      <c r="AH1228" s="27"/>
      <c r="AI1228" s="27"/>
      <c r="AJ1228" s="42"/>
      <c r="AK1228" s="27"/>
      <c r="AL1228" s="27"/>
      <c r="AM1228" s="27"/>
      <c r="AN1228" s="27"/>
      <c r="AO1228" s="27"/>
      <c r="AP1228" s="27"/>
      <c r="AQ1228" s="27"/>
    </row>
    <row r="1229" spans="1:43" ht="15.75" customHeight="1">
      <c r="A1229" s="27"/>
      <c r="B1229" s="9"/>
      <c r="C1229" s="27"/>
      <c r="D1229" s="9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42"/>
      <c r="Y1229" s="42"/>
      <c r="Z1229" s="27"/>
      <c r="AA1229" s="27"/>
      <c r="AB1229" s="27"/>
      <c r="AC1229" s="9"/>
      <c r="AD1229" s="27"/>
      <c r="AE1229" s="9"/>
      <c r="AF1229" s="9"/>
      <c r="AG1229" s="27"/>
      <c r="AH1229" s="27"/>
      <c r="AI1229" s="27"/>
      <c r="AJ1229" s="42"/>
      <c r="AK1229" s="27"/>
      <c r="AL1229" s="27"/>
      <c r="AM1229" s="27"/>
      <c r="AN1229" s="27"/>
      <c r="AO1229" s="27"/>
      <c r="AP1229" s="27"/>
      <c r="AQ1229" s="27"/>
    </row>
    <row r="1230" spans="1:43" ht="15.75" customHeight="1">
      <c r="A1230" s="27"/>
      <c r="B1230" s="9"/>
      <c r="C1230" s="27"/>
      <c r="D1230" s="9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42"/>
      <c r="Y1230" s="42"/>
      <c r="Z1230" s="27"/>
      <c r="AA1230" s="27"/>
      <c r="AB1230" s="27"/>
      <c r="AC1230" s="9"/>
      <c r="AD1230" s="27"/>
      <c r="AE1230" s="9"/>
      <c r="AF1230" s="9"/>
      <c r="AG1230" s="27"/>
      <c r="AH1230" s="27"/>
      <c r="AI1230" s="27"/>
      <c r="AJ1230" s="42"/>
      <c r="AK1230" s="27"/>
      <c r="AL1230" s="27"/>
      <c r="AM1230" s="27"/>
      <c r="AN1230" s="27"/>
      <c r="AO1230" s="27"/>
      <c r="AP1230" s="27"/>
      <c r="AQ1230" s="27"/>
    </row>
    <row r="1231" spans="1:43" ht="15.75" customHeight="1">
      <c r="A1231" s="27"/>
      <c r="B1231" s="9"/>
      <c r="C1231" s="27"/>
      <c r="D1231" s="9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42"/>
      <c r="Y1231" s="42"/>
      <c r="Z1231" s="27"/>
      <c r="AA1231" s="27"/>
      <c r="AB1231" s="27"/>
      <c r="AC1231" s="9"/>
      <c r="AD1231" s="27"/>
      <c r="AE1231" s="9"/>
      <c r="AF1231" s="9"/>
      <c r="AG1231" s="27"/>
      <c r="AH1231" s="27"/>
      <c r="AI1231" s="27"/>
      <c r="AJ1231" s="42"/>
      <c r="AK1231" s="27"/>
      <c r="AL1231" s="27"/>
      <c r="AM1231" s="27"/>
      <c r="AN1231" s="27"/>
      <c r="AO1231" s="27"/>
      <c r="AP1231" s="27"/>
      <c r="AQ1231" s="27"/>
    </row>
    <row r="1232" spans="1:43" ht="15.75" customHeight="1">
      <c r="A1232" s="27"/>
      <c r="B1232" s="9"/>
      <c r="C1232" s="27"/>
      <c r="D1232" s="9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42"/>
      <c r="Y1232" s="42"/>
      <c r="Z1232" s="27"/>
      <c r="AA1232" s="27"/>
      <c r="AB1232" s="27"/>
      <c r="AC1232" s="9"/>
      <c r="AD1232" s="27"/>
      <c r="AE1232" s="9"/>
      <c r="AF1232" s="9"/>
      <c r="AG1232" s="27"/>
      <c r="AH1232" s="27"/>
      <c r="AI1232" s="27"/>
      <c r="AJ1232" s="42"/>
      <c r="AK1232" s="27"/>
      <c r="AL1232" s="27"/>
      <c r="AM1232" s="27"/>
      <c r="AN1232" s="27"/>
      <c r="AO1232" s="27"/>
      <c r="AP1232" s="27"/>
      <c r="AQ1232" s="27"/>
    </row>
    <row r="1233" spans="1:43" ht="15.75" customHeight="1">
      <c r="A1233" s="27"/>
      <c r="B1233" s="9"/>
      <c r="C1233" s="27"/>
      <c r="D1233" s="9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42"/>
      <c r="Y1233" s="42"/>
      <c r="Z1233" s="27"/>
      <c r="AA1233" s="27"/>
      <c r="AB1233" s="27"/>
      <c r="AC1233" s="9"/>
      <c r="AD1233" s="27"/>
      <c r="AE1233" s="9"/>
      <c r="AF1233" s="9"/>
      <c r="AG1233" s="27"/>
      <c r="AH1233" s="27"/>
      <c r="AI1233" s="27"/>
      <c r="AJ1233" s="42"/>
      <c r="AK1233" s="27"/>
      <c r="AL1233" s="27"/>
      <c r="AM1233" s="27"/>
      <c r="AN1233" s="27"/>
      <c r="AO1233" s="27"/>
      <c r="AP1233" s="27"/>
      <c r="AQ1233" s="27"/>
    </row>
    <row r="1234" spans="1:43" ht="15.75" customHeight="1">
      <c r="A1234" s="27"/>
      <c r="B1234" s="9"/>
      <c r="C1234" s="27"/>
      <c r="D1234" s="9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42"/>
      <c r="Y1234" s="42"/>
      <c r="Z1234" s="27"/>
      <c r="AA1234" s="27"/>
      <c r="AB1234" s="27"/>
      <c r="AC1234" s="9"/>
      <c r="AD1234" s="27"/>
      <c r="AE1234" s="9"/>
      <c r="AF1234" s="9"/>
      <c r="AG1234" s="27"/>
      <c r="AH1234" s="27"/>
      <c r="AI1234" s="27"/>
      <c r="AJ1234" s="42"/>
      <c r="AK1234" s="27"/>
      <c r="AL1234" s="27"/>
      <c r="AM1234" s="27"/>
      <c r="AN1234" s="27"/>
      <c r="AO1234" s="27"/>
      <c r="AP1234" s="27"/>
      <c r="AQ1234" s="27"/>
    </row>
    <row r="1235" spans="1:43" ht="15.75" customHeight="1">
      <c r="A1235" s="27"/>
      <c r="B1235" s="9"/>
      <c r="C1235" s="27"/>
      <c r="D1235" s="9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42"/>
      <c r="Y1235" s="42"/>
      <c r="Z1235" s="27"/>
      <c r="AA1235" s="27"/>
      <c r="AB1235" s="27"/>
      <c r="AC1235" s="9"/>
      <c r="AD1235" s="27"/>
      <c r="AE1235" s="9"/>
      <c r="AF1235" s="9"/>
      <c r="AG1235" s="27"/>
      <c r="AH1235" s="27"/>
      <c r="AI1235" s="27"/>
      <c r="AJ1235" s="42"/>
      <c r="AK1235" s="27"/>
      <c r="AL1235" s="27"/>
      <c r="AM1235" s="27"/>
      <c r="AN1235" s="27"/>
      <c r="AO1235" s="27"/>
      <c r="AP1235" s="27"/>
      <c r="AQ1235" s="27"/>
    </row>
    <row r="1236" spans="1:43" ht="15.75" customHeight="1">
      <c r="A1236" s="27"/>
      <c r="B1236" s="9"/>
      <c r="C1236" s="27"/>
      <c r="D1236" s="9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42"/>
      <c r="Y1236" s="42"/>
      <c r="Z1236" s="27"/>
      <c r="AA1236" s="27"/>
      <c r="AB1236" s="27"/>
      <c r="AC1236" s="9"/>
      <c r="AD1236" s="27"/>
      <c r="AE1236" s="9"/>
      <c r="AF1236" s="9"/>
      <c r="AG1236" s="27"/>
      <c r="AH1236" s="27"/>
      <c r="AI1236" s="27"/>
      <c r="AJ1236" s="42"/>
      <c r="AK1236" s="27"/>
      <c r="AL1236" s="27"/>
      <c r="AM1236" s="27"/>
      <c r="AN1236" s="27"/>
      <c r="AO1236" s="27"/>
      <c r="AP1236" s="27"/>
      <c r="AQ1236" s="27"/>
    </row>
    <row r="1237" spans="1:43" ht="15.75" customHeight="1">
      <c r="A1237" s="27"/>
      <c r="B1237" s="9"/>
      <c r="C1237" s="27"/>
      <c r="D1237" s="9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42"/>
      <c r="Y1237" s="42"/>
      <c r="Z1237" s="27"/>
      <c r="AA1237" s="27"/>
      <c r="AB1237" s="27"/>
      <c r="AC1237" s="9"/>
      <c r="AD1237" s="27"/>
      <c r="AE1237" s="9"/>
      <c r="AF1237" s="9"/>
      <c r="AG1237" s="27"/>
      <c r="AH1237" s="27"/>
      <c r="AI1237" s="27"/>
      <c r="AJ1237" s="42"/>
      <c r="AK1237" s="27"/>
      <c r="AL1237" s="27"/>
      <c r="AM1237" s="27"/>
      <c r="AN1237" s="27"/>
      <c r="AO1237" s="27"/>
      <c r="AP1237" s="27"/>
      <c r="AQ1237" s="27"/>
    </row>
    <row r="1238" spans="1:43" ht="15.75" customHeight="1">
      <c r="A1238" s="27"/>
      <c r="B1238" s="9"/>
      <c r="C1238" s="27"/>
      <c r="D1238" s="9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42"/>
      <c r="Y1238" s="42"/>
      <c r="Z1238" s="27"/>
      <c r="AA1238" s="27"/>
      <c r="AB1238" s="27"/>
      <c r="AC1238" s="9"/>
      <c r="AD1238" s="27"/>
      <c r="AE1238" s="9"/>
      <c r="AF1238" s="9"/>
      <c r="AG1238" s="27"/>
      <c r="AH1238" s="27"/>
      <c r="AI1238" s="27"/>
      <c r="AJ1238" s="42"/>
      <c r="AK1238" s="27"/>
      <c r="AL1238" s="27"/>
      <c r="AM1238" s="27"/>
      <c r="AN1238" s="27"/>
      <c r="AO1238" s="27"/>
      <c r="AP1238" s="27"/>
      <c r="AQ1238" s="27"/>
    </row>
    <row r="1239" spans="1:43" ht="15.75" customHeight="1">
      <c r="A1239" s="27"/>
      <c r="B1239" s="9"/>
      <c r="C1239" s="27"/>
      <c r="D1239" s="9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42"/>
      <c r="Y1239" s="42"/>
      <c r="Z1239" s="27"/>
      <c r="AA1239" s="27"/>
      <c r="AB1239" s="27"/>
      <c r="AC1239" s="9"/>
      <c r="AD1239" s="27"/>
      <c r="AE1239" s="9"/>
      <c r="AF1239" s="9"/>
      <c r="AG1239" s="27"/>
      <c r="AH1239" s="27"/>
      <c r="AI1239" s="27"/>
      <c r="AJ1239" s="42"/>
      <c r="AK1239" s="27"/>
      <c r="AL1239" s="27"/>
      <c r="AM1239" s="27"/>
      <c r="AN1239" s="27"/>
      <c r="AO1239" s="27"/>
      <c r="AP1239" s="27"/>
      <c r="AQ1239" s="27"/>
    </row>
    <row r="1240" spans="1:43" ht="15.75" customHeight="1">
      <c r="A1240" s="27"/>
      <c r="B1240" s="9"/>
      <c r="C1240" s="27"/>
      <c r="D1240" s="9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42"/>
      <c r="Y1240" s="42"/>
      <c r="Z1240" s="27"/>
      <c r="AA1240" s="27"/>
      <c r="AB1240" s="27"/>
      <c r="AC1240" s="9"/>
      <c r="AD1240" s="27"/>
      <c r="AE1240" s="9"/>
      <c r="AF1240" s="9"/>
      <c r="AG1240" s="27"/>
      <c r="AH1240" s="27"/>
      <c r="AI1240" s="27"/>
      <c r="AJ1240" s="42"/>
      <c r="AK1240" s="27"/>
      <c r="AL1240" s="27"/>
      <c r="AM1240" s="27"/>
      <c r="AN1240" s="27"/>
      <c r="AO1240" s="27"/>
      <c r="AP1240" s="27"/>
      <c r="AQ1240" s="27"/>
    </row>
    <row r="1241" spans="1:43" ht="15.75" customHeight="1">
      <c r="A1241" s="27"/>
      <c r="B1241" s="9"/>
      <c r="C1241" s="27"/>
      <c r="D1241" s="9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42"/>
      <c r="Y1241" s="42"/>
      <c r="Z1241" s="27"/>
      <c r="AA1241" s="27"/>
      <c r="AB1241" s="27"/>
      <c r="AC1241" s="9"/>
      <c r="AD1241" s="27"/>
      <c r="AE1241" s="9"/>
      <c r="AF1241" s="9"/>
      <c r="AG1241" s="27"/>
      <c r="AH1241" s="27"/>
      <c r="AI1241" s="27"/>
      <c r="AJ1241" s="42"/>
      <c r="AK1241" s="27"/>
      <c r="AL1241" s="27"/>
      <c r="AM1241" s="27"/>
      <c r="AN1241" s="27"/>
      <c r="AO1241" s="27"/>
      <c r="AP1241" s="27"/>
      <c r="AQ1241" s="27"/>
    </row>
    <row r="1242" spans="1:43" ht="15.75" customHeight="1">
      <c r="A1242" s="27"/>
      <c r="B1242" s="9"/>
      <c r="C1242" s="27"/>
      <c r="D1242" s="9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42"/>
      <c r="Y1242" s="42"/>
      <c r="Z1242" s="27"/>
      <c r="AA1242" s="27"/>
      <c r="AB1242" s="27"/>
      <c r="AC1242" s="9"/>
      <c r="AD1242" s="27"/>
      <c r="AE1242" s="9"/>
      <c r="AF1242" s="9"/>
      <c r="AG1242" s="27"/>
      <c r="AH1242" s="27"/>
      <c r="AI1242" s="27"/>
      <c r="AJ1242" s="42"/>
      <c r="AK1242" s="27"/>
      <c r="AL1242" s="27"/>
      <c r="AM1242" s="27"/>
      <c r="AN1242" s="27"/>
      <c r="AO1242" s="27"/>
      <c r="AP1242" s="27"/>
      <c r="AQ1242" s="27"/>
    </row>
    <row r="1243" spans="1:43" ht="15.75" customHeight="1">
      <c r="A1243" s="27"/>
      <c r="B1243" s="9"/>
      <c r="C1243" s="27"/>
      <c r="D1243" s="9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42"/>
      <c r="Y1243" s="42"/>
      <c r="Z1243" s="27"/>
      <c r="AA1243" s="27"/>
      <c r="AB1243" s="27"/>
      <c r="AC1243" s="9"/>
      <c r="AD1243" s="27"/>
      <c r="AE1243" s="9"/>
      <c r="AF1243" s="9"/>
      <c r="AG1243" s="27"/>
      <c r="AH1243" s="27"/>
      <c r="AI1243" s="27"/>
      <c r="AJ1243" s="42"/>
      <c r="AK1243" s="27"/>
      <c r="AL1243" s="27"/>
      <c r="AM1243" s="27"/>
      <c r="AN1243" s="27"/>
      <c r="AO1243" s="27"/>
      <c r="AP1243" s="27"/>
      <c r="AQ1243" s="27"/>
    </row>
    <row r="1244" spans="1:43" ht="15.75" customHeight="1">
      <c r="A1244" s="27"/>
      <c r="B1244" s="9"/>
      <c r="C1244" s="27"/>
      <c r="D1244" s="9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42"/>
      <c r="Y1244" s="42"/>
      <c r="Z1244" s="27"/>
      <c r="AA1244" s="27"/>
      <c r="AB1244" s="27"/>
      <c r="AC1244" s="9"/>
      <c r="AD1244" s="27"/>
      <c r="AE1244" s="9"/>
      <c r="AF1244" s="9"/>
      <c r="AG1244" s="27"/>
      <c r="AH1244" s="27"/>
      <c r="AI1244" s="27"/>
      <c r="AJ1244" s="42"/>
      <c r="AK1244" s="27"/>
      <c r="AL1244" s="27"/>
      <c r="AM1244" s="27"/>
      <c r="AN1244" s="27"/>
      <c r="AO1244" s="27"/>
      <c r="AP1244" s="27"/>
      <c r="AQ1244" s="27"/>
    </row>
    <row r="1245" spans="1:43" ht="15.75" customHeight="1">
      <c r="A1245" s="27"/>
      <c r="B1245" s="9"/>
      <c r="C1245" s="27"/>
      <c r="D1245" s="9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42"/>
      <c r="Y1245" s="42"/>
      <c r="Z1245" s="27"/>
      <c r="AA1245" s="27"/>
      <c r="AB1245" s="27"/>
      <c r="AC1245" s="9"/>
      <c r="AD1245" s="27"/>
      <c r="AE1245" s="9"/>
      <c r="AF1245" s="9"/>
      <c r="AG1245" s="27"/>
      <c r="AH1245" s="27"/>
      <c r="AI1245" s="27"/>
      <c r="AJ1245" s="42"/>
      <c r="AK1245" s="27"/>
      <c r="AL1245" s="27"/>
      <c r="AM1245" s="27"/>
      <c r="AN1245" s="27"/>
      <c r="AO1245" s="27"/>
      <c r="AP1245" s="27"/>
      <c r="AQ1245" s="27"/>
    </row>
    <row r="1246" spans="1:43" ht="15.75" customHeight="1">
      <c r="A1246" s="27"/>
      <c r="B1246" s="9"/>
      <c r="C1246" s="27"/>
      <c r="D1246" s="9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42"/>
      <c r="Y1246" s="42"/>
      <c r="Z1246" s="27"/>
      <c r="AA1246" s="27"/>
      <c r="AB1246" s="27"/>
      <c r="AC1246" s="9"/>
      <c r="AD1246" s="27"/>
      <c r="AE1246" s="9"/>
      <c r="AF1246" s="9"/>
      <c r="AG1246" s="27"/>
      <c r="AH1246" s="27"/>
      <c r="AI1246" s="27"/>
      <c r="AJ1246" s="42"/>
      <c r="AK1246" s="27"/>
      <c r="AL1246" s="27"/>
      <c r="AM1246" s="27"/>
      <c r="AN1246" s="27"/>
      <c r="AO1246" s="27"/>
      <c r="AP1246" s="27"/>
      <c r="AQ1246" s="27"/>
    </row>
    <row r="1247" spans="1:43" ht="15.75" customHeight="1">
      <c r="A1247" s="27"/>
      <c r="B1247" s="9"/>
      <c r="C1247" s="27"/>
      <c r="D1247" s="9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42"/>
      <c r="Y1247" s="42"/>
      <c r="Z1247" s="27"/>
      <c r="AA1247" s="27"/>
      <c r="AB1247" s="27"/>
      <c r="AC1247" s="9"/>
      <c r="AD1247" s="27"/>
      <c r="AE1247" s="9"/>
      <c r="AF1247" s="9"/>
      <c r="AG1247" s="27"/>
      <c r="AH1247" s="27"/>
      <c r="AI1247" s="27"/>
      <c r="AJ1247" s="42"/>
      <c r="AK1247" s="27"/>
      <c r="AL1247" s="27"/>
      <c r="AM1247" s="27"/>
      <c r="AN1247" s="27"/>
      <c r="AO1247" s="27"/>
      <c r="AP1247" s="27"/>
      <c r="AQ1247" s="27"/>
    </row>
    <row r="1248" spans="1:43" ht="15.75" customHeight="1">
      <c r="A1248" s="27"/>
      <c r="B1248" s="9"/>
      <c r="C1248" s="27"/>
      <c r="D1248" s="9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42"/>
      <c r="Y1248" s="42"/>
      <c r="Z1248" s="27"/>
      <c r="AA1248" s="27"/>
      <c r="AB1248" s="27"/>
      <c r="AC1248" s="9"/>
      <c r="AD1248" s="27"/>
      <c r="AE1248" s="9"/>
      <c r="AF1248" s="9"/>
      <c r="AG1248" s="27"/>
      <c r="AH1248" s="27"/>
      <c r="AI1248" s="27"/>
      <c r="AJ1248" s="42"/>
      <c r="AK1248" s="27"/>
      <c r="AL1248" s="27"/>
      <c r="AM1248" s="27"/>
      <c r="AN1248" s="27"/>
      <c r="AO1248" s="27"/>
      <c r="AP1248" s="27"/>
      <c r="AQ1248" s="27"/>
    </row>
    <row r="1249" spans="1:43" ht="15.75" customHeight="1">
      <c r="A1249" s="27"/>
      <c r="B1249" s="9"/>
      <c r="C1249" s="27"/>
      <c r="D1249" s="9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42"/>
      <c r="Y1249" s="42"/>
      <c r="Z1249" s="27"/>
      <c r="AA1249" s="27"/>
      <c r="AB1249" s="27"/>
      <c r="AC1249" s="9"/>
      <c r="AD1249" s="27"/>
      <c r="AE1249" s="9"/>
      <c r="AF1249" s="9"/>
      <c r="AG1249" s="27"/>
      <c r="AH1249" s="27"/>
      <c r="AI1249" s="27"/>
      <c r="AJ1249" s="42"/>
      <c r="AK1249" s="27"/>
      <c r="AL1249" s="27"/>
      <c r="AM1249" s="27"/>
      <c r="AN1249" s="27"/>
      <c r="AO1249" s="27"/>
      <c r="AP1249" s="27"/>
      <c r="AQ1249" s="27"/>
    </row>
    <row r="1250" spans="1:43" ht="15.75" customHeight="1">
      <c r="A1250" s="27"/>
      <c r="B1250" s="9"/>
      <c r="C1250" s="27"/>
      <c r="D1250" s="9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42"/>
      <c r="Y1250" s="42"/>
      <c r="Z1250" s="27"/>
      <c r="AA1250" s="27"/>
      <c r="AB1250" s="27"/>
      <c r="AC1250" s="9"/>
      <c r="AD1250" s="27"/>
      <c r="AE1250" s="9"/>
      <c r="AF1250" s="9"/>
      <c r="AG1250" s="27"/>
      <c r="AH1250" s="27"/>
      <c r="AI1250" s="27"/>
      <c r="AJ1250" s="42"/>
      <c r="AK1250" s="27"/>
      <c r="AL1250" s="27"/>
      <c r="AM1250" s="27"/>
      <c r="AN1250" s="27"/>
      <c r="AO1250" s="27"/>
      <c r="AP1250" s="27"/>
      <c r="AQ1250" s="27"/>
    </row>
    <row r="1251" spans="1:43" ht="15.75" customHeight="1">
      <c r="A1251" s="27"/>
      <c r="B1251" s="9"/>
      <c r="C1251" s="27"/>
      <c r="D1251" s="9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42"/>
      <c r="Y1251" s="42"/>
      <c r="Z1251" s="27"/>
      <c r="AA1251" s="27"/>
      <c r="AB1251" s="27"/>
      <c r="AC1251" s="9"/>
      <c r="AD1251" s="27"/>
      <c r="AE1251" s="9"/>
      <c r="AF1251" s="9"/>
      <c r="AG1251" s="27"/>
      <c r="AH1251" s="27"/>
      <c r="AI1251" s="27"/>
      <c r="AJ1251" s="42"/>
      <c r="AK1251" s="27"/>
      <c r="AL1251" s="27"/>
      <c r="AM1251" s="27"/>
      <c r="AN1251" s="27"/>
      <c r="AO1251" s="27"/>
      <c r="AP1251" s="27"/>
      <c r="AQ1251" s="27"/>
    </row>
    <row r="1252" spans="1:43" ht="15.75" customHeight="1">
      <c r="A1252" s="27"/>
      <c r="B1252" s="9"/>
      <c r="C1252" s="27"/>
      <c r="D1252" s="9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42"/>
      <c r="Y1252" s="42"/>
      <c r="Z1252" s="27"/>
      <c r="AA1252" s="27"/>
      <c r="AB1252" s="27"/>
      <c r="AC1252" s="9"/>
      <c r="AD1252" s="27"/>
      <c r="AE1252" s="9"/>
      <c r="AF1252" s="9"/>
      <c r="AG1252" s="27"/>
      <c r="AH1252" s="27"/>
      <c r="AI1252" s="27"/>
      <c r="AJ1252" s="42"/>
      <c r="AK1252" s="27"/>
      <c r="AL1252" s="27"/>
      <c r="AM1252" s="27"/>
      <c r="AN1252" s="27"/>
      <c r="AO1252" s="27"/>
      <c r="AP1252" s="27"/>
      <c r="AQ1252" s="27"/>
    </row>
    <row r="1253" spans="1:43" ht="15.75" customHeight="1">
      <c r="A1253" s="27"/>
      <c r="B1253" s="9"/>
      <c r="C1253" s="27"/>
      <c r="D1253" s="9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42"/>
      <c r="Y1253" s="42"/>
      <c r="Z1253" s="27"/>
      <c r="AA1253" s="27"/>
      <c r="AB1253" s="27"/>
      <c r="AC1253" s="9"/>
      <c r="AD1253" s="27"/>
      <c r="AE1253" s="9"/>
      <c r="AF1253" s="9"/>
      <c r="AG1253" s="27"/>
      <c r="AH1253" s="27"/>
      <c r="AI1253" s="27"/>
      <c r="AJ1253" s="42"/>
      <c r="AK1253" s="27"/>
      <c r="AL1253" s="27"/>
      <c r="AM1253" s="27"/>
      <c r="AN1253" s="27"/>
      <c r="AO1253" s="27"/>
      <c r="AP1253" s="27"/>
      <c r="AQ1253" s="27"/>
    </row>
    <row r="1254" spans="1:43" ht="15.75" customHeight="1">
      <c r="A1254" s="27"/>
      <c r="B1254" s="9"/>
      <c r="C1254" s="27"/>
      <c r="D1254" s="9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42"/>
      <c r="Y1254" s="42"/>
      <c r="Z1254" s="27"/>
      <c r="AA1254" s="27"/>
      <c r="AB1254" s="27"/>
      <c r="AC1254" s="9"/>
      <c r="AD1254" s="27"/>
      <c r="AE1254" s="9"/>
      <c r="AF1254" s="9"/>
      <c r="AG1254" s="27"/>
      <c r="AH1254" s="27"/>
      <c r="AI1254" s="27"/>
      <c r="AJ1254" s="42"/>
      <c r="AK1254" s="27"/>
      <c r="AL1254" s="27"/>
      <c r="AM1254" s="27"/>
      <c r="AN1254" s="27"/>
      <c r="AO1254" s="27"/>
      <c r="AP1254" s="27"/>
      <c r="AQ1254" s="27"/>
    </row>
    <row r="1255" spans="1:43" ht="15.75" customHeight="1">
      <c r="A1255" s="27"/>
      <c r="B1255" s="9"/>
      <c r="C1255" s="27"/>
      <c r="D1255" s="9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42"/>
      <c r="Y1255" s="42"/>
      <c r="Z1255" s="27"/>
      <c r="AA1255" s="27"/>
      <c r="AB1255" s="27"/>
      <c r="AC1255" s="9"/>
      <c r="AD1255" s="27"/>
      <c r="AE1255" s="9"/>
      <c r="AF1255" s="9"/>
      <c r="AG1255" s="27"/>
      <c r="AH1255" s="27"/>
      <c r="AI1255" s="27"/>
      <c r="AJ1255" s="42"/>
      <c r="AK1255" s="27"/>
      <c r="AL1255" s="27"/>
      <c r="AM1255" s="27"/>
      <c r="AN1255" s="27"/>
      <c r="AO1255" s="27"/>
      <c r="AP1255" s="27"/>
      <c r="AQ1255" s="27"/>
    </row>
    <row r="1256" spans="1:43" ht="15.75" customHeight="1">
      <c r="A1256" s="27"/>
      <c r="B1256" s="9"/>
      <c r="C1256" s="27"/>
      <c r="D1256" s="9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42"/>
      <c r="Y1256" s="42"/>
      <c r="Z1256" s="27"/>
      <c r="AA1256" s="27"/>
      <c r="AB1256" s="27"/>
      <c r="AC1256" s="9"/>
      <c r="AD1256" s="27"/>
      <c r="AE1256" s="9"/>
      <c r="AF1256" s="9"/>
      <c r="AG1256" s="27"/>
      <c r="AH1256" s="27"/>
      <c r="AI1256" s="27"/>
      <c r="AJ1256" s="42"/>
      <c r="AK1256" s="27"/>
      <c r="AL1256" s="27"/>
      <c r="AM1256" s="27"/>
      <c r="AN1256" s="27"/>
      <c r="AO1256" s="27"/>
      <c r="AP1256" s="27"/>
      <c r="AQ1256" s="27"/>
    </row>
    <row r="1257" spans="1:43" ht="15.75" customHeight="1">
      <c r="A1257" s="27"/>
      <c r="B1257" s="9"/>
      <c r="C1257" s="27"/>
      <c r="D1257" s="9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42"/>
      <c r="Y1257" s="42"/>
      <c r="Z1257" s="27"/>
      <c r="AA1257" s="27"/>
      <c r="AB1257" s="27"/>
      <c r="AC1257" s="9"/>
      <c r="AD1257" s="27"/>
      <c r="AE1257" s="9"/>
      <c r="AF1257" s="9"/>
      <c r="AG1257" s="27"/>
      <c r="AH1257" s="27"/>
      <c r="AI1257" s="27"/>
      <c r="AJ1257" s="42"/>
      <c r="AK1257" s="27"/>
      <c r="AL1257" s="27"/>
      <c r="AM1257" s="27"/>
      <c r="AN1257" s="27"/>
      <c r="AO1257" s="27"/>
      <c r="AP1257" s="27"/>
      <c r="AQ1257" s="27"/>
    </row>
    <row r="1258" spans="1:43" ht="15.75" customHeight="1">
      <c r="A1258" s="27"/>
      <c r="B1258" s="9"/>
      <c r="C1258" s="27"/>
      <c r="D1258" s="9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42"/>
      <c r="Y1258" s="42"/>
      <c r="Z1258" s="27"/>
      <c r="AA1258" s="27"/>
      <c r="AB1258" s="27"/>
      <c r="AC1258" s="9"/>
      <c r="AD1258" s="27"/>
      <c r="AE1258" s="9"/>
      <c r="AF1258" s="9"/>
      <c r="AG1258" s="27"/>
      <c r="AH1258" s="27"/>
      <c r="AI1258" s="27"/>
      <c r="AJ1258" s="42"/>
      <c r="AK1258" s="27"/>
      <c r="AL1258" s="27"/>
      <c r="AM1258" s="27"/>
      <c r="AN1258" s="27"/>
      <c r="AO1258" s="27"/>
      <c r="AP1258" s="27"/>
      <c r="AQ1258" s="27"/>
    </row>
    <row r="1259" spans="1:43" ht="15.75" customHeight="1">
      <c r="A1259" s="27"/>
      <c r="B1259" s="9"/>
      <c r="C1259" s="27"/>
      <c r="D1259" s="9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42"/>
      <c r="Y1259" s="42"/>
      <c r="Z1259" s="27"/>
      <c r="AA1259" s="27"/>
      <c r="AB1259" s="27"/>
      <c r="AC1259" s="9"/>
      <c r="AD1259" s="27"/>
      <c r="AE1259" s="9"/>
      <c r="AF1259" s="9"/>
      <c r="AG1259" s="27"/>
      <c r="AH1259" s="27"/>
      <c r="AI1259" s="27"/>
      <c r="AJ1259" s="42"/>
      <c r="AK1259" s="27"/>
      <c r="AL1259" s="27"/>
      <c r="AM1259" s="27"/>
      <c r="AN1259" s="27"/>
      <c r="AO1259" s="27"/>
      <c r="AP1259" s="27"/>
      <c r="AQ1259" s="27"/>
    </row>
    <row r="1260" spans="1:43" ht="15.75" customHeight="1">
      <c r="A1260" s="27"/>
      <c r="B1260" s="9"/>
      <c r="C1260" s="27"/>
      <c r="D1260" s="9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42"/>
      <c r="Y1260" s="42"/>
      <c r="Z1260" s="27"/>
      <c r="AA1260" s="27"/>
      <c r="AB1260" s="27"/>
      <c r="AC1260" s="9"/>
      <c r="AD1260" s="27"/>
      <c r="AE1260" s="9"/>
      <c r="AF1260" s="9"/>
      <c r="AG1260" s="27"/>
      <c r="AH1260" s="27"/>
      <c r="AI1260" s="27"/>
      <c r="AJ1260" s="42"/>
      <c r="AK1260" s="27"/>
      <c r="AL1260" s="27"/>
      <c r="AM1260" s="27"/>
      <c r="AN1260" s="27"/>
      <c r="AO1260" s="27"/>
      <c r="AP1260" s="27"/>
      <c r="AQ1260" s="27"/>
    </row>
    <row r="1261" spans="1:43" ht="15.75" customHeight="1">
      <c r="A1261" s="27"/>
      <c r="B1261" s="9"/>
      <c r="C1261" s="27"/>
      <c r="D1261" s="9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42"/>
      <c r="Y1261" s="42"/>
      <c r="Z1261" s="27"/>
      <c r="AA1261" s="27"/>
      <c r="AB1261" s="27"/>
      <c r="AC1261" s="9"/>
      <c r="AD1261" s="27"/>
      <c r="AE1261" s="9"/>
      <c r="AF1261" s="9"/>
      <c r="AG1261" s="27"/>
      <c r="AH1261" s="27"/>
      <c r="AI1261" s="27"/>
      <c r="AJ1261" s="42"/>
      <c r="AK1261" s="27"/>
      <c r="AL1261" s="27"/>
      <c r="AM1261" s="27"/>
      <c r="AN1261" s="27"/>
      <c r="AO1261" s="27"/>
      <c r="AP1261" s="27"/>
      <c r="AQ1261" s="27"/>
    </row>
    <row r="1262" spans="1:43" ht="15.75" customHeight="1">
      <c r="A1262" s="27"/>
      <c r="B1262" s="9"/>
      <c r="C1262" s="27"/>
      <c r="D1262" s="9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42"/>
      <c r="Y1262" s="42"/>
      <c r="Z1262" s="27"/>
      <c r="AA1262" s="27"/>
      <c r="AB1262" s="27"/>
      <c r="AC1262" s="9"/>
      <c r="AD1262" s="27"/>
      <c r="AE1262" s="9"/>
      <c r="AF1262" s="9"/>
      <c r="AG1262" s="27"/>
      <c r="AH1262" s="27"/>
      <c r="AI1262" s="27"/>
      <c r="AJ1262" s="42"/>
      <c r="AK1262" s="27"/>
      <c r="AL1262" s="27"/>
      <c r="AM1262" s="27"/>
      <c r="AN1262" s="27"/>
      <c r="AO1262" s="27"/>
      <c r="AP1262" s="27"/>
      <c r="AQ1262" s="27"/>
    </row>
    <row r="1263" spans="1:43" ht="15.75" customHeight="1">
      <c r="A1263" s="27"/>
      <c r="B1263" s="9"/>
      <c r="C1263" s="27"/>
      <c r="D1263" s="9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42"/>
      <c r="Y1263" s="42"/>
      <c r="Z1263" s="27"/>
      <c r="AA1263" s="27"/>
      <c r="AB1263" s="27"/>
      <c r="AC1263" s="9"/>
      <c r="AD1263" s="27"/>
      <c r="AE1263" s="9"/>
      <c r="AF1263" s="9"/>
      <c r="AG1263" s="27"/>
      <c r="AH1263" s="27"/>
      <c r="AI1263" s="27"/>
      <c r="AJ1263" s="42"/>
      <c r="AK1263" s="27"/>
      <c r="AL1263" s="27"/>
      <c r="AM1263" s="27"/>
      <c r="AN1263" s="27"/>
      <c r="AO1263" s="27"/>
      <c r="AP1263" s="27"/>
      <c r="AQ1263" s="27"/>
    </row>
    <row r="1264" spans="1:43" ht="15.75" customHeight="1">
      <c r="A1264" s="27"/>
      <c r="B1264" s="9"/>
      <c r="C1264" s="27"/>
      <c r="D1264" s="9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42"/>
      <c r="Y1264" s="42"/>
      <c r="Z1264" s="27"/>
      <c r="AA1264" s="27"/>
      <c r="AB1264" s="27"/>
      <c r="AC1264" s="9"/>
      <c r="AD1264" s="27"/>
      <c r="AE1264" s="9"/>
      <c r="AF1264" s="9"/>
      <c r="AG1264" s="27"/>
      <c r="AH1264" s="27"/>
      <c r="AI1264" s="27"/>
      <c r="AJ1264" s="42"/>
      <c r="AK1264" s="27"/>
      <c r="AL1264" s="27"/>
      <c r="AM1264" s="27"/>
      <c r="AN1264" s="27"/>
      <c r="AO1264" s="27"/>
      <c r="AP1264" s="27"/>
      <c r="AQ1264" s="27"/>
    </row>
    <row r="1265" spans="1:43" ht="15.75" customHeight="1">
      <c r="A1265" s="27"/>
      <c r="B1265" s="9"/>
      <c r="C1265" s="27"/>
      <c r="D1265" s="9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42"/>
      <c r="Y1265" s="42"/>
      <c r="Z1265" s="27"/>
      <c r="AA1265" s="27"/>
      <c r="AB1265" s="27"/>
      <c r="AC1265" s="9"/>
      <c r="AD1265" s="27"/>
      <c r="AE1265" s="9"/>
      <c r="AF1265" s="9"/>
      <c r="AG1265" s="27"/>
      <c r="AH1265" s="27"/>
      <c r="AI1265" s="27"/>
      <c r="AJ1265" s="42"/>
      <c r="AK1265" s="27"/>
      <c r="AL1265" s="27"/>
      <c r="AM1265" s="27"/>
      <c r="AN1265" s="27"/>
      <c r="AO1265" s="27"/>
      <c r="AP1265" s="27"/>
      <c r="AQ1265" s="27"/>
    </row>
    <row r="1266" spans="1:43" ht="15.75" customHeight="1">
      <c r="A1266" s="27"/>
      <c r="B1266" s="9"/>
      <c r="C1266" s="27"/>
      <c r="D1266" s="9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42"/>
      <c r="Y1266" s="42"/>
      <c r="Z1266" s="27"/>
      <c r="AA1266" s="27"/>
      <c r="AB1266" s="27"/>
      <c r="AC1266" s="9"/>
      <c r="AD1266" s="27"/>
      <c r="AE1266" s="9"/>
      <c r="AF1266" s="9"/>
      <c r="AG1266" s="27"/>
      <c r="AH1266" s="27"/>
      <c r="AI1266" s="27"/>
      <c r="AJ1266" s="42"/>
      <c r="AK1266" s="27"/>
      <c r="AL1266" s="27"/>
      <c r="AM1266" s="27"/>
      <c r="AN1266" s="27"/>
      <c r="AO1266" s="27"/>
      <c r="AP1266" s="27"/>
      <c r="AQ1266" s="27"/>
    </row>
    <row r="1267" spans="1:43" ht="15.75" customHeight="1">
      <c r="A1267" s="27"/>
      <c r="B1267" s="9"/>
      <c r="C1267" s="27"/>
      <c r="D1267" s="9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42"/>
      <c r="Y1267" s="42"/>
      <c r="Z1267" s="27"/>
      <c r="AA1267" s="27"/>
      <c r="AB1267" s="27"/>
      <c r="AC1267" s="9"/>
      <c r="AD1267" s="27"/>
      <c r="AE1267" s="9"/>
      <c r="AF1267" s="9"/>
      <c r="AG1267" s="27"/>
      <c r="AH1267" s="27"/>
      <c r="AI1267" s="27"/>
      <c r="AJ1267" s="42"/>
      <c r="AK1267" s="27"/>
      <c r="AL1267" s="27"/>
      <c r="AM1267" s="27"/>
      <c r="AN1267" s="27"/>
      <c r="AO1267" s="27"/>
      <c r="AP1267" s="27"/>
      <c r="AQ1267" s="27"/>
    </row>
    <row r="1268" spans="1:43" ht="15.75" customHeight="1">
      <c r="A1268" s="27"/>
      <c r="B1268" s="9"/>
      <c r="C1268" s="27"/>
      <c r="D1268" s="9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42"/>
      <c r="Y1268" s="42"/>
      <c r="Z1268" s="27"/>
      <c r="AA1268" s="27"/>
      <c r="AB1268" s="27"/>
      <c r="AC1268" s="9"/>
      <c r="AD1268" s="27"/>
      <c r="AE1268" s="9"/>
      <c r="AF1268" s="9"/>
      <c r="AG1268" s="27"/>
      <c r="AH1268" s="27"/>
      <c r="AI1268" s="27"/>
      <c r="AJ1268" s="42"/>
      <c r="AK1268" s="27"/>
      <c r="AL1268" s="27"/>
      <c r="AM1268" s="27"/>
      <c r="AN1268" s="27"/>
      <c r="AO1268" s="27"/>
      <c r="AP1268" s="27"/>
      <c r="AQ1268" s="27"/>
    </row>
    <row r="1269" spans="1:43" ht="15.75" customHeight="1">
      <c r="A1269" s="27"/>
      <c r="B1269" s="9"/>
      <c r="C1269" s="27"/>
      <c r="D1269" s="9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42"/>
      <c r="Y1269" s="42"/>
      <c r="Z1269" s="27"/>
      <c r="AA1269" s="27"/>
      <c r="AB1269" s="27"/>
      <c r="AC1269" s="9"/>
      <c r="AD1269" s="27"/>
      <c r="AE1269" s="9"/>
      <c r="AF1269" s="9"/>
      <c r="AG1269" s="27"/>
      <c r="AH1269" s="27"/>
      <c r="AI1269" s="27"/>
      <c r="AJ1269" s="42"/>
      <c r="AK1269" s="27"/>
      <c r="AL1269" s="27"/>
      <c r="AM1269" s="27"/>
      <c r="AN1269" s="27"/>
      <c r="AO1269" s="27"/>
      <c r="AP1269" s="27"/>
      <c r="AQ1269" s="27"/>
    </row>
    <row r="1270" spans="1:43" ht="15.75" customHeight="1">
      <c r="A1270" s="27"/>
      <c r="B1270" s="9"/>
      <c r="C1270" s="27"/>
      <c r="D1270" s="9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42"/>
      <c r="Y1270" s="42"/>
      <c r="Z1270" s="27"/>
      <c r="AA1270" s="27"/>
      <c r="AB1270" s="27"/>
      <c r="AC1270" s="9"/>
      <c r="AD1270" s="27"/>
      <c r="AE1270" s="9"/>
      <c r="AF1270" s="9"/>
      <c r="AG1270" s="27"/>
      <c r="AH1270" s="27"/>
      <c r="AI1270" s="27"/>
      <c r="AJ1270" s="42"/>
      <c r="AK1270" s="27"/>
      <c r="AL1270" s="27"/>
      <c r="AM1270" s="27"/>
      <c r="AN1270" s="27"/>
      <c r="AO1270" s="27"/>
      <c r="AP1270" s="27"/>
      <c r="AQ1270" s="27"/>
    </row>
    <row r="1271" spans="1:43" ht="15.75" customHeight="1">
      <c r="A1271" s="27"/>
      <c r="B1271" s="9"/>
      <c r="C1271" s="27"/>
      <c r="D1271" s="9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42"/>
      <c r="Y1271" s="42"/>
      <c r="Z1271" s="27"/>
      <c r="AA1271" s="27"/>
      <c r="AB1271" s="27"/>
      <c r="AC1271" s="9"/>
      <c r="AD1271" s="27"/>
      <c r="AE1271" s="9"/>
      <c r="AF1271" s="9"/>
      <c r="AG1271" s="27"/>
      <c r="AH1271" s="27"/>
      <c r="AI1271" s="27"/>
      <c r="AJ1271" s="42"/>
      <c r="AK1271" s="27"/>
      <c r="AL1271" s="27"/>
      <c r="AM1271" s="27"/>
      <c r="AN1271" s="27"/>
      <c r="AO1271" s="27"/>
      <c r="AP1271" s="27"/>
      <c r="AQ1271" s="27"/>
    </row>
    <row r="1272" spans="1:43" ht="15.75" customHeight="1">
      <c r="A1272" s="27"/>
      <c r="B1272" s="9"/>
      <c r="C1272" s="27"/>
      <c r="D1272" s="9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42"/>
      <c r="Y1272" s="42"/>
      <c r="Z1272" s="27"/>
      <c r="AA1272" s="27"/>
      <c r="AB1272" s="27"/>
      <c r="AC1272" s="9"/>
      <c r="AD1272" s="27"/>
      <c r="AE1272" s="9"/>
      <c r="AF1272" s="9"/>
      <c r="AG1272" s="27"/>
      <c r="AH1272" s="27"/>
      <c r="AI1272" s="27"/>
      <c r="AJ1272" s="42"/>
      <c r="AK1272" s="27"/>
      <c r="AL1272" s="27"/>
      <c r="AM1272" s="27"/>
      <c r="AN1272" s="27"/>
      <c r="AO1272" s="27"/>
      <c r="AP1272" s="27"/>
      <c r="AQ1272" s="27"/>
    </row>
    <row r="1273" spans="1:43" ht="15.75" customHeight="1">
      <c r="A1273" s="27"/>
      <c r="B1273" s="9"/>
      <c r="C1273" s="27"/>
      <c r="D1273" s="9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42"/>
      <c r="Y1273" s="42"/>
      <c r="Z1273" s="27"/>
      <c r="AA1273" s="27"/>
      <c r="AB1273" s="27"/>
      <c r="AC1273" s="9"/>
      <c r="AD1273" s="27"/>
      <c r="AE1273" s="9"/>
      <c r="AF1273" s="9"/>
      <c r="AG1273" s="27"/>
      <c r="AH1273" s="27"/>
      <c r="AI1273" s="27"/>
      <c r="AJ1273" s="42"/>
      <c r="AK1273" s="27"/>
      <c r="AL1273" s="27"/>
      <c r="AM1273" s="27"/>
      <c r="AN1273" s="27"/>
      <c r="AO1273" s="27"/>
      <c r="AP1273" s="27"/>
      <c r="AQ1273" s="27"/>
    </row>
    <row r="1274" spans="1:43" ht="15.75" customHeight="1">
      <c r="A1274" s="27"/>
      <c r="B1274" s="9"/>
      <c r="C1274" s="27"/>
      <c r="D1274" s="9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42"/>
      <c r="Y1274" s="42"/>
      <c r="Z1274" s="27"/>
      <c r="AA1274" s="27"/>
      <c r="AB1274" s="27"/>
      <c r="AC1274" s="9"/>
      <c r="AD1274" s="27"/>
      <c r="AE1274" s="9"/>
      <c r="AF1274" s="9"/>
      <c r="AG1274" s="27"/>
      <c r="AH1274" s="27"/>
      <c r="AI1274" s="27"/>
      <c r="AJ1274" s="42"/>
      <c r="AK1274" s="27"/>
      <c r="AL1274" s="27"/>
      <c r="AM1274" s="27"/>
      <c r="AN1274" s="27"/>
      <c r="AO1274" s="27"/>
      <c r="AP1274" s="27"/>
      <c r="AQ1274" s="27"/>
    </row>
    <row r="1275" spans="1:43" ht="15.75" customHeight="1">
      <c r="A1275" s="27"/>
      <c r="B1275" s="9"/>
      <c r="C1275" s="27"/>
      <c r="D1275" s="9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42"/>
      <c r="Y1275" s="42"/>
      <c r="Z1275" s="27"/>
      <c r="AA1275" s="27"/>
      <c r="AB1275" s="27"/>
      <c r="AC1275" s="9"/>
      <c r="AD1275" s="27"/>
      <c r="AE1275" s="9"/>
      <c r="AF1275" s="9"/>
      <c r="AG1275" s="27"/>
      <c r="AH1275" s="27"/>
      <c r="AI1275" s="27"/>
      <c r="AJ1275" s="42"/>
      <c r="AK1275" s="27"/>
      <c r="AL1275" s="27"/>
      <c r="AM1275" s="27"/>
      <c r="AN1275" s="27"/>
      <c r="AO1275" s="27"/>
      <c r="AP1275" s="27"/>
      <c r="AQ1275" s="27"/>
    </row>
    <row r="1276" spans="1:43" ht="15.75" customHeight="1">
      <c r="A1276" s="27"/>
      <c r="B1276" s="9"/>
      <c r="C1276" s="27"/>
      <c r="D1276" s="9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42"/>
      <c r="Y1276" s="42"/>
      <c r="Z1276" s="27"/>
      <c r="AA1276" s="27"/>
      <c r="AB1276" s="27"/>
      <c r="AC1276" s="9"/>
      <c r="AD1276" s="27"/>
      <c r="AE1276" s="9"/>
      <c r="AF1276" s="9"/>
      <c r="AG1276" s="27"/>
      <c r="AH1276" s="27"/>
      <c r="AI1276" s="27"/>
      <c r="AJ1276" s="42"/>
      <c r="AK1276" s="27"/>
      <c r="AL1276" s="27"/>
      <c r="AM1276" s="27"/>
      <c r="AN1276" s="27"/>
      <c r="AO1276" s="27"/>
      <c r="AP1276" s="27"/>
      <c r="AQ1276" s="27"/>
    </row>
    <row r="1277" spans="1:43" ht="15.75" customHeight="1">
      <c r="A1277" s="27"/>
      <c r="B1277" s="9"/>
      <c r="C1277" s="27"/>
      <c r="D1277" s="9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42"/>
      <c r="Y1277" s="42"/>
      <c r="Z1277" s="27"/>
      <c r="AA1277" s="27"/>
      <c r="AB1277" s="27"/>
      <c r="AC1277" s="9"/>
      <c r="AD1277" s="27"/>
      <c r="AE1277" s="9"/>
      <c r="AF1277" s="9"/>
      <c r="AG1277" s="27"/>
      <c r="AH1277" s="27"/>
      <c r="AI1277" s="27"/>
      <c r="AJ1277" s="42"/>
      <c r="AK1277" s="27"/>
      <c r="AL1277" s="27"/>
      <c r="AM1277" s="27"/>
      <c r="AN1277" s="27"/>
      <c r="AO1277" s="27"/>
      <c r="AP1277" s="27"/>
      <c r="AQ1277" s="27"/>
    </row>
    <row r="1278" spans="1:43" ht="15.75" customHeight="1">
      <c r="A1278" s="27"/>
      <c r="B1278" s="9"/>
      <c r="C1278" s="27"/>
      <c r="D1278" s="9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42"/>
      <c r="Y1278" s="42"/>
      <c r="Z1278" s="27"/>
      <c r="AA1278" s="27"/>
      <c r="AB1278" s="27"/>
      <c r="AC1278" s="9"/>
      <c r="AD1278" s="27"/>
      <c r="AE1278" s="9"/>
      <c r="AF1278" s="9"/>
      <c r="AG1278" s="27"/>
      <c r="AH1278" s="27"/>
      <c r="AI1278" s="27"/>
      <c r="AJ1278" s="42"/>
      <c r="AK1278" s="27"/>
      <c r="AL1278" s="27"/>
      <c r="AM1278" s="27"/>
      <c r="AN1278" s="27"/>
      <c r="AO1278" s="27"/>
      <c r="AP1278" s="27"/>
      <c r="AQ1278" s="27"/>
    </row>
    <row r="1279" spans="1:43" ht="15.75" customHeight="1">
      <c r="A1279" s="27"/>
      <c r="B1279" s="9"/>
      <c r="C1279" s="27"/>
      <c r="D1279" s="9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42"/>
      <c r="Y1279" s="42"/>
      <c r="Z1279" s="27"/>
      <c r="AA1279" s="27"/>
      <c r="AB1279" s="27"/>
      <c r="AC1279" s="9"/>
      <c r="AD1279" s="27"/>
      <c r="AE1279" s="9"/>
      <c r="AF1279" s="9"/>
      <c r="AG1279" s="27"/>
      <c r="AH1279" s="27"/>
      <c r="AI1279" s="27"/>
      <c r="AJ1279" s="42"/>
      <c r="AK1279" s="27"/>
      <c r="AL1279" s="27"/>
      <c r="AM1279" s="27"/>
      <c r="AN1279" s="27"/>
      <c r="AO1279" s="27"/>
      <c r="AP1279" s="27"/>
      <c r="AQ1279" s="27"/>
    </row>
    <row r="1280" spans="1:43" ht="15.75" customHeight="1">
      <c r="A1280" s="27"/>
      <c r="B1280" s="9"/>
      <c r="C1280" s="27"/>
      <c r="D1280" s="9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42"/>
      <c r="Y1280" s="42"/>
      <c r="Z1280" s="27"/>
      <c r="AA1280" s="27"/>
      <c r="AB1280" s="27"/>
      <c r="AC1280" s="9"/>
      <c r="AD1280" s="27"/>
      <c r="AE1280" s="9"/>
      <c r="AF1280" s="9"/>
      <c r="AG1280" s="27"/>
      <c r="AH1280" s="27"/>
      <c r="AI1280" s="27"/>
      <c r="AJ1280" s="42"/>
      <c r="AK1280" s="27"/>
      <c r="AL1280" s="27"/>
      <c r="AM1280" s="27"/>
      <c r="AN1280" s="27"/>
      <c r="AO1280" s="27"/>
      <c r="AP1280" s="27"/>
      <c r="AQ1280" s="27"/>
    </row>
    <row r="1281" spans="1:43" ht="15.75" customHeight="1">
      <c r="A1281" s="27"/>
      <c r="B1281" s="9"/>
      <c r="C1281" s="27"/>
      <c r="D1281" s="9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42"/>
      <c r="Y1281" s="42"/>
      <c r="Z1281" s="27"/>
      <c r="AA1281" s="27"/>
      <c r="AB1281" s="27"/>
      <c r="AC1281" s="9"/>
      <c r="AD1281" s="27"/>
      <c r="AE1281" s="9"/>
      <c r="AF1281" s="9"/>
      <c r="AG1281" s="27"/>
      <c r="AH1281" s="27"/>
      <c r="AI1281" s="27"/>
      <c r="AJ1281" s="42"/>
      <c r="AK1281" s="27"/>
      <c r="AL1281" s="27"/>
      <c r="AM1281" s="27"/>
      <c r="AN1281" s="27"/>
      <c r="AO1281" s="27"/>
      <c r="AP1281" s="27"/>
      <c r="AQ1281" s="27"/>
    </row>
    <row r="1282" spans="1:43" ht="15.75" customHeight="1">
      <c r="A1282" s="27"/>
      <c r="B1282" s="9"/>
      <c r="C1282" s="27"/>
      <c r="D1282" s="9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42"/>
      <c r="Y1282" s="42"/>
      <c r="Z1282" s="27"/>
      <c r="AA1282" s="27"/>
      <c r="AB1282" s="27"/>
      <c r="AC1282" s="9"/>
      <c r="AD1282" s="27"/>
      <c r="AE1282" s="9"/>
      <c r="AF1282" s="9"/>
      <c r="AG1282" s="27"/>
      <c r="AH1282" s="27"/>
      <c r="AI1282" s="27"/>
      <c r="AJ1282" s="42"/>
      <c r="AK1282" s="27"/>
      <c r="AL1282" s="27"/>
      <c r="AM1282" s="27"/>
      <c r="AN1282" s="27"/>
      <c r="AO1282" s="27"/>
      <c r="AP1282" s="27"/>
      <c r="AQ1282" s="27"/>
    </row>
    <row r="1283" spans="1:43" ht="15.75" customHeight="1">
      <c r="A1283" s="27"/>
      <c r="B1283" s="9"/>
      <c r="C1283" s="27"/>
      <c r="D1283" s="9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42"/>
      <c r="Y1283" s="42"/>
      <c r="Z1283" s="27"/>
      <c r="AA1283" s="27"/>
      <c r="AB1283" s="27"/>
      <c r="AC1283" s="9"/>
      <c r="AD1283" s="27"/>
      <c r="AE1283" s="9"/>
      <c r="AF1283" s="9"/>
      <c r="AG1283" s="27"/>
      <c r="AH1283" s="27"/>
      <c r="AI1283" s="27"/>
      <c r="AJ1283" s="42"/>
      <c r="AK1283" s="27"/>
      <c r="AL1283" s="27"/>
      <c r="AM1283" s="27"/>
      <c r="AN1283" s="27"/>
      <c r="AO1283" s="27"/>
      <c r="AP1283" s="27"/>
      <c r="AQ1283" s="27"/>
    </row>
    <row r="1284" spans="1:43" ht="15.75" customHeight="1">
      <c r="A1284" s="27"/>
      <c r="B1284" s="9"/>
      <c r="C1284" s="27"/>
      <c r="D1284" s="9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42"/>
      <c r="Y1284" s="42"/>
      <c r="Z1284" s="27"/>
      <c r="AA1284" s="27"/>
      <c r="AB1284" s="27"/>
      <c r="AC1284" s="9"/>
      <c r="AD1284" s="27"/>
      <c r="AE1284" s="9"/>
      <c r="AF1284" s="9"/>
      <c r="AG1284" s="27"/>
      <c r="AH1284" s="27"/>
      <c r="AI1284" s="27"/>
      <c r="AJ1284" s="42"/>
      <c r="AK1284" s="27"/>
      <c r="AL1284" s="27"/>
      <c r="AM1284" s="27"/>
      <c r="AN1284" s="27"/>
      <c r="AO1284" s="27"/>
      <c r="AP1284" s="27"/>
      <c r="AQ1284" s="27"/>
    </row>
    <row r="1285" spans="1:43" ht="15.75" customHeight="1">
      <c r="A1285" s="27"/>
      <c r="B1285" s="9"/>
      <c r="C1285" s="27"/>
      <c r="D1285" s="9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42"/>
      <c r="Y1285" s="42"/>
      <c r="Z1285" s="27"/>
      <c r="AA1285" s="27"/>
      <c r="AB1285" s="27"/>
      <c r="AC1285" s="9"/>
      <c r="AD1285" s="27"/>
      <c r="AE1285" s="9"/>
      <c r="AF1285" s="9"/>
      <c r="AG1285" s="27"/>
      <c r="AH1285" s="27"/>
      <c r="AI1285" s="27"/>
      <c r="AJ1285" s="42"/>
      <c r="AK1285" s="27"/>
      <c r="AL1285" s="27"/>
      <c r="AM1285" s="27"/>
      <c r="AN1285" s="27"/>
      <c r="AO1285" s="27"/>
      <c r="AP1285" s="27"/>
      <c r="AQ1285" s="27"/>
    </row>
    <row r="1286" spans="1:43" ht="15.75" customHeight="1">
      <c r="A1286" s="27"/>
      <c r="B1286" s="9"/>
      <c r="C1286" s="27"/>
      <c r="D1286" s="9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42"/>
      <c r="Y1286" s="42"/>
      <c r="Z1286" s="27"/>
      <c r="AA1286" s="27"/>
      <c r="AB1286" s="27"/>
      <c r="AC1286" s="9"/>
      <c r="AD1286" s="27"/>
      <c r="AE1286" s="9"/>
      <c r="AF1286" s="9"/>
      <c r="AG1286" s="27"/>
      <c r="AH1286" s="27"/>
      <c r="AI1286" s="27"/>
      <c r="AJ1286" s="42"/>
      <c r="AK1286" s="27"/>
      <c r="AL1286" s="27"/>
      <c r="AM1286" s="27"/>
      <c r="AN1286" s="27"/>
      <c r="AO1286" s="27"/>
      <c r="AP1286" s="27"/>
      <c r="AQ1286" s="27"/>
    </row>
    <row r="1287" spans="1:43" ht="15.75" customHeight="1">
      <c r="A1287" s="27"/>
      <c r="B1287" s="9"/>
      <c r="C1287" s="27"/>
      <c r="D1287" s="9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42"/>
      <c r="Y1287" s="42"/>
      <c r="Z1287" s="27"/>
      <c r="AA1287" s="27"/>
      <c r="AB1287" s="27"/>
      <c r="AC1287" s="9"/>
      <c r="AD1287" s="27"/>
      <c r="AE1287" s="9"/>
      <c r="AF1287" s="9"/>
      <c r="AG1287" s="27"/>
      <c r="AH1287" s="27"/>
      <c r="AI1287" s="27"/>
      <c r="AJ1287" s="42"/>
      <c r="AK1287" s="27"/>
      <c r="AL1287" s="27"/>
      <c r="AM1287" s="27"/>
      <c r="AN1287" s="27"/>
      <c r="AO1287" s="27"/>
      <c r="AP1287" s="27"/>
      <c r="AQ1287" s="27"/>
    </row>
    <row r="1288" spans="1:43" ht="15.75" customHeight="1">
      <c r="A1288" s="27"/>
      <c r="B1288" s="9"/>
      <c r="C1288" s="27"/>
      <c r="D1288" s="9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42"/>
      <c r="Y1288" s="42"/>
      <c r="Z1288" s="27"/>
      <c r="AA1288" s="27"/>
      <c r="AB1288" s="27"/>
      <c r="AC1288" s="9"/>
      <c r="AD1288" s="27"/>
      <c r="AE1288" s="9"/>
      <c r="AF1288" s="9"/>
      <c r="AG1288" s="27"/>
      <c r="AH1288" s="27"/>
      <c r="AI1288" s="27"/>
      <c r="AJ1288" s="42"/>
      <c r="AK1288" s="27"/>
      <c r="AL1288" s="27"/>
      <c r="AM1288" s="27"/>
      <c r="AN1288" s="27"/>
      <c r="AO1288" s="27"/>
      <c r="AP1288" s="27"/>
      <c r="AQ1288" s="27"/>
    </row>
    <row r="1289" spans="1:43" ht="15.75" customHeight="1">
      <c r="A1289" s="27"/>
      <c r="B1289" s="9"/>
      <c r="C1289" s="27"/>
      <c r="D1289" s="9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42"/>
      <c r="Y1289" s="42"/>
      <c r="Z1289" s="27"/>
      <c r="AA1289" s="27"/>
      <c r="AB1289" s="27"/>
      <c r="AC1289" s="9"/>
      <c r="AD1289" s="27"/>
      <c r="AE1289" s="9"/>
      <c r="AF1289" s="9"/>
      <c r="AG1289" s="27"/>
      <c r="AH1289" s="27"/>
      <c r="AI1289" s="27"/>
      <c r="AJ1289" s="42"/>
      <c r="AK1289" s="27"/>
      <c r="AL1289" s="27"/>
      <c r="AM1289" s="27"/>
      <c r="AN1289" s="27"/>
      <c r="AO1289" s="27"/>
      <c r="AP1289" s="27"/>
      <c r="AQ1289" s="27"/>
    </row>
    <row r="1290" spans="1:43" ht="15.75" customHeight="1">
      <c r="A1290" s="27"/>
      <c r="B1290" s="9"/>
      <c r="C1290" s="27"/>
      <c r="D1290" s="9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42"/>
      <c r="Y1290" s="42"/>
      <c r="Z1290" s="27"/>
      <c r="AA1290" s="27"/>
      <c r="AB1290" s="27"/>
      <c r="AC1290" s="9"/>
      <c r="AD1290" s="27"/>
      <c r="AE1290" s="9"/>
      <c r="AF1290" s="9"/>
      <c r="AG1290" s="27"/>
      <c r="AH1290" s="27"/>
      <c r="AI1290" s="27"/>
      <c r="AJ1290" s="42"/>
      <c r="AK1290" s="27"/>
      <c r="AL1290" s="27"/>
      <c r="AM1290" s="27"/>
      <c r="AN1290" s="27"/>
      <c r="AO1290" s="27"/>
      <c r="AP1290" s="27"/>
      <c r="AQ1290" s="27"/>
    </row>
    <row r="1291" spans="1:43" ht="15.75" customHeight="1">
      <c r="A1291" s="27"/>
      <c r="B1291" s="9"/>
      <c r="C1291" s="27"/>
      <c r="D1291" s="9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42"/>
      <c r="Y1291" s="42"/>
      <c r="Z1291" s="27"/>
      <c r="AA1291" s="27"/>
      <c r="AB1291" s="27"/>
      <c r="AC1291" s="9"/>
      <c r="AD1291" s="27"/>
      <c r="AE1291" s="9"/>
      <c r="AF1291" s="9"/>
      <c r="AG1291" s="27"/>
      <c r="AH1291" s="27"/>
      <c r="AI1291" s="27"/>
      <c r="AJ1291" s="42"/>
      <c r="AK1291" s="27"/>
      <c r="AL1291" s="27"/>
      <c r="AM1291" s="27"/>
      <c r="AN1291" s="27"/>
      <c r="AO1291" s="27"/>
      <c r="AP1291" s="27"/>
      <c r="AQ1291" s="27"/>
    </row>
    <row r="1292" spans="1:43" ht="15.75" customHeight="1">
      <c r="A1292" s="27"/>
      <c r="B1292" s="9"/>
      <c r="C1292" s="27"/>
      <c r="D1292" s="9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42"/>
      <c r="Y1292" s="42"/>
      <c r="Z1292" s="27"/>
      <c r="AA1292" s="27"/>
      <c r="AB1292" s="27"/>
      <c r="AC1292" s="9"/>
      <c r="AD1292" s="27"/>
      <c r="AE1292" s="9"/>
      <c r="AF1292" s="9"/>
      <c r="AG1292" s="27"/>
      <c r="AH1292" s="27"/>
      <c r="AI1292" s="27"/>
      <c r="AJ1292" s="42"/>
      <c r="AK1292" s="27"/>
      <c r="AL1292" s="27"/>
      <c r="AM1292" s="27"/>
      <c r="AN1292" s="27"/>
      <c r="AO1292" s="27"/>
      <c r="AP1292" s="27"/>
      <c r="AQ1292" s="27"/>
    </row>
    <row r="1293" spans="1:43" ht="15.75" customHeight="1">
      <c r="A1293" s="27"/>
      <c r="B1293" s="9"/>
      <c r="C1293" s="27"/>
      <c r="D1293" s="9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42"/>
      <c r="Y1293" s="42"/>
      <c r="Z1293" s="27"/>
      <c r="AA1293" s="27"/>
      <c r="AB1293" s="27"/>
      <c r="AC1293" s="9"/>
      <c r="AD1293" s="27"/>
      <c r="AE1293" s="9"/>
      <c r="AF1293" s="9"/>
      <c r="AG1293" s="27"/>
      <c r="AH1293" s="27"/>
      <c r="AI1293" s="27"/>
      <c r="AJ1293" s="42"/>
      <c r="AK1293" s="27"/>
      <c r="AL1293" s="27"/>
      <c r="AM1293" s="27"/>
      <c r="AN1293" s="27"/>
      <c r="AO1293" s="27"/>
      <c r="AP1293" s="27"/>
      <c r="AQ1293" s="27"/>
    </row>
    <row r="1294" spans="1:43" ht="15.75" customHeight="1">
      <c r="A1294" s="27"/>
      <c r="B1294" s="9"/>
      <c r="C1294" s="27"/>
      <c r="D1294" s="9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42"/>
      <c r="Y1294" s="42"/>
      <c r="Z1294" s="27"/>
      <c r="AA1294" s="27"/>
      <c r="AB1294" s="27"/>
      <c r="AC1294" s="9"/>
      <c r="AD1294" s="27"/>
      <c r="AE1294" s="9"/>
      <c r="AF1294" s="9"/>
      <c r="AG1294" s="27"/>
      <c r="AH1294" s="27"/>
      <c r="AI1294" s="27"/>
      <c r="AJ1294" s="42"/>
      <c r="AK1294" s="27"/>
      <c r="AL1294" s="27"/>
      <c r="AM1294" s="27"/>
      <c r="AN1294" s="27"/>
      <c r="AO1294" s="27"/>
      <c r="AP1294" s="27"/>
      <c r="AQ1294" s="27"/>
    </row>
    <row r="1295" spans="1:43" ht="15.75" customHeight="1">
      <c r="A1295" s="27"/>
      <c r="B1295" s="9"/>
      <c r="C1295" s="27"/>
      <c r="D1295" s="9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42"/>
      <c r="Y1295" s="42"/>
      <c r="Z1295" s="27"/>
      <c r="AA1295" s="27"/>
      <c r="AB1295" s="27"/>
      <c r="AC1295" s="9"/>
      <c r="AD1295" s="27"/>
      <c r="AE1295" s="9"/>
      <c r="AF1295" s="9"/>
      <c r="AG1295" s="27"/>
      <c r="AH1295" s="27"/>
      <c r="AI1295" s="27"/>
      <c r="AJ1295" s="42"/>
      <c r="AK1295" s="27"/>
      <c r="AL1295" s="27"/>
      <c r="AM1295" s="27"/>
      <c r="AN1295" s="27"/>
      <c r="AO1295" s="27"/>
      <c r="AP1295" s="27"/>
      <c r="AQ1295" s="27"/>
    </row>
    <row r="1296" spans="1:43" ht="15.75" customHeight="1">
      <c r="A1296" s="27"/>
      <c r="B1296" s="9"/>
      <c r="C1296" s="27"/>
      <c r="D1296" s="9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42"/>
      <c r="Y1296" s="42"/>
      <c r="Z1296" s="27"/>
      <c r="AA1296" s="27"/>
      <c r="AB1296" s="27"/>
      <c r="AC1296" s="9"/>
      <c r="AD1296" s="27"/>
      <c r="AE1296" s="9"/>
      <c r="AF1296" s="9"/>
      <c r="AG1296" s="27"/>
      <c r="AH1296" s="27"/>
      <c r="AI1296" s="27"/>
      <c r="AJ1296" s="42"/>
      <c r="AK1296" s="27"/>
      <c r="AL1296" s="27"/>
      <c r="AM1296" s="27"/>
      <c r="AN1296" s="27"/>
      <c r="AO1296" s="27"/>
      <c r="AP1296" s="27"/>
      <c r="AQ1296" s="27"/>
    </row>
    <row r="1297" spans="1:43" ht="15.75" customHeight="1">
      <c r="A1297" s="27"/>
      <c r="B1297" s="9"/>
      <c r="C1297" s="27"/>
      <c r="D1297" s="9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42"/>
      <c r="Y1297" s="42"/>
      <c r="Z1297" s="27"/>
      <c r="AA1297" s="27"/>
      <c r="AB1297" s="27"/>
      <c r="AC1297" s="9"/>
      <c r="AD1297" s="27"/>
      <c r="AE1297" s="9"/>
      <c r="AF1297" s="9"/>
      <c r="AG1297" s="27"/>
      <c r="AH1297" s="27"/>
      <c r="AI1297" s="27"/>
      <c r="AJ1297" s="42"/>
      <c r="AK1297" s="27"/>
      <c r="AL1297" s="27"/>
      <c r="AM1297" s="27"/>
      <c r="AN1297" s="27"/>
      <c r="AO1297" s="27"/>
      <c r="AP1297" s="27"/>
      <c r="AQ1297" s="27"/>
    </row>
    <row r="1298" spans="1:43" ht="15.75" customHeight="1">
      <c r="A1298" s="27"/>
      <c r="B1298" s="9"/>
      <c r="C1298" s="27"/>
      <c r="D1298" s="9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42"/>
      <c r="Y1298" s="42"/>
      <c r="Z1298" s="27"/>
      <c r="AA1298" s="27"/>
      <c r="AB1298" s="27"/>
      <c r="AC1298" s="9"/>
      <c r="AD1298" s="27"/>
      <c r="AE1298" s="9"/>
      <c r="AF1298" s="9"/>
      <c r="AG1298" s="27"/>
      <c r="AH1298" s="27"/>
      <c r="AI1298" s="27"/>
      <c r="AJ1298" s="42"/>
      <c r="AK1298" s="27"/>
      <c r="AL1298" s="27"/>
      <c r="AM1298" s="27"/>
      <c r="AN1298" s="27"/>
      <c r="AO1298" s="27"/>
      <c r="AP1298" s="27"/>
      <c r="AQ1298" s="27"/>
    </row>
    <row r="1299" spans="1:43" ht="15.75" customHeight="1">
      <c r="A1299" s="27"/>
      <c r="B1299" s="9"/>
      <c r="C1299" s="27"/>
      <c r="D1299" s="9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42"/>
      <c r="Y1299" s="42"/>
      <c r="Z1299" s="27"/>
      <c r="AA1299" s="27"/>
      <c r="AB1299" s="27"/>
      <c r="AC1299" s="9"/>
      <c r="AD1299" s="27"/>
      <c r="AE1299" s="9"/>
      <c r="AF1299" s="9"/>
      <c r="AG1299" s="27"/>
      <c r="AH1299" s="27"/>
      <c r="AI1299" s="27"/>
      <c r="AJ1299" s="42"/>
      <c r="AK1299" s="27"/>
      <c r="AL1299" s="27"/>
      <c r="AM1299" s="27"/>
      <c r="AN1299" s="27"/>
      <c r="AO1299" s="27"/>
      <c r="AP1299" s="27"/>
      <c r="AQ1299" s="27"/>
    </row>
    <row r="1300" spans="1:43" ht="15.75" customHeight="1">
      <c r="A1300" s="27"/>
      <c r="B1300" s="9"/>
      <c r="C1300" s="27"/>
      <c r="D1300" s="9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42"/>
      <c r="Y1300" s="42"/>
      <c r="Z1300" s="27"/>
      <c r="AA1300" s="27"/>
      <c r="AB1300" s="27"/>
      <c r="AC1300" s="9"/>
      <c r="AD1300" s="27"/>
      <c r="AE1300" s="9"/>
      <c r="AF1300" s="9"/>
      <c r="AG1300" s="27"/>
      <c r="AH1300" s="27"/>
      <c r="AI1300" s="27"/>
      <c r="AJ1300" s="42"/>
      <c r="AK1300" s="27"/>
      <c r="AL1300" s="27"/>
      <c r="AM1300" s="27"/>
      <c r="AN1300" s="27"/>
      <c r="AO1300" s="27"/>
      <c r="AP1300" s="27"/>
      <c r="AQ1300" s="27"/>
    </row>
    <row r="1301" spans="1:43" ht="15.75" customHeight="1">
      <c r="A1301" s="27"/>
      <c r="B1301" s="9"/>
      <c r="C1301" s="27"/>
      <c r="D1301" s="9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42"/>
      <c r="Y1301" s="42"/>
      <c r="Z1301" s="27"/>
      <c r="AA1301" s="27"/>
      <c r="AB1301" s="27"/>
      <c r="AC1301" s="9"/>
      <c r="AD1301" s="27"/>
      <c r="AE1301" s="9"/>
      <c r="AF1301" s="9"/>
      <c r="AG1301" s="27"/>
      <c r="AH1301" s="27"/>
      <c r="AI1301" s="27"/>
      <c r="AJ1301" s="42"/>
      <c r="AK1301" s="27"/>
      <c r="AL1301" s="27"/>
      <c r="AM1301" s="27"/>
      <c r="AN1301" s="27"/>
      <c r="AO1301" s="27"/>
      <c r="AP1301" s="27"/>
      <c r="AQ1301" s="27"/>
    </row>
    <row r="1302" spans="1:43" ht="15.75" customHeight="1">
      <c r="A1302" s="27"/>
      <c r="B1302" s="9"/>
      <c r="C1302" s="27"/>
      <c r="D1302" s="9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42"/>
      <c r="Y1302" s="42"/>
      <c r="Z1302" s="27"/>
      <c r="AA1302" s="27"/>
      <c r="AB1302" s="27"/>
      <c r="AC1302" s="9"/>
      <c r="AD1302" s="27"/>
      <c r="AE1302" s="9"/>
      <c r="AF1302" s="9"/>
      <c r="AG1302" s="27"/>
      <c r="AH1302" s="27"/>
      <c r="AI1302" s="27"/>
      <c r="AJ1302" s="42"/>
      <c r="AK1302" s="27"/>
      <c r="AL1302" s="27"/>
      <c r="AM1302" s="27"/>
      <c r="AN1302" s="27"/>
      <c r="AO1302" s="27"/>
      <c r="AP1302" s="27"/>
      <c r="AQ1302" s="27"/>
    </row>
    <row r="1303" spans="1:43" ht="15.75" customHeight="1">
      <c r="A1303" s="27"/>
      <c r="B1303" s="9"/>
      <c r="C1303" s="27"/>
      <c r="D1303" s="9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42"/>
      <c r="Y1303" s="42"/>
      <c r="Z1303" s="27"/>
      <c r="AA1303" s="27"/>
      <c r="AB1303" s="27"/>
      <c r="AC1303" s="9"/>
      <c r="AD1303" s="27"/>
      <c r="AE1303" s="9"/>
      <c r="AF1303" s="9"/>
      <c r="AG1303" s="27"/>
      <c r="AH1303" s="27"/>
      <c r="AI1303" s="27"/>
      <c r="AJ1303" s="42"/>
      <c r="AK1303" s="27"/>
      <c r="AL1303" s="27"/>
      <c r="AM1303" s="27"/>
      <c r="AN1303" s="27"/>
      <c r="AO1303" s="27"/>
      <c r="AP1303" s="27"/>
      <c r="AQ1303" s="27"/>
    </row>
    <row r="1304" spans="1:43" ht="15.75" customHeight="1">
      <c r="A1304" s="27"/>
      <c r="B1304" s="9"/>
      <c r="C1304" s="27"/>
      <c r="D1304" s="9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42"/>
      <c r="Y1304" s="42"/>
      <c r="Z1304" s="27"/>
      <c r="AA1304" s="27"/>
      <c r="AB1304" s="27"/>
      <c r="AC1304" s="9"/>
      <c r="AD1304" s="27"/>
      <c r="AE1304" s="9"/>
      <c r="AF1304" s="9"/>
      <c r="AG1304" s="27"/>
      <c r="AH1304" s="27"/>
      <c r="AI1304" s="27"/>
      <c r="AJ1304" s="42"/>
      <c r="AK1304" s="27"/>
      <c r="AL1304" s="27"/>
      <c r="AM1304" s="27"/>
      <c r="AN1304" s="27"/>
      <c r="AO1304" s="27"/>
      <c r="AP1304" s="27"/>
      <c r="AQ1304" s="27"/>
    </row>
    <row r="1305" spans="1:43" ht="15.75" customHeight="1">
      <c r="A1305" s="27"/>
      <c r="B1305" s="9"/>
      <c r="C1305" s="27"/>
      <c r="D1305" s="9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42"/>
      <c r="Y1305" s="42"/>
      <c r="Z1305" s="27"/>
      <c r="AA1305" s="27"/>
      <c r="AB1305" s="27"/>
      <c r="AC1305" s="9"/>
      <c r="AD1305" s="27"/>
      <c r="AE1305" s="9"/>
      <c r="AF1305" s="9"/>
      <c r="AG1305" s="27"/>
      <c r="AH1305" s="27"/>
      <c r="AI1305" s="27"/>
      <c r="AJ1305" s="42"/>
      <c r="AK1305" s="27"/>
      <c r="AL1305" s="27"/>
      <c r="AM1305" s="27"/>
      <c r="AN1305" s="27"/>
      <c r="AO1305" s="27"/>
      <c r="AP1305" s="27"/>
      <c r="AQ1305" s="27"/>
    </row>
    <row r="1306" spans="1:43" ht="15.75" customHeight="1">
      <c r="A1306" s="27"/>
      <c r="B1306" s="9"/>
      <c r="C1306" s="27"/>
      <c r="D1306" s="9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42"/>
      <c r="Y1306" s="42"/>
      <c r="Z1306" s="27"/>
      <c r="AA1306" s="27"/>
      <c r="AB1306" s="27"/>
      <c r="AC1306" s="9"/>
      <c r="AD1306" s="27"/>
      <c r="AE1306" s="9"/>
      <c r="AF1306" s="9"/>
      <c r="AG1306" s="27"/>
      <c r="AH1306" s="27"/>
      <c r="AI1306" s="27"/>
      <c r="AJ1306" s="42"/>
      <c r="AK1306" s="27"/>
      <c r="AL1306" s="27"/>
      <c r="AM1306" s="27"/>
      <c r="AN1306" s="27"/>
      <c r="AO1306" s="27"/>
      <c r="AP1306" s="27"/>
      <c r="AQ1306" s="27"/>
    </row>
    <row r="1307" spans="1:43" ht="15.75" customHeight="1">
      <c r="A1307" s="27"/>
      <c r="B1307" s="9"/>
      <c r="C1307" s="27"/>
      <c r="D1307" s="9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42"/>
      <c r="Y1307" s="42"/>
      <c r="Z1307" s="27"/>
      <c r="AA1307" s="27"/>
      <c r="AB1307" s="27"/>
      <c r="AC1307" s="9"/>
      <c r="AD1307" s="27"/>
      <c r="AE1307" s="9"/>
      <c r="AF1307" s="9"/>
      <c r="AG1307" s="27"/>
      <c r="AH1307" s="27"/>
      <c r="AI1307" s="27"/>
      <c r="AJ1307" s="42"/>
      <c r="AK1307" s="27"/>
      <c r="AL1307" s="27"/>
      <c r="AM1307" s="27"/>
      <c r="AN1307" s="27"/>
      <c r="AO1307" s="27"/>
      <c r="AP1307" s="27"/>
      <c r="AQ1307" s="27"/>
    </row>
    <row r="1308" spans="1:43" ht="15.75" customHeight="1">
      <c r="A1308" s="27"/>
      <c r="B1308" s="9"/>
      <c r="C1308" s="27"/>
      <c r="D1308" s="9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42"/>
      <c r="Y1308" s="42"/>
      <c r="Z1308" s="27"/>
      <c r="AA1308" s="27"/>
      <c r="AB1308" s="27"/>
      <c r="AC1308" s="9"/>
      <c r="AD1308" s="27"/>
      <c r="AE1308" s="9"/>
      <c r="AF1308" s="9"/>
      <c r="AG1308" s="27"/>
      <c r="AH1308" s="27"/>
      <c r="AI1308" s="27"/>
      <c r="AJ1308" s="42"/>
      <c r="AK1308" s="27"/>
      <c r="AL1308" s="27"/>
      <c r="AM1308" s="27"/>
      <c r="AN1308" s="27"/>
      <c r="AO1308" s="27"/>
      <c r="AP1308" s="27"/>
      <c r="AQ1308" s="27"/>
    </row>
    <row r="1309" spans="1:43" ht="15.75" customHeight="1">
      <c r="A1309" s="27"/>
      <c r="B1309" s="9"/>
      <c r="C1309" s="27"/>
      <c r="D1309" s="9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42"/>
      <c r="Y1309" s="42"/>
      <c r="Z1309" s="27"/>
      <c r="AA1309" s="27"/>
      <c r="AB1309" s="27"/>
      <c r="AC1309" s="9"/>
      <c r="AD1309" s="27"/>
      <c r="AE1309" s="9"/>
      <c r="AF1309" s="9"/>
      <c r="AG1309" s="27"/>
      <c r="AH1309" s="27"/>
      <c r="AI1309" s="27"/>
      <c r="AJ1309" s="42"/>
      <c r="AK1309" s="27"/>
      <c r="AL1309" s="27"/>
      <c r="AM1309" s="27"/>
      <c r="AN1309" s="27"/>
      <c r="AO1309" s="27"/>
      <c r="AP1309" s="27"/>
      <c r="AQ1309" s="27"/>
    </row>
    <row r="1310" spans="1:43" ht="15.75" customHeight="1">
      <c r="A1310" s="27"/>
      <c r="B1310" s="9"/>
      <c r="C1310" s="27"/>
      <c r="D1310" s="9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42"/>
      <c r="Y1310" s="42"/>
      <c r="Z1310" s="27"/>
      <c r="AA1310" s="27"/>
      <c r="AB1310" s="27"/>
      <c r="AC1310" s="9"/>
      <c r="AD1310" s="27"/>
      <c r="AE1310" s="9"/>
      <c r="AF1310" s="9"/>
      <c r="AG1310" s="27"/>
      <c r="AH1310" s="27"/>
      <c r="AI1310" s="27"/>
      <c r="AJ1310" s="42"/>
      <c r="AK1310" s="27"/>
      <c r="AL1310" s="27"/>
      <c r="AM1310" s="27"/>
      <c r="AN1310" s="27"/>
      <c r="AO1310" s="27"/>
      <c r="AP1310" s="27"/>
      <c r="AQ1310" s="27"/>
    </row>
    <row r="1311" spans="1:43" ht="15.75" customHeight="1">
      <c r="A1311" s="27"/>
      <c r="B1311" s="9"/>
      <c r="C1311" s="27"/>
      <c r="D1311" s="9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42"/>
      <c r="Y1311" s="42"/>
      <c r="Z1311" s="27"/>
      <c r="AA1311" s="27"/>
      <c r="AB1311" s="27"/>
      <c r="AC1311" s="9"/>
      <c r="AD1311" s="27"/>
      <c r="AE1311" s="9"/>
      <c r="AF1311" s="9"/>
      <c r="AG1311" s="27"/>
      <c r="AH1311" s="27"/>
      <c r="AI1311" s="27"/>
      <c r="AJ1311" s="42"/>
      <c r="AK1311" s="27"/>
      <c r="AL1311" s="27"/>
      <c r="AM1311" s="27"/>
      <c r="AN1311" s="27"/>
      <c r="AO1311" s="27"/>
      <c r="AP1311" s="27"/>
      <c r="AQ1311" s="27"/>
    </row>
    <row r="1312" spans="1:43" ht="15.75" customHeight="1">
      <c r="A1312" s="27"/>
      <c r="B1312" s="9"/>
      <c r="C1312" s="27"/>
      <c r="D1312" s="9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42"/>
      <c r="Y1312" s="42"/>
      <c r="Z1312" s="27"/>
      <c r="AA1312" s="27"/>
      <c r="AB1312" s="27"/>
      <c r="AC1312" s="9"/>
      <c r="AD1312" s="27"/>
      <c r="AE1312" s="9"/>
      <c r="AF1312" s="9"/>
      <c r="AG1312" s="27"/>
      <c r="AH1312" s="27"/>
      <c r="AI1312" s="27"/>
      <c r="AJ1312" s="42"/>
      <c r="AK1312" s="27"/>
      <c r="AL1312" s="27"/>
      <c r="AM1312" s="27"/>
      <c r="AN1312" s="27"/>
      <c r="AO1312" s="27"/>
      <c r="AP1312" s="27"/>
      <c r="AQ1312" s="27"/>
    </row>
    <row r="1313" spans="1:43" ht="15.75" customHeight="1">
      <c r="A1313" s="27"/>
      <c r="B1313" s="9"/>
      <c r="C1313" s="27"/>
      <c r="D1313" s="9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42"/>
      <c r="Y1313" s="42"/>
      <c r="Z1313" s="27"/>
      <c r="AA1313" s="27"/>
      <c r="AB1313" s="27"/>
      <c r="AC1313" s="9"/>
      <c r="AD1313" s="27"/>
      <c r="AE1313" s="9"/>
      <c r="AF1313" s="9"/>
      <c r="AG1313" s="27"/>
      <c r="AH1313" s="27"/>
      <c r="AI1313" s="27"/>
      <c r="AJ1313" s="42"/>
      <c r="AK1313" s="27"/>
      <c r="AL1313" s="27"/>
      <c r="AM1313" s="27"/>
      <c r="AN1313" s="27"/>
      <c r="AO1313" s="27"/>
      <c r="AP1313" s="27"/>
      <c r="AQ1313" s="27"/>
    </row>
    <row r="1314" spans="1:43" ht="15.75" customHeight="1">
      <c r="A1314" s="27"/>
      <c r="B1314" s="9"/>
      <c r="C1314" s="27"/>
      <c r="D1314" s="9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42"/>
      <c r="Y1314" s="42"/>
      <c r="Z1314" s="27"/>
      <c r="AA1314" s="27"/>
      <c r="AB1314" s="27"/>
      <c r="AC1314" s="9"/>
      <c r="AD1314" s="27"/>
      <c r="AE1314" s="9"/>
      <c r="AF1314" s="9"/>
      <c r="AG1314" s="27"/>
      <c r="AH1314" s="27"/>
      <c r="AI1314" s="27"/>
      <c r="AJ1314" s="42"/>
      <c r="AK1314" s="27"/>
      <c r="AL1314" s="27"/>
      <c r="AM1314" s="27"/>
      <c r="AN1314" s="27"/>
      <c r="AO1314" s="27"/>
      <c r="AP1314" s="27"/>
      <c r="AQ1314" s="27"/>
    </row>
    <row r="1315" spans="1:43" ht="15.75" customHeight="1">
      <c r="A1315" s="27"/>
      <c r="B1315" s="9"/>
      <c r="C1315" s="27"/>
      <c r="D1315" s="9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42"/>
      <c r="Y1315" s="42"/>
      <c r="Z1315" s="27"/>
      <c r="AA1315" s="27"/>
      <c r="AB1315" s="27"/>
      <c r="AC1315" s="9"/>
      <c r="AD1315" s="27"/>
      <c r="AE1315" s="9"/>
      <c r="AF1315" s="9"/>
      <c r="AG1315" s="27"/>
      <c r="AH1315" s="27"/>
      <c r="AI1315" s="27"/>
      <c r="AJ1315" s="42"/>
      <c r="AK1315" s="27"/>
      <c r="AL1315" s="27"/>
      <c r="AM1315" s="27"/>
      <c r="AN1315" s="27"/>
      <c r="AO1315" s="27"/>
      <c r="AP1315" s="27"/>
      <c r="AQ1315" s="27"/>
    </row>
    <row r="1316" spans="1:43" ht="15.75" customHeight="1">
      <c r="A1316" s="27"/>
      <c r="B1316" s="9"/>
      <c r="C1316" s="27"/>
      <c r="D1316" s="9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42"/>
      <c r="Y1316" s="42"/>
      <c r="Z1316" s="27"/>
      <c r="AA1316" s="27"/>
      <c r="AB1316" s="27"/>
      <c r="AC1316" s="9"/>
      <c r="AD1316" s="27"/>
      <c r="AE1316" s="9"/>
      <c r="AF1316" s="9"/>
      <c r="AG1316" s="27"/>
      <c r="AH1316" s="27"/>
      <c r="AI1316" s="27"/>
      <c r="AJ1316" s="42"/>
      <c r="AK1316" s="27"/>
      <c r="AL1316" s="27"/>
      <c r="AM1316" s="27"/>
      <c r="AN1316" s="27"/>
      <c r="AO1316" s="27"/>
      <c r="AP1316" s="27"/>
      <c r="AQ1316" s="27"/>
    </row>
    <row r="1317" spans="1:43" ht="15.75" customHeight="1">
      <c r="A1317" s="27"/>
      <c r="B1317" s="9"/>
      <c r="C1317" s="27"/>
      <c r="D1317" s="9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42"/>
      <c r="Y1317" s="42"/>
      <c r="Z1317" s="27"/>
      <c r="AA1317" s="27"/>
      <c r="AB1317" s="27"/>
      <c r="AC1317" s="9"/>
      <c r="AD1317" s="27"/>
      <c r="AE1317" s="9"/>
      <c r="AF1317" s="9"/>
      <c r="AG1317" s="27"/>
      <c r="AH1317" s="27"/>
      <c r="AI1317" s="27"/>
      <c r="AJ1317" s="42"/>
      <c r="AK1317" s="27"/>
      <c r="AL1317" s="27"/>
      <c r="AM1317" s="27"/>
      <c r="AN1317" s="27"/>
      <c r="AO1317" s="27"/>
      <c r="AP1317" s="27"/>
      <c r="AQ1317" s="27"/>
    </row>
    <row r="1318" spans="1:43" ht="15.75" customHeight="1">
      <c r="A1318" s="27"/>
      <c r="B1318" s="9"/>
      <c r="C1318" s="27"/>
      <c r="D1318" s="9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42"/>
      <c r="Y1318" s="42"/>
      <c r="Z1318" s="27"/>
      <c r="AA1318" s="27"/>
      <c r="AB1318" s="27"/>
      <c r="AC1318" s="9"/>
      <c r="AD1318" s="27"/>
      <c r="AE1318" s="9"/>
      <c r="AF1318" s="9"/>
      <c r="AG1318" s="27"/>
      <c r="AH1318" s="27"/>
      <c r="AI1318" s="27"/>
      <c r="AJ1318" s="42"/>
      <c r="AK1318" s="27"/>
      <c r="AL1318" s="27"/>
      <c r="AM1318" s="27"/>
      <c r="AN1318" s="27"/>
      <c r="AO1318" s="27"/>
      <c r="AP1318" s="27"/>
      <c r="AQ1318" s="27"/>
    </row>
    <row r="1319" spans="1:43" ht="15.75" customHeight="1">
      <c r="A1319" s="27"/>
      <c r="B1319" s="9"/>
      <c r="C1319" s="27"/>
      <c r="D1319" s="9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42"/>
      <c r="Y1319" s="42"/>
      <c r="Z1319" s="27"/>
      <c r="AA1319" s="27"/>
      <c r="AB1319" s="27"/>
      <c r="AC1319" s="9"/>
      <c r="AD1319" s="27"/>
      <c r="AE1319" s="9"/>
      <c r="AF1319" s="9"/>
      <c r="AG1319" s="27"/>
      <c r="AH1319" s="27"/>
      <c r="AI1319" s="27"/>
      <c r="AJ1319" s="42"/>
      <c r="AK1319" s="27"/>
      <c r="AL1319" s="27"/>
      <c r="AM1319" s="27"/>
      <c r="AN1319" s="27"/>
      <c r="AO1319" s="27"/>
      <c r="AP1319" s="27"/>
      <c r="AQ1319" s="27"/>
    </row>
    <row r="1320" spans="1:43" ht="15.75" customHeight="1">
      <c r="A1320" s="27"/>
      <c r="B1320" s="9"/>
      <c r="C1320" s="27"/>
      <c r="D1320" s="9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42"/>
      <c r="Y1320" s="42"/>
      <c r="Z1320" s="27"/>
      <c r="AA1320" s="27"/>
      <c r="AB1320" s="27"/>
      <c r="AC1320" s="9"/>
      <c r="AD1320" s="27"/>
      <c r="AE1320" s="9"/>
      <c r="AF1320" s="9"/>
      <c r="AG1320" s="27"/>
      <c r="AH1320" s="27"/>
      <c r="AI1320" s="27"/>
      <c r="AJ1320" s="42"/>
      <c r="AK1320" s="27"/>
      <c r="AL1320" s="27"/>
      <c r="AM1320" s="27"/>
      <c r="AN1320" s="27"/>
      <c r="AO1320" s="27"/>
      <c r="AP1320" s="27"/>
      <c r="AQ1320" s="27"/>
    </row>
    <row r="1321" spans="1:43" ht="15.75" customHeight="1">
      <c r="A1321" s="27"/>
      <c r="B1321" s="9"/>
      <c r="C1321" s="27"/>
      <c r="D1321" s="9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42"/>
      <c r="Y1321" s="42"/>
      <c r="Z1321" s="27"/>
      <c r="AA1321" s="27"/>
      <c r="AB1321" s="27"/>
      <c r="AC1321" s="9"/>
      <c r="AD1321" s="27"/>
      <c r="AE1321" s="9"/>
      <c r="AF1321" s="9"/>
      <c r="AG1321" s="27"/>
      <c r="AH1321" s="27"/>
      <c r="AI1321" s="27"/>
      <c r="AJ1321" s="42"/>
      <c r="AK1321" s="27"/>
      <c r="AL1321" s="27"/>
      <c r="AM1321" s="27"/>
      <c r="AN1321" s="27"/>
      <c r="AO1321" s="27"/>
      <c r="AP1321" s="27"/>
      <c r="AQ1321" s="27"/>
    </row>
    <row r="1322" spans="1:43" ht="15.75" customHeight="1">
      <c r="A1322" s="27"/>
      <c r="B1322" s="9"/>
      <c r="C1322" s="27"/>
      <c r="D1322" s="9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42"/>
      <c r="Y1322" s="42"/>
      <c r="Z1322" s="27"/>
      <c r="AA1322" s="27"/>
      <c r="AB1322" s="27"/>
      <c r="AC1322" s="9"/>
      <c r="AD1322" s="27"/>
      <c r="AE1322" s="9"/>
      <c r="AF1322" s="9"/>
      <c r="AG1322" s="27"/>
      <c r="AH1322" s="27"/>
      <c r="AI1322" s="27"/>
      <c r="AJ1322" s="42"/>
      <c r="AK1322" s="27"/>
      <c r="AL1322" s="27"/>
      <c r="AM1322" s="27"/>
      <c r="AN1322" s="27"/>
      <c r="AO1322" s="27"/>
      <c r="AP1322" s="27"/>
      <c r="AQ1322" s="27"/>
    </row>
    <row r="1323" spans="1:43" ht="15.75" customHeight="1">
      <c r="A1323" s="27"/>
      <c r="B1323" s="9"/>
      <c r="C1323" s="27"/>
      <c r="D1323" s="9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42"/>
      <c r="Y1323" s="42"/>
      <c r="Z1323" s="27"/>
      <c r="AA1323" s="27"/>
      <c r="AB1323" s="27"/>
      <c r="AC1323" s="9"/>
      <c r="AD1323" s="27"/>
      <c r="AE1323" s="9"/>
      <c r="AF1323" s="9"/>
      <c r="AG1323" s="27"/>
      <c r="AH1323" s="27"/>
      <c r="AI1323" s="27"/>
      <c r="AJ1323" s="42"/>
      <c r="AK1323" s="27"/>
      <c r="AL1323" s="27"/>
      <c r="AM1323" s="27"/>
      <c r="AN1323" s="27"/>
      <c r="AO1323" s="27"/>
      <c r="AP1323" s="27"/>
      <c r="AQ1323" s="27"/>
    </row>
    <row r="1324" spans="1:43" ht="15.75" customHeight="1">
      <c r="A1324" s="27"/>
      <c r="B1324" s="9"/>
      <c r="C1324" s="27"/>
      <c r="D1324" s="9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42"/>
      <c r="Y1324" s="42"/>
      <c r="Z1324" s="27"/>
      <c r="AA1324" s="27"/>
      <c r="AB1324" s="27"/>
      <c r="AC1324" s="9"/>
      <c r="AD1324" s="27"/>
      <c r="AE1324" s="9"/>
      <c r="AF1324" s="9"/>
      <c r="AG1324" s="27"/>
      <c r="AH1324" s="27"/>
      <c r="AI1324" s="27"/>
      <c r="AJ1324" s="42"/>
      <c r="AK1324" s="27"/>
      <c r="AL1324" s="27"/>
      <c r="AM1324" s="27"/>
      <c r="AN1324" s="27"/>
      <c r="AO1324" s="27"/>
      <c r="AP1324" s="27"/>
      <c r="AQ1324" s="27"/>
    </row>
    <row r="1325" spans="1:43" ht="15.75" customHeight="1">
      <c r="A1325" s="27"/>
      <c r="B1325" s="9"/>
      <c r="C1325" s="27"/>
      <c r="D1325" s="9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42"/>
      <c r="Y1325" s="42"/>
      <c r="Z1325" s="27"/>
      <c r="AA1325" s="27"/>
      <c r="AB1325" s="27"/>
      <c r="AC1325" s="9"/>
      <c r="AD1325" s="27"/>
      <c r="AE1325" s="9"/>
      <c r="AF1325" s="9"/>
      <c r="AG1325" s="27"/>
      <c r="AH1325" s="27"/>
      <c r="AI1325" s="27"/>
      <c r="AJ1325" s="42"/>
      <c r="AK1325" s="27"/>
      <c r="AL1325" s="27"/>
      <c r="AM1325" s="27"/>
      <c r="AN1325" s="27"/>
      <c r="AO1325" s="27"/>
      <c r="AP1325" s="27"/>
      <c r="AQ1325" s="27"/>
    </row>
    <row r="1326" spans="1:43" ht="15.75" customHeight="1">
      <c r="A1326" s="27"/>
      <c r="B1326" s="9"/>
      <c r="C1326" s="27"/>
      <c r="D1326" s="9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42"/>
      <c r="Y1326" s="42"/>
      <c r="Z1326" s="27"/>
      <c r="AA1326" s="27"/>
      <c r="AB1326" s="27"/>
      <c r="AC1326" s="9"/>
      <c r="AD1326" s="27"/>
      <c r="AE1326" s="9"/>
      <c r="AF1326" s="9"/>
      <c r="AG1326" s="27"/>
      <c r="AH1326" s="27"/>
      <c r="AI1326" s="27"/>
      <c r="AJ1326" s="42"/>
      <c r="AK1326" s="27"/>
      <c r="AL1326" s="27"/>
      <c r="AM1326" s="27"/>
      <c r="AN1326" s="27"/>
      <c r="AO1326" s="27"/>
      <c r="AP1326" s="27"/>
      <c r="AQ1326" s="27"/>
    </row>
    <row r="1327" spans="1:43" ht="15.75" customHeight="1">
      <c r="A1327" s="27"/>
      <c r="B1327" s="9"/>
      <c r="C1327" s="27"/>
      <c r="D1327" s="9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42"/>
      <c r="Y1327" s="42"/>
      <c r="Z1327" s="27"/>
      <c r="AA1327" s="27"/>
      <c r="AB1327" s="27"/>
      <c r="AC1327" s="9"/>
      <c r="AD1327" s="27"/>
      <c r="AE1327" s="9"/>
      <c r="AF1327" s="9"/>
      <c r="AG1327" s="27"/>
      <c r="AH1327" s="27"/>
      <c r="AI1327" s="27"/>
      <c r="AJ1327" s="42"/>
      <c r="AK1327" s="27"/>
      <c r="AL1327" s="27"/>
      <c r="AM1327" s="27"/>
      <c r="AN1327" s="27"/>
      <c r="AO1327" s="27"/>
      <c r="AP1327" s="27"/>
      <c r="AQ1327" s="27"/>
    </row>
    <row r="1328" spans="1:43" ht="15.75" customHeight="1">
      <c r="A1328" s="27"/>
      <c r="B1328" s="9"/>
      <c r="C1328" s="27"/>
      <c r="D1328" s="9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42"/>
      <c r="Y1328" s="42"/>
      <c r="Z1328" s="27"/>
      <c r="AA1328" s="27"/>
      <c r="AB1328" s="27"/>
      <c r="AC1328" s="9"/>
      <c r="AD1328" s="27"/>
      <c r="AE1328" s="9"/>
      <c r="AF1328" s="9"/>
      <c r="AG1328" s="27"/>
      <c r="AH1328" s="27"/>
      <c r="AI1328" s="27"/>
      <c r="AJ1328" s="42"/>
      <c r="AK1328" s="27"/>
      <c r="AL1328" s="27"/>
      <c r="AM1328" s="27"/>
      <c r="AN1328" s="27"/>
      <c r="AO1328" s="27"/>
      <c r="AP1328" s="27"/>
      <c r="AQ1328" s="27"/>
    </row>
    <row r="1329" spans="1:43" ht="15.75" customHeight="1">
      <c r="A1329" s="27"/>
      <c r="B1329" s="9"/>
      <c r="C1329" s="27"/>
      <c r="D1329" s="9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42"/>
      <c r="Y1329" s="42"/>
      <c r="Z1329" s="27"/>
      <c r="AA1329" s="27"/>
      <c r="AB1329" s="27"/>
      <c r="AC1329" s="9"/>
      <c r="AD1329" s="27"/>
      <c r="AE1329" s="9"/>
      <c r="AF1329" s="9"/>
      <c r="AG1329" s="27"/>
      <c r="AH1329" s="27"/>
      <c r="AI1329" s="27"/>
      <c r="AJ1329" s="42"/>
      <c r="AK1329" s="27"/>
      <c r="AL1329" s="27"/>
      <c r="AM1329" s="27"/>
      <c r="AN1329" s="27"/>
      <c r="AO1329" s="27"/>
      <c r="AP1329" s="27"/>
      <c r="AQ1329" s="27"/>
    </row>
    <row r="1330" spans="1:43" ht="15.75" customHeight="1">
      <c r="A1330" s="27"/>
      <c r="B1330" s="9"/>
      <c r="C1330" s="27"/>
      <c r="D1330" s="9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42"/>
      <c r="Y1330" s="42"/>
      <c r="Z1330" s="27"/>
      <c r="AA1330" s="27"/>
      <c r="AB1330" s="27"/>
      <c r="AC1330" s="9"/>
      <c r="AD1330" s="27"/>
      <c r="AE1330" s="9"/>
      <c r="AF1330" s="9"/>
      <c r="AG1330" s="27"/>
      <c r="AH1330" s="27"/>
      <c r="AI1330" s="27"/>
      <c r="AJ1330" s="42"/>
      <c r="AK1330" s="27"/>
      <c r="AL1330" s="27"/>
      <c r="AM1330" s="27"/>
      <c r="AN1330" s="27"/>
      <c r="AO1330" s="27"/>
      <c r="AP1330" s="27"/>
      <c r="AQ1330" s="27"/>
    </row>
    <row r="1331" spans="1:43" ht="15.75" customHeight="1">
      <c r="A1331" s="27"/>
      <c r="B1331" s="9"/>
      <c r="C1331" s="27"/>
      <c r="D1331" s="9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42"/>
      <c r="Y1331" s="42"/>
      <c r="Z1331" s="27"/>
      <c r="AA1331" s="27"/>
      <c r="AB1331" s="27"/>
      <c r="AC1331" s="9"/>
      <c r="AD1331" s="27"/>
      <c r="AE1331" s="9"/>
      <c r="AF1331" s="9"/>
      <c r="AG1331" s="27"/>
      <c r="AH1331" s="27"/>
      <c r="AI1331" s="27"/>
      <c r="AJ1331" s="42"/>
      <c r="AK1331" s="27"/>
      <c r="AL1331" s="27"/>
      <c r="AM1331" s="27"/>
      <c r="AN1331" s="27"/>
      <c r="AO1331" s="27"/>
      <c r="AP1331" s="27"/>
      <c r="AQ1331" s="27"/>
    </row>
    <row r="1332" spans="1:43" ht="15.75" customHeight="1">
      <c r="A1332" s="27"/>
      <c r="B1332" s="9"/>
      <c r="C1332" s="27"/>
      <c r="D1332" s="9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42"/>
      <c r="Y1332" s="42"/>
      <c r="Z1332" s="27"/>
      <c r="AA1332" s="27"/>
      <c r="AB1332" s="27"/>
      <c r="AC1332" s="9"/>
      <c r="AD1332" s="27"/>
      <c r="AE1332" s="9"/>
      <c r="AF1332" s="9"/>
      <c r="AG1332" s="27"/>
      <c r="AH1332" s="27"/>
      <c r="AI1332" s="27"/>
      <c r="AJ1332" s="42"/>
      <c r="AK1332" s="27"/>
      <c r="AL1332" s="27"/>
      <c r="AM1332" s="27"/>
      <c r="AN1332" s="27"/>
      <c r="AO1332" s="27"/>
      <c r="AP1332" s="27"/>
      <c r="AQ1332" s="27"/>
    </row>
    <row r="1333" spans="1:43" ht="15.75" customHeight="1">
      <c r="A1333" s="27"/>
      <c r="B1333" s="9"/>
      <c r="C1333" s="27"/>
      <c r="D1333" s="9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42"/>
      <c r="Y1333" s="42"/>
      <c r="Z1333" s="27"/>
      <c r="AA1333" s="27"/>
      <c r="AB1333" s="27"/>
      <c r="AC1333" s="9"/>
      <c r="AD1333" s="27"/>
      <c r="AE1333" s="9"/>
      <c r="AF1333" s="9"/>
      <c r="AG1333" s="27"/>
      <c r="AH1333" s="27"/>
      <c r="AI1333" s="27"/>
      <c r="AJ1333" s="42"/>
      <c r="AK1333" s="27"/>
      <c r="AL1333" s="27"/>
      <c r="AM1333" s="27"/>
      <c r="AN1333" s="27"/>
      <c r="AO1333" s="27"/>
      <c r="AP1333" s="27"/>
      <c r="AQ1333" s="27"/>
    </row>
    <row r="1334" spans="1:43" ht="15.75" customHeight="1">
      <c r="A1334" s="27"/>
      <c r="B1334" s="9"/>
      <c r="C1334" s="27"/>
      <c r="D1334" s="9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42"/>
      <c r="Y1334" s="42"/>
      <c r="Z1334" s="27"/>
      <c r="AA1334" s="27"/>
      <c r="AB1334" s="27"/>
      <c r="AC1334" s="9"/>
      <c r="AD1334" s="27"/>
      <c r="AE1334" s="9"/>
      <c r="AF1334" s="9"/>
      <c r="AG1334" s="27"/>
      <c r="AH1334" s="27"/>
      <c r="AI1334" s="27"/>
      <c r="AJ1334" s="42"/>
      <c r="AK1334" s="27"/>
      <c r="AL1334" s="27"/>
      <c r="AM1334" s="27"/>
      <c r="AN1334" s="27"/>
      <c r="AO1334" s="27"/>
      <c r="AP1334" s="27"/>
      <c r="AQ1334" s="27"/>
    </row>
    <row r="1335" spans="1:43" ht="15.75" customHeight="1">
      <c r="A1335" s="27"/>
      <c r="B1335" s="9"/>
      <c r="C1335" s="27"/>
      <c r="D1335" s="9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42"/>
      <c r="Y1335" s="42"/>
      <c r="Z1335" s="27"/>
      <c r="AA1335" s="27"/>
      <c r="AB1335" s="27"/>
      <c r="AC1335" s="9"/>
      <c r="AD1335" s="27"/>
      <c r="AE1335" s="9"/>
      <c r="AF1335" s="9"/>
      <c r="AG1335" s="27"/>
      <c r="AH1335" s="27"/>
      <c r="AI1335" s="27"/>
      <c r="AJ1335" s="42"/>
      <c r="AK1335" s="27"/>
      <c r="AL1335" s="27"/>
      <c r="AM1335" s="27"/>
      <c r="AN1335" s="27"/>
      <c r="AO1335" s="27"/>
      <c r="AP1335" s="27"/>
      <c r="AQ1335" s="27"/>
    </row>
    <row r="1336" spans="1:43" ht="15.75" customHeight="1">
      <c r="A1336" s="27"/>
      <c r="B1336" s="9"/>
      <c r="C1336" s="27"/>
      <c r="D1336" s="9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42"/>
      <c r="Y1336" s="42"/>
      <c r="Z1336" s="27"/>
      <c r="AA1336" s="27"/>
      <c r="AB1336" s="27"/>
      <c r="AC1336" s="9"/>
      <c r="AD1336" s="27"/>
      <c r="AE1336" s="9"/>
      <c r="AF1336" s="9"/>
      <c r="AG1336" s="27"/>
      <c r="AH1336" s="27"/>
      <c r="AI1336" s="27"/>
      <c r="AJ1336" s="42"/>
      <c r="AK1336" s="27"/>
      <c r="AL1336" s="27"/>
      <c r="AM1336" s="27"/>
      <c r="AN1336" s="27"/>
      <c r="AO1336" s="27"/>
      <c r="AP1336" s="27"/>
      <c r="AQ1336" s="27"/>
    </row>
    <row r="1337" spans="1:43" ht="15.75" customHeight="1">
      <c r="A1337" s="27"/>
      <c r="B1337" s="9"/>
      <c r="C1337" s="27"/>
      <c r="D1337" s="9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42"/>
      <c r="Y1337" s="42"/>
      <c r="Z1337" s="27"/>
      <c r="AA1337" s="27"/>
      <c r="AB1337" s="27"/>
      <c r="AC1337" s="9"/>
      <c r="AD1337" s="27"/>
      <c r="AE1337" s="9"/>
      <c r="AF1337" s="9"/>
      <c r="AG1337" s="27"/>
      <c r="AH1337" s="27"/>
      <c r="AI1337" s="27"/>
      <c r="AJ1337" s="42"/>
      <c r="AK1337" s="27"/>
      <c r="AL1337" s="27"/>
      <c r="AM1337" s="27"/>
      <c r="AN1337" s="27"/>
      <c r="AO1337" s="27"/>
      <c r="AP1337" s="27"/>
      <c r="AQ1337" s="27"/>
    </row>
    <row r="1338" spans="1:43" ht="15.75" customHeight="1">
      <c r="A1338" s="27"/>
      <c r="B1338" s="9"/>
      <c r="C1338" s="27"/>
      <c r="D1338" s="9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42"/>
      <c r="Y1338" s="42"/>
      <c r="Z1338" s="27"/>
      <c r="AA1338" s="27"/>
      <c r="AB1338" s="27"/>
      <c r="AC1338" s="9"/>
      <c r="AD1338" s="27"/>
      <c r="AE1338" s="9"/>
      <c r="AF1338" s="9"/>
      <c r="AG1338" s="27"/>
      <c r="AH1338" s="27"/>
      <c r="AI1338" s="27"/>
      <c r="AJ1338" s="42"/>
      <c r="AK1338" s="27"/>
      <c r="AL1338" s="27"/>
      <c r="AM1338" s="27"/>
      <c r="AN1338" s="27"/>
      <c r="AO1338" s="27"/>
      <c r="AP1338" s="27"/>
      <c r="AQ1338" s="27"/>
    </row>
    <row r="1339" spans="1:43" ht="15.75" customHeight="1">
      <c r="A1339" s="27"/>
      <c r="B1339" s="9"/>
      <c r="C1339" s="27"/>
      <c r="D1339" s="9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42"/>
      <c r="Y1339" s="42"/>
      <c r="Z1339" s="27"/>
      <c r="AA1339" s="27"/>
      <c r="AB1339" s="27"/>
      <c r="AC1339" s="9"/>
      <c r="AD1339" s="27"/>
      <c r="AE1339" s="9"/>
      <c r="AF1339" s="9"/>
      <c r="AG1339" s="27"/>
      <c r="AH1339" s="27"/>
      <c r="AI1339" s="27"/>
      <c r="AJ1339" s="42"/>
      <c r="AK1339" s="27"/>
      <c r="AL1339" s="27"/>
      <c r="AM1339" s="27"/>
      <c r="AN1339" s="27"/>
      <c r="AO1339" s="27"/>
      <c r="AP1339" s="27"/>
      <c r="AQ1339" s="27"/>
    </row>
    <row r="1340" spans="1:43" ht="15.75" customHeight="1">
      <c r="A1340" s="27"/>
      <c r="B1340" s="9"/>
      <c r="C1340" s="27"/>
      <c r="D1340" s="9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42"/>
      <c r="Y1340" s="42"/>
      <c r="Z1340" s="27"/>
      <c r="AA1340" s="27"/>
      <c r="AB1340" s="27"/>
      <c r="AC1340" s="9"/>
      <c r="AD1340" s="27"/>
      <c r="AE1340" s="9"/>
      <c r="AF1340" s="9"/>
      <c r="AG1340" s="27"/>
      <c r="AH1340" s="27"/>
      <c r="AI1340" s="27"/>
      <c r="AJ1340" s="42"/>
      <c r="AK1340" s="27"/>
      <c r="AL1340" s="27"/>
      <c r="AM1340" s="27"/>
      <c r="AN1340" s="27"/>
      <c r="AO1340" s="27"/>
      <c r="AP1340" s="27"/>
      <c r="AQ1340" s="27"/>
    </row>
    <row r="1341" spans="1:43" ht="15.75" customHeight="1">
      <c r="A1341" s="27"/>
      <c r="B1341" s="9"/>
      <c r="C1341" s="27"/>
      <c r="D1341" s="9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42"/>
      <c r="Y1341" s="42"/>
      <c r="Z1341" s="27"/>
      <c r="AA1341" s="27"/>
      <c r="AB1341" s="27"/>
      <c r="AC1341" s="9"/>
      <c r="AD1341" s="27"/>
      <c r="AE1341" s="9"/>
      <c r="AF1341" s="9"/>
      <c r="AG1341" s="27"/>
      <c r="AH1341" s="27"/>
      <c r="AI1341" s="27"/>
      <c r="AJ1341" s="42"/>
      <c r="AK1341" s="27"/>
      <c r="AL1341" s="27"/>
      <c r="AM1341" s="27"/>
      <c r="AN1341" s="27"/>
      <c r="AO1341" s="27"/>
      <c r="AP1341" s="27"/>
      <c r="AQ1341" s="27"/>
    </row>
    <row r="1342" spans="1:43" ht="15.75" customHeight="1">
      <c r="A1342" s="27"/>
      <c r="B1342" s="9"/>
      <c r="C1342" s="27"/>
      <c r="D1342" s="9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42"/>
      <c r="Y1342" s="42"/>
      <c r="Z1342" s="27"/>
      <c r="AA1342" s="27"/>
      <c r="AB1342" s="27"/>
      <c r="AC1342" s="9"/>
      <c r="AD1342" s="27"/>
      <c r="AE1342" s="9"/>
      <c r="AF1342" s="9"/>
      <c r="AG1342" s="27"/>
      <c r="AH1342" s="27"/>
      <c r="AI1342" s="27"/>
      <c r="AJ1342" s="42"/>
      <c r="AK1342" s="27"/>
      <c r="AL1342" s="27"/>
      <c r="AM1342" s="27"/>
      <c r="AN1342" s="27"/>
      <c r="AO1342" s="27"/>
      <c r="AP1342" s="27"/>
      <c r="AQ1342" s="27"/>
    </row>
    <row r="1343" spans="1:43" ht="15.75" customHeight="1">
      <c r="A1343" s="27"/>
      <c r="B1343" s="9"/>
      <c r="C1343" s="27"/>
      <c r="D1343" s="9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42"/>
      <c r="Y1343" s="42"/>
      <c r="Z1343" s="27"/>
      <c r="AA1343" s="27"/>
      <c r="AB1343" s="27"/>
      <c r="AC1343" s="9"/>
      <c r="AD1343" s="27"/>
      <c r="AE1343" s="9"/>
      <c r="AF1343" s="9"/>
      <c r="AG1343" s="27"/>
      <c r="AH1343" s="27"/>
      <c r="AI1343" s="27"/>
      <c r="AJ1343" s="42"/>
      <c r="AK1343" s="27"/>
      <c r="AL1343" s="27"/>
      <c r="AM1343" s="27"/>
      <c r="AN1343" s="27"/>
      <c r="AO1343" s="27"/>
      <c r="AP1343" s="27"/>
      <c r="AQ1343" s="27"/>
    </row>
    <row r="1344" spans="1:43" ht="15.75" customHeight="1">
      <c r="A1344" s="27"/>
      <c r="B1344" s="9"/>
      <c r="C1344" s="27"/>
      <c r="D1344" s="9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42"/>
      <c r="Y1344" s="42"/>
      <c r="Z1344" s="27"/>
      <c r="AA1344" s="27"/>
      <c r="AB1344" s="27"/>
      <c r="AC1344" s="9"/>
      <c r="AD1344" s="27"/>
      <c r="AE1344" s="9"/>
      <c r="AF1344" s="9"/>
      <c r="AG1344" s="27"/>
      <c r="AH1344" s="27"/>
      <c r="AI1344" s="27"/>
      <c r="AJ1344" s="42"/>
      <c r="AK1344" s="27"/>
      <c r="AL1344" s="27"/>
      <c r="AM1344" s="27"/>
      <c r="AN1344" s="27"/>
      <c r="AO1344" s="27"/>
      <c r="AP1344" s="27"/>
      <c r="AQ1344" s="27"/>
    </row>
    <row r="1345" spans="1:43" ht="15.75" customHeight="1">
      <c r="A1345" s="27"/>
      <c r="B1345" s="9"/>
      <c r="C1345" s="27"/>
      <c r="D1345" s="9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42"/>
      <c r="Y1345" s="42"/>
      <c r="Z1345" s="27"/>
      <c r="AA1345" s="27"/>
      <c r="AB1345" s="27"/>
      <c r="AC1345" s="9"/>
      <c r="AD1345" s="27"/>
      <c r="AE1345" s="9"/>
      <c r="AF1345" s="9"/>
      <c r="AG1345" s="27"/>
      <c r="AH1345" s="27"/>
      <c r="AI1345" s="27"/>
      <c r="AJ1345" s="42"/>
      <c r="AK1345" s="27"/>
      <c r="AL1345" s="27"/>
      <c r="AM1345" s="27"/>
      <c r="AN1345" s="27"/>
      <c r="AO1345" s="27"/>
      <c r="AP1345" s="27"/>
      <c r="AQ1345" s="27"/>
    </row>
    <row r="1346" spans="1:43" ht="15.75" customHeight="1">
      <c r="A1346" s="27"/>
      <c r="B1346" s="9"/>
      <c r="C1346" s="27"/>
      <c r="D1346" s="9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42"/>
      <c r="Y1346" s="42"/>
      <c r="Z1346" s="27"/>
      <c r="AA1346" s="27"/>
      <c r="AB1346" s="27"/>
      <c r="AC1346" s="9"/>
      <c r="AD1346" s="27"/>
      <c r="AE1346" s="9"/>
      <c r="AF1346" s="9"/>
      <c r="AG1346" s="27"/>
      <c r="AH1346" s="27"/>
      <c r="AI1346" s="27"/>
      <c r="AJ1346" s="42"/>
      <c r="AK1346" s="27"/>
      <c r="AL1346" s="27"/>
      <c r="AM1346" s="27"/>
      <c r="AN1346" s="27"/>
      <c r="AO1346" s="27"/>
      <c r="AP1346" s="27"/>
      <c r="AQ1346" s="27"/>
    </row>
    <row r="1347" spans="1:43" ht="15.75" customHeight="1">
      <c r="A1347" s="27"/>
      <c r="B1347" s="9"/>
      <c r="C1347" s="27"/>
      <c r="D1347" s="9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42"/>
      <c r="Y1347" s="42"/>
      <c r="Z1347" s="27"/>
      <c r="AA1347" s="27"/>
      <c r="AB1347" s="27"/>
      <c r="AC1347" s="9"/>
      <c r="AD1347" s="27"/>
      <c r="AE1347" s="9"/>
      <c r="AF1347" s="9"/>
      <c r="AG1347" s="27"/>
      <c r="AH1347" s="27"/>
      <c r="AI1347" s="27"/>
      <c r="AJ1347" s="42"/>
      <c r="AK1347" s="27"/>
      <c r="AL1347" s="27"/>
      <c r="AM1347" s="27"/>
      <c r="AN1347" s="27"/>
      <c r="AO1347" s="27"/>
      <c r="AP1347" s="27"/>
      <c r="AQ1347" s="27"/>
    </row>
    <row r="1348" spans="1:43" ht="15.75" customHeight="1">
      <c r="A1348" s="27"/>
      <c r="B1348" s="9"/>
      <c r="C1348" s="27"/>
      <c r="D1348" s="9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42"/>
      <c r="Y1348" s="42"/>
      <c r="Z1348" s="27"/>
      <c r="AA1348" s="27"/>
      <c r="AB1348" s="27"/>
      <c r="AC1348" s="9"/>
      <c r="AD1348" s="27"/>
      <c r="AE1348" s="9"/>
      <c r="AF1348" s="9"/>
      <c r="AG1348" s="27"/>
      <c r="AH1348" s="27"/>
      <c r="AI1348" s="27"/>
      <c r="AJ1348" s="42"/>
      <c r="AK1348" s="27"/>
      <c r="AL1348" s="27"/>
      <c r="AM1348" s="27"/>
      <c r="AN1348" s="27"/>
      <c r="AO1348" s="27"/>
      <c r="AP1348" s="27"/>
      <c r="AQ1348" s="27"/>
    </row>
    <row r="1349" spans="1:43" ht="15.75" customHeight="1">
      <c r="A1349" s="27"/>
      <c r="B1349" s="9"/>
      <c r="C1349" s="27"/>
      <c r="D1349" s="9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42"/>
      <c r="Y1349" s="42"/>
      <c r="Z1349" s="27"/>
      <c r="AA1349" s="27"/>
      <c r="AB1349" s="27"/>
      <c r="AC1349" s="9"/>
      <c r="AD1349" s="27"/>
      <c r="AE1349" s="9"/>
      <c r="AF1349" s="9"/>
      <c r="AG1349" s="27"/>
      <c r="AH1349" s="27"/>
      <c r="AI1349" s="27"/>
      <c r="AJ1349" s="42"/>
      <c r="AK1349" s="27"/>
      <c r="AL1349" s="27"/>
      <c r="AM1349" s="27"/>
      <c r="AN1349" s="27"/>
      <c r="AO1349" s="27"/>
      <c r="AP1349" s="27"/>
      <c r="AQ1349" s="27"/>
    </row>
    <row r="1350" spans="1:43" ht="15.75" customHeight="1">
      <c r="A1350" s="27"/>
      <c r="B1350" s="9"/>
      <c r="C1350" s="27"/>
      <c r="D1350" s="9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42"/>
      <c r="Y1350" s="42"/>
      <c r="Z1350" s="27"/>
      <c r="AA1350" s="27"/>
      <c r="AB1350" s="27"/>
      <c r="AC1350" s="9"/>
      <c r="AD1350" s="27"/>
      <c r="AE1350" s="9"/>
      <c r="AF1350" s="9"/>
      <c r="AG1350" s="27"/>
      <c r="AH1350" s="27"/>
      <c r="AI1350" s="27"/>
      <c r="AJ1350" s="42"/>
      <c r="AK1350" s="27"/>
      <c r="AL1350" s="27"/>
      <c r="AM1350" s="27"/>
      <c r="AN1350" s="27"/>
      <c r="AO1350" s="27"/>
      <c r="AP1350" s="27"/>
      <c r="AQ1350" s="27"/>
    </row>
    <row r="1351" spans="1:43" ht="15.75" customHeight="1">
      <c r="A1351" s="27"/>
      <c r="B1351" s="9"/>
      <c r="C1351" s="27"/>
      <c r="D1351" s="9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42"/>
      <c r="Y1351" s="42"/>
      <c r="Z1351" s="27"/>
      <c r="AA1351" s="27"/>
      <c r="AB1351" s="27"/>
      <c r="AC1351" s="9"/>
      <c r="AD1351" s="27"/>
      <c r="AE1351" s="9"/>
      <c r="AF1351" s="9"/>
      <c r="AG1351" s="27"/>
      <c r="AH1351" s="27"/>
      <c r="AI1351" s="27"/>
      <c r="AJ1351" s="42"/>
      <c r="AK1351" s="27"/>
      <c r="AL1351" s="27"/>
      <c r="AM1351" s="27"/>
      <c r="AN1351" s="27"/>
      <c r="AO1351" s="27"/>
      <c r="AP1351" s="27"/>
      <c r="AQ1351" s="27"/>
    </row>
    <row r="1352" spans="1:43" ht="15.75" customHeight="1">
      <c r="A1352" s="27"/>
      <c r="B1352" s="9"/>
      <c r="C1352" s="27"/>
      <c r="D1352" s="9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42"/>
      <c r="Y1352" s="42"/>
      <c r="Z1352" s="27"/>
      <c r="AA1352" s="27"/>
      <c r="AB1352" s="27"/>
      <c r="AC1352" s="9"/>
      <c r="AD1352" s="27"/>
      <c r="AE1352" s="9"/>
      <c r="AF1352" s="9"/>
      <c r="AG1352" s="27"/>
      <c r="AH1352" s="27"/>
      <c r="AI1352" s="27"/>
      <c r="AJ1352" s="42"/>
      <c r="AK1352" s="27"/>
      <c r="AL1352" s="27"/>
      <c r="AM1352" s="27"/>
      <c r="AN1352" s="27"/>
      <c r="AO1352" s="27"/>
      <c r="AP1352" s="27"/>
      <c r="AQ1352" s="27"/>
    </row>
    <row r="1353" spans="1:43" ht="15.75" customHeight="1">
      <c r="A1353" s="27"/>
      <c r="B1353" s="9"/>
      <c r="C1353" s="27"/>
      <c r="D1353" s="9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42"/>
      <c r="Y1353" s="42"/>
      <c r="Z1353" s="27"/>
      <c r="AA1353" s="27"/>
      <c r="AB1353" s="27"/>
      <c r="AC1353" s="9"/>
      <c r="AD1353" s="27"/>
      <c r="AE1353" s="9"/>
      <c r="AF1353" s="9"/>
      <c r="AG1353" s="27"/>
      <c r="AH1353" s="27"/>
      <c r="AI1353" s="27"/>
      <c r="AJ1353" s="42"/>
      <c r="AK1353" s="27"/>
      <c r="AL1353" s="27"/>
      <c r="AM1353" s="27"/>
      <c r="AN1353" s="27"/>
      <c r="AO1353" s="27"/>
      <c r="AP1353" s="27"/>
      <c r="AQ1353" s="27"/>
    </row>
    <row r="1354" spans="1:43" ht="15.75" customHeight="1">
      <c r="A1354" s="27"/>
      <c r="B1354" s="9"/>
      <c r="C1354" s="27"/>
      <c r="D1354" s="9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42"/>
      <c r="Y1354" s="42"/>
      <c r="Z1354" s="27"/>
      <c r="AA1354" s="27"/>
      <c r="AB1354" s="27"/>
      <c r="AC1354" s="9"/>
      <c r="AD1354" s="27"/>
      <c r="AE1354" s="9"/>
      <c r="AF1354" s="9"/>
      <c r="AG1354" s="27"/>
      <c r="AH1354" s="27"/>
      <c r="AI1354" s="27"/>
      <c r="AJ1354" s="42"/>
      <c r="AK1354" s="27"/>
      <c r="AL1354" s="27"/>
      <c r="AM1354" s="27"/>
      <c r="AN1354" s="27"/>
      <c r="AO1354" s="27"/>
      <c r="AP1354" s="27"/>
      <c r="AQ1354" s="27"/>
    </row>
    <row r="1355" spans="1:43" ht="15.75" customHeight="1">
      <c r="A1355" s="27"/>
      <c r="B1355" s="9"/>
      <c r="C1355" s="27"/>
      <c r="D1355" s="9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42"/>
      <c r="Y1355" s="42"/>
      <c r="Z1355" s="27"/>
      <c r="AA1355" s="27"/>
      <c r="AB1355" s="27"/>
      <c r="AC1355" s="9"/>
      <c r="AD1355" s="27"/>
      <c r="AE1355" s="9"/>
      <c r="AF1355" s="9"/>
      <c r="AG1355" s="27"/>
      <c r="AH1355" s="27"/>
      <c r="AI1355" s="27"/>
      <c r="AJ1355" s="42"/>
      <c r="AK1355" s="27"/>
      <c r="AL1355" s="27"/>
      <c r="AM1355" s="27"/>
      <c r="AN1355" s="27"/>
      <c r="AO1355" s="27"/>
      <c r="AP1355" s="27"/>
      <c r="AQ1355" s="27"/>
    </row>
    <row r="1356" spans="1:43" ht="15.75" customHeight="1">
      <c r="A1356" s="27"/>
      <c r="B1356" s="9"/>
      <c r="C1356" s="27"/>
      <c r="D1356" s="9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42"/>
      <c r="Y1356" s="42"/>
      <c r="Z1356" s="27"/>
      <c r="AA1356" s="27"/>
      <c r="AB1356" s="27"/>
      <c r="AC1356" s="9"/>
      <c r="AD1356" s="27"/>
      <c r="AE1356" s="9"/>
      <c r="AF1356" s="9"/>
      <c r="AG1356" s="27"/>
      <c r="AH1356" s="27"/>
      <c r="AI1356" s="27"/>
      <c r="AJ1356" s="42"/>
      <c r="AK1356" s="27"/>
      <c r="AL1356" s="27"/>
      <c r="AM1356" s="27"/>
      <c r="AN1356" s="27"/>
      <c r="AO1356" s="27"/>
      <c r="AP1356" s="27"/>
      <c r="AQ1356" s="27"/>
    </row>
    <row r="1357" spans="1:43" ht="15.75" customHeight="1">
      <c r="A1357" s="27"/>
      <c r="B1357" s="9"/>
      <c r="C1357" s="27"/>
      <c r="D1357" s="9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42"/>
      <c r="Y1357" s="42"/>
      <c r="Z1357" s="27"/>
      <c r="AA1357" s="27"/>
      <c r="AB1357" s="27"/>
      <c r="AC1357" s="9"/>
      <c r="AD1357" s="27"/>
      <c r="AE1357" s="9"/>
      <c r="AF1357" s="9"/>
      <c r="AG1357" s="27"/>
      <c r="AH1357" s="27"/>
      <c r="AI1357" s="27"/>
      <c r="AJ1357" s="42"/>
      <c r="AK1357" s="27"/>
      <c r="AL1357" s="27"/>
      <c r="AM1357" s="27"/>
      <c r="AN1357" s="27"/>
      <c r="AO1357" s="27"/>
      <c r="AP1357" s="27"/>
      <c r="AQ1357" s="27"/>
    </row>
    <row r="1358" spans="1:43" ht="15.75" customHeight="1">
      <c r="A1358" s="27"/>
      <c r="B1358" s="9"/>
      <c r="C1358" s="27"/>
      <c r="D1358" s="9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42"/>
      <c r="Y1358" s="42"/>
      <c r="Z1358" s="27"/>
      <c r="AA1358" s="27"/>
      <c r="AB1358" s="27"/>
      <c r="AC1358" s="9"/>
      <c r="AD1358" s="27"/>
      <c r="AE1358" s="9"/>
      <c r="AF1358" s="9"/>
      <c r="AG1358" s="27"/>
      <c r="AH1358" s="27"/>
      <c r="AI1358" s="27"/>
      <c r="AJ1358" s="42"/>
      <c r="AK1358" s="27"/>
      <c r="AL1358" s="27"/>
      <c r="AM1358" s="27"/>
      <c r="AN1358" s="27"/>
      <c r="AO1358" s="27"/>
      <c r="AP1358" s="27"/>
      <c r="AQ1358" s="27"/>
    </row>
    <row r="1359" spans="1:43" ht="15.75" customHeight="1">
      <c r="A1359" s="27"/>
      <c r="B1359" s="9"/>
      <c r="C1359" s="27"/>
      <c r="D1359" s="9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42"/>
      <c r="Y1359" s="42"/>
      <c r="Z1359" s="27"/>
      <c r="AA1359" s="27"/>
      <c r="AB1359" s="27"/>
      <c r="AC1359" s="9"/>
      <c r="AD1359" s="27"/>
      <c r="AE1359" s="9"/>
      <c r="AF1359" s="9"/>
      <c r="AG1359" s="27"/>
      <c r="AH1359" s="27"/>
      <c r="AI1359" s="27"/>
      <c r="AJ1359" s="42"/>
      <c r="AK1359" s="27"/>
      <c r="AL1359" s="27"/>
      <c r="AM1359" s="27"/>
      <c r="AN1359" s="27"/>
      <c r="AO1359" s="27"/>
      <c r="AP1359" s="27"/>
      <c r="AQ1359" s="27"/>
    </row>
    <row r="1360" spans="1:43" ht="15.75" customHeight="1">
      <c r="A1360" s="27"/>
      <c r="B1360" s="9"/>
      <c r="C1360" s="27"/>
      <c r="D1360" s="9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42"/>
      <c r="Y1360" s="42"/>
      <c r="Z1360" s="27"/>
      <c r="AA1360" s="27"/>
      <c r="AB1360" s="27"/>
      <c r="AC1360" s="9"/>
      <c r="AD1360" s="27"/>
      <c r="AE1360" s="9"/>
      <c r="AF1360" s="9"/>
      <c r="AG1360" s="27"/>
      <c r="AH1360" s="27"/>
      <c r="AI1360" s="27"/>
      <c r="AJ1360" s="42"/>
      <c r="AK1360" s="27"/>
      <c r="AL1360" s="27"/>
      <c r="AM1360" s="27"/>
      <c r="AN1360" s="27"/>
      <c r="AO1360" s="27"/>
      <c r="AP1360" s="27"/>
      <c r="AQ1360" s="27"/>
    </row>
    <row r="1361" spans="1:43" ht="15.75" customHeight="1">
      <c r="A1361" s="27"/>
      <c r="B1361" s="9"/>
      <c r="C1361" s="27"/>
      <c r="D1361" s="9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42"/>
      <c r="Y1361" s="42"/>
      <c r="Z1361" s="27"/>
      <c r="AA1361" s="27"/>
      <c r="AB1361" s="27"/>
      <c r="AC1361" s="9"/>
      <c r="AD1361" s="27"/>
      <c r="AE1361" s="9"/>
      <c r="AF1361" s="9"/>
      <c r="AG1361" s="27"/>
      <c r="AH1361" s="27"/>
      <c r="AI1361" s="27"/>
      <c r="AJ1361" s="42"/>
      <c r="AK1361" s="27"/>
      <c r="AL1361" s="27"/>
      <c r="AM1361" s="27"/>
      <c r="AN1361" s="27"/>
      <c r="AO1361" s="27"/>
      <c r="AP1361" s="27"/>
      <c r="AQ1361" s="27"/>
    </row>
    <row r="1362" spans="1:43" ht="15.75" customHeight="1">
      <c r="A1362" s="27"/>
      <c r="B1362" s="9"/>
      <c r="C1362" s="27"/>
      <c r="D1362" s="9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42"/>
      <c r="Y1362" s="42"/>
      <c r="Z1362" s="27"/>
      <c r="AA1362" s="27"/>
      <c r="AB1362" s="27"/>
      <c r="AC1362" s="9"/>
      <c r="AD1362" s="27"/>
      <c r="AE1362" s="9"/>
      <c r="AF1362" s="9"/>
      <c r="AG1362" s="27"/>
      <c r="AH1362" s="27"/>
      <c r="AI1362" s="27"/>
      <c r="AJ1362" s="42"/>
      <c r="AK1362" s="27"/>
      <c r="AL1362" s="27"/>
      <c r="AM1362" s="27"/>
      <c r="AN1362" s="27"/>
      <c r="AO1362" s="27"/>
      <c r="AP1362" s="27"/>
      <c r="AQ1362" s="27"/>
    </row>
    <row r="1363" spans="1:43" ht="15.75" customHeight="1">
      <c r="A1363" s="27"/>
      <c r="B1363" s="9"/>
      <c r="C1363" s="27"/>
      <c r="D1363" s="9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42"/>
      <c r="Y1363" s="42"/>
      <c r="Z1363" s="27"/>
      <c r="AA1363" s="27"/>
      <c r="AB1363" s="27"/>
      <c r="AC1363" s="9"/>
      <c r="AD1363" s="27"/>
      <c r="AE1363" s="9"/>
      <c r="AF1363" s="9"/>
      <c r="AG1363" s="27"/>
      <c r="AH1363" s="27"/>
      <c r="AI1363" s="27"/>
      <c r="AJ1363" s="42"/>
      <c r="AK1363" s="27"/>
      <c r="AL1363" s="27"/>
      <c r="AM1363" s="27"/>
      <c r="AN1363" s="27"/>
      <c r="AO1363" s="27"/>
      <c r="AP1363" s="27"/>
      <c r="AQ1363" s="27"/>
    </row>
    <row r="1364" spans="1:43" ht="15.75" customHeight="1">
      <c r="A1364" s="27"/>
      <c r="B1364" s="9"/>
      <c r="C1364" s="27"/>
      <c r="D1364" s="9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42"/>
      <c r="Y1364" s="42"/>
      <c r="Z1364" s="27"/>
      <c r="AA1364" s="27"/>
      <c r="AB1364" s="27"/>
      <c r="AC1364" s="9"/>
      <c r="AD1364" s="27"/>
      <c r="AE1364" s="9"/>
      <c r="AF1364" s="9"/>
      <c r="AG1364" s="27"/>
      <c r="AH1364" s="27"/>
      <c r="AI1364" s="27"/>
      <c r="AJ1364" s="42"/>
      <c r="AK1364" s="27"/>
      <c r="AL1364" s="27"/>
      <c r="AM1364" s="27"/>
      <c r="AN1364" s="27"/>
      <c r="AO1364" s="27"/>
      <c r="AP1364" s="27"/>
      <c r="AQ1364" s="27"/>
    </row>
    <row r="1365" spans="1:43" ht="15.75" customHeight="1">
      <c r="A1365" s="27"/>
      <c r="B1365" s="9"/>
      <c r="C1365" s="27"/>
      <c r="D1365" s="9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42"/>
      <c r="Y1365" s="42"/>
      <c r="Z1365" s="27"/>
      <c r="AA1365" s="27"/>
      <c r="AB1365" s="27"/>
      <c r="AC1365" s="9"/>
      <c r="AD1365" s="27"/>
      <c r="AE1365" s="9"/>
      <c r="AF1365" s="9"/>
      <c r="AG1365" s="27"/>
      <c r="AH1365" s="27"/>
      <c r="AI1365" s="27"/>
      <c r="AJ1365" s="42"/>
      <c r="AK1365" s="27"/>
      <c r="AL1365" s="27"/>
      <c r="AM1365" s="27"/>
      <c r="AN1365" s="27"/>
      <c r="AO1365" s="27"/>
      <c r="AP1365" s="27"/>
      <c r="AQ1365" s="27"/>
    </row>
    <row r="1366" spans="1:43" ht="15.75" customHeight="1">
      <c r="A1366" s="27"/>
      <c r="B1366" s="9"/>
      <c r="C1366" s="27"/>
      <c r="D1366" s="9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42"/>
      <c r="Y1366" s="42"/>
      <c r="Z1366" s="27"/>
      <c r="AA1366" s="27"/>
      <c r="AB1366" s="27"/>
      <c r="AC1366" s="9"/>
      <c r="AD1366" s="27"/>
      <c r="AE1366" s="9"/>
      <c r="AF1366" s="9"/>
      <c r="AG1366" s="27"/>
      <c r="AH1366" s="27"/>
      <c r="AI1366" s="27"/>
      <c r="AJ1366" s="42"/>
      <c r="AK1366" s="27"/>
      <c r="AL1366" s="27"/>
      <c r="AM1366" s="27"/>
      <c r="AN1366" s="27"/>
      <c r="AO1366" s="27"/>
      <c r="AP1366" s="27"/>
      <c r="AQ1366" s="27"/>
    </row>
    <row r="1367" spans="1:43" ht="15.75" customHeight="1">
      <c r="A1367" s="27"/>
      <c r="B1367" s="9"/>
      <c r="C1367" s="27"/>
      <c r="D1367" s="9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42"/>
      <c r="Y1367" s="42"/>
      <c r="Z1367" s="27"/>
      <c r="AA1367" s="27"/>
      <c r="AB1367" s="27"/>
      <c r="AC1367" s="9"/>
      <c r="AD1367" s="27"/>
      <c r="AE1367" s="9"/>
      <c r="AF1367" s="9"/>
      <c r="AG1367" s="27"/>
      <c r="AH1367" s="27"/>
      <c r="AI1367" s="27"/>
      <c r="AJ1367" s="42"/>
      <c r="AK1367" s="27"/>
      <c r="AL1367" s="27"/>
      <c r="AM1367" s="27"/>
      <c r="AN1367" s="27"/>
      <c r="AO1367" s="27"/>
      <c r="AP1367" s="27"/>
      <c r="AQ1367" s="27"/>
    </row>
    <row r="1368" spans="1:43" ht="15.75" customHeight="1">
      <c r="A1368" s="27"/>
      <c r="B1368" s="9"/>
      <c r="C1368" s="27"/>
      <c r="D1368" s="9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42"/>
      <c r="Y1368" s="42"/>
      <c r="Z1368" s="27"/>
      <c r="AA1368" s="27"/>
      <c r="AB1368" s="27"/>
      <c r="AC1368" s="9"/>
      <c r="AD1368" s="27"/>
      <c r="AE1368" s="9"/>
      <c r="AF1368" s="9"/>
      <c r="AG1368" s="27"/>
      <c r="AH1368" s="27"/>
      <c r="AI1368" s="27"/>
      <c r="AJ1368" s="42"/>
      <c r="AK1368" s="27"/>
      <c r="AL1368" s="27"/>
      <c r="AM1368" s="27"/>
      <c r="AN1368" s="27"/>
      <c r="AO1368" s="27"/>
      <c r="AP1368" s="27"/>
      <c r="AQ1368" s="27"/>
    </row>
    <row r="1369" spans="1:43" ht="15.75" customHeight="1">
      <c r="A1369" s="27"/>
      <c r="B1369" s="9"/>
      <c r="C1369" s="27"/>
      <c r="D1369" s="9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42"/>
      <c r="Y1369" s="42"/>
      <c r="Z1369" s="27"/>
      <c r="AA1369" s="27"/>
      <c r="AB1369" s="27"/>
      <c r="AC1369" s="9"/>
      <c r="AD1369" s="27"/>
      <c r="AE1369" s="9"/>
      <c r="AF1369" s="9"/>
      <c r="AG1369" s="27"/>
      <c r="AH1369" s="27"/>
      <c r="AI1369" s="27"/>
      <c r="AJ1369" s="42"/>
      <c r="AK1369" s="27"/>
      <c r="AL1369" s="27"/>
      <c r="AM1369" s="27"/>
      <c r="AN1369" s="27"/>
      <c r="AO1369" s="27"/>
      <c r="AP1369" s="27"/>
      <c r="AQ1369" s="27"/>
    </row>
    <row r="1370" spans="1:43" ht="15.75" customHeight="1">
      <c r="A1370" s="27"/>
      <c r="B1370" s="9"/>
      <c r="C1370" s="27"/>
      <c r="D1370" s="9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42"/>
      <c r="Y1370" s="42"/>
      <c r="Z1370" s="27"/>
      <c r="AA1370" s="27"/>
      <c r="AB1370" s="27"/>
      <c r="AC1370" s="9"/>
      <c r="AD1370" s="27"/>
      <c r="AE1370" s="9"/>
      <c r="AF1370" s="9"/>
      <c r="AG1370" s="27"/>
      <c r="AH1370" s="27"/>
      <c r="AI1370" s="27"/>
      <c r="AJ1370" s="42"/>
      <c r="AK1370" s="27"/>
      <c r="AL1370" s="27"/>
      <c r="AM1370" s="27"/>
      <c r="AN1370" s="27"/>
      <c r="AO1370" s="27"/>
      <c r="AP1370" s="27"/>
      <c r="AQ1370" s="27"/>
    </row>
    <row r="1371" spans="1:43" ht="15.75" customHeight="1">
      <c r="A1371" s="27"/>
      <c r="B1371" s="9"/>
      <c r="C1371" s="27"/>
      <c r="D1371" s="9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42"/>
      <c r="Y1371" s="42"/>
      <c r="Z1371" s="27"/>
      <c r="AA1371" s="27"/>
      <c r="AB1371" s="27"/>
      <c r="AC1371" s="9"/>
      <c r="AD1371" s="27"/>
      <c r="AE1371" s="9"/>
      <c r="AF1371" s="9"/>
      <c r="AG1371" s="27"/>
      <c r="AH1371" s="27"/>
      <c r="AI1371" s="27"/>
      <c r="AJ1371" s="42"/>
      <c r="AK1371" s="27"/>
      <c r="AL1371" s="27"/>
      <c r="AM1371" s="27"/>
      <c r="AN1371" s="27"/>
      <c r="AO1371" s="27"/>
      <c r="AP1371" s="27"/>
      <c r="AQ1371" s="27"/>
    </row>
    <row r="1372" spans="1:43" ht="15.75" customHeight="1">
      <c r="A1372" s="27"/>
      <c r="B1372" s="9"/>
      <c r="C1372" s="27"/>
      <c r="D1372" s="9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42"/>
      <c r="Y1372" s="42"/>
      <c r="Z1372" s="27"/>
      <c r="AA1372" s="27"/>
      <c r="AB1372" s="27"/>
      <c r="AC1372" s="9"/>
      <c r="AD1372" s="27"/>
      <c r="AE1372" s="9"/>
      <c r="AF1372" s="9"/>
      <c r="AG1372" s="27"/>
      <c r="AH1372" s="27"/>
      <c r="AI1372" s="27"/>
      <c r="AJ1372" s="42"/>
      <c r="AK1372" s="27"/>
      <c r="AL1372" s="27"/>
      <c r="AM1372" s="27"/>
      <c r="AN1372" s="27"/>
      <c r="AO1372" s="27"/>
      <c r="AP1372" s="27"/>
      <c r="AQ1372" s="27"/>
    </row>
    <row r="1373" spans="1:43" ht="15.75" customHeight="1">
      <c r="A1373" s="27"/>
      <c r="B1373" s="9"/>
      <c r="C1373" s="27"/>
      <c r="D1373" s="9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42"/>
      <c r="Y1373" s="42"/>
      <c r="Z1373" s="27"/>
      <c r="AA1373" s="27"/>
      <c r="AB1373" s="27"/>
      <c r="AC1373" s="9"/>
      <c r="AD1373" s="27"/>
      <c r="AE1373" s="9"/>
      <c r="AF1373" s="9"/>
      <c r="AG1373" s="27"/>
      <c r="AH1373" s="27"/>
      <c r="AI1373" s="27"/>
      <c r="AJ1373" s="42"/>
      <c r="AK1373" s="27"/>
      <c r="AL1373" s="27"/>
      <c r="AM1373" s="27"/>
      <c r="AN1373" s="27"/>
      <c r="AO1373" s="27"/>
      <c r="AP1373" s="27"/>
      <c r="AQ1373" s="27"/>
    </row>
    <row r="1374" spans="1:43" ht="15.75" customHeight="1">
      <c r="A1374" s="27"/>
      <c r="B1374" s="9"/>
      <c r="C1374" s="27"/>
      <c r="D1374" s="9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42"/>
      <c r="Y1374" s="42"/>
      <c r="Z1374" s="27"/>
      <c r="AA1374" s="27"/>
      <c r="AB1374" s="27"/>
      <c r="AC1374" s="9"/>
      <c r="AD1374" s="27"/>
      <c r="AE1374" s="9"/>
      <c r="AF1374" s="9"/>
      <c r="AG1374" s="27"/>
      <c r="AH1374" s="27"/>
      <c r="AI1374" s="27"/>
      <c r="AJ1374" s="42"/>
      <c r="AK1374" s="27"/>
      <c r="AL1374" s="27"/>
      <c r="AM1374" s="27"/>
      <c r="AN1374" s="27"/>
      <c r="AO1374" s="27"/>
      <c r="AP1374" s="27"/>
      <c r="AQ1374" s="27"/>
    </row>
    <row r="1375" spans="1:43" ht="15.75" customHeight="1">
      <c r="A1375" s="27"/>
      <c r="B1375" s="9"/>
      <c r="C1375" s="27"/>
      <c r="D1375" s="9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42"/>
      <c r="Y1375" s="42"/>
      <c r="Z1375" s="27"/>
      <c r="AA1375" s="27"/>
      <c r="AB1375" s="27"/>
      <c r="AC1375" s="9"/>
      <c r="AD1375" s="27"/>
      <c r="AE1375" s="9"/>
      <c r="AF1375" s="9"/>
      <c r="AG1375" s="27"/>
      <c r="AH1375" s="27"/>
      <c r="AI1375" s="27"/>
      <c r="AJ1375" s="42"/>
      <c r="AK1375" s="27"/>
      <c r="AL1375" s="27"/>
      <c r="AM1375" s="27"/>
      <c r="AN1375" s="27"/>
      <c r="AO1375" s="27"/>
      <c r="AP1375" s="27"/>
      <c r="AQ1375" s="27"/>
    </row>
    <row r="1376" spans="1:43" ht="15.75" customHeight="1">
      <c r="A1376" s="27"/>
      <c r="B1376" s="9"/>
      <c r="C1376" s="27"/>
      <c r="D1376" s="9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42"/>
      <c r="Y1376" s="42"/>
      <c r="Z1376" s="27"/>
      <c r="AA1376" s="27"/>
      <c r="AB1376" s="27"/>
      <c r="AC1376" s="9"/>
      <c r="AD1376" s="27"/>
      <c r="AE1376" s="9"/>
      <c r="AF1376" s="9"/>
      <c r="AG1376" s="27"/>
      <c r="AH1376" s="27"/>
      <c r="AI1376" s="27"/>
      <c r="AJ1376" s="42"/>
      <c r="AK1376" s="27"/>
      <c r="AL1376" s="27"/>
      <c r="AM1376" s="27"/>
      <c r="AN1376" s="27"/>
      <c r="AO1376" s="27"/>
      <c r="AP1376" s="27"/>
      <c r="AQ1376" s="27"/>
    </row>
    <row r="1377" spans="1:43" ht="15.75" customHeight="1">
      <c r="A1377" s="27"/>
      <c r="B1377" s="9"/>
      <c r="C1377" s="27"/>
      <c r="D1377" s="9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42"/>
      <c r="Y1377" s="42"/>
      <c r="Z1377" s="27"/>
      <c r="AA1377" s="27"/>
      <c r="AB1377" s="27"/>
      <c r="AC1377" s="9"/>
      <c r="AD1377" s="27"/>
      <c r="AE1377" s="9"/>
      <c r="AF1377" s="9"/>
      <c r="AG1377" s="27"/>
      <c r="AH1377" s="27"/>
      <c r="AI1377" s="27"/>
      <c r="AJ1377" s="42"/>
      <c r="AK1377" s="27"/>
      <c r="AL1377" s="27"/>
      <c r="AM1377" s="27"/>
      <c r="AN1377" s="27"/>
      <c r="AO1377" s="27"/>
      <c r="AP1377" s="27"/>
      <c r="AQ1377" s="27"/>
    </row>
    <row r="1378" spans="1:43" ht="15.75" customHeight="1">
      <c r="A1378" s="27"/>
      <c r="B1378" s="9"/>
      <c r="C1378" s="27"/>
      <c r="D1378" s="9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42"/>
      <c r="Y1378" s="42"/>
      <c r="Z1378" s="27"/>
      <c r="AA1378" s="27"/>
      <c r="AB1378" s="27"/>
      <c r="AC1378" s="9"/>
      <c r="AD1378" s="27"/>
      <c r="AE1378" s="9"/>
      <c r="AF1378" s="9"/>
      <c r="AG1378" s="27"/>
      <c r="AH1378" s="27"/>
      <c r="AI1378" s="27"/>
      <c r="AJ1378" s="42"/>
      <c r="AK1378" s="27"/>
      <c r="AL1378" s="27"/>
      <c r="AM1378" s="27"/>
      <c r="AN1378" s="27"/>
      <c r="AO1378" s="27"/>
      <c r="AP1378" s="27"/>
      <c r="AQ1378" s="27"/>
    </row>
    <row r="1379" spans="1:43" ht="15.75" customHeight="1">
      <c r="A1379" s="27"/>
      <c r="B1379" s="9"/>
      <c r="C1379" s="27"/>
      <c r="D1379" s="9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42"/>
      <c r="Y1379" s="42"/>
      <c r="Z1379" s="27"/>
      <c r="AA1379" s="27"/>
      <c r="AB1379" s="27"/>
      <c r="AC1379" s="9"/>
      <c r="AD1379" s="27"/>
      <c r="AE1379" s="9"/>
      <c r="AF1379" s="9"/>
      <c r="AG1379" s="27"/>
      <c r="AH1379" s="27"/>
      <c r="AI1379" s="27"/>
      <c r="AJ1379" s="42"/>
      <c r="AK1379" s="27"/>
      <c r="AL1379" s="27"/>
      <c r="AM1379" s="27"/>
      <c r="AN1379" s="27"/>
      <c r="AO1379" s="27"/>
      <c r="AP1379" s="27"/>
      <c r="AQ1379" s="27"/>
    </row>
    <row r="1380" spans="1:43" ht="15.75" customHeight="1">
      <c r="A1380" s="27"/>
      <c r="B1380" s="9"/>
      <c r="C1380" s="27"/>
      <c r="D1380" s="9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42"/>
      <c r="Y1380" s="42"/>
      <c r="Z1380" s="27"/>
      <c r="AA1380" s="27"/>
      <c r="AB1380" s="27"/>
      <c r="AC1380" s="9"/>
      <c r="AD1380" s="27"/>
      <c r="AE1380" s="9"/>
      <c r="AF1380" s="9"/>
      <c r="AG1380" s="27"/>
      <c r="AH1380" s="27"/>
      <c r="AI1380" s="27"/>
      <c r="AJ1380" s="42"/>
      <c r="AK1380" s="27"/>
      <c r="AL1380" s="27"/>
      <c r="AM1380" s="27"/>
      <c r="AN1380" s="27"/>
      <c r="AO1380" s="27"/>
      <c r="AP1380" s="27"/>
      <c r="AQ1380" s="27"/>
    </row>
    <row r="1381" spans="1:43" ht="15.75" customHeight="1">
      <c r="A1381" s="27"/>
      <c r="B1381" s="9"/>
      <c r="C1381" s="27"/>
      <c r="D1381" s="9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42"/>
      <c r="Y1381" s="42"/>
      <c r="Z1381" s="27"/>
      <c r="AA1381" s="27"/>
      <c r="AB1381" s="27"/>
      <c r="AC1381" s="9"/>
      <c r="AD1381" s="27"/>
      <c r="AE1381" s="9"/>
      <c r="AF1381" s="9"/>
      <c r="AG1381" s="27"/>
      <c r="AH1381" s="27"/>
      <c r="AI1381" s="27"/>
      <c r="AJ1381" s="42"/>
      <c r="AK1381" s="27"/>
      <c r="AL1381" s="27"/>
      <c r="AM1381" s="27"/>
      <c r="AN1381" s="27"/>
      <c r="AO1381" s="27"/>
      <c r="AP1381" s="27"/>
      <c r="AQ1381" s="27"/>
    </row>
    <row r="1382" spans="1:43" ht="15.75" customHeight="1">
      <c r="A1382" s="27"/>
      <c r="B1382" s="9"/>
      <c r="C1382" s="27"/>
      <c r="D1382" s="9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42"/>
      <c r="Y1382" s="42"/>
      <c r="Z1382" s="27"/>
      <c r="AA1382" s="27"/>
      <c r="AB1382" s="27"/>
      <c r="AC1382" s="9"/>
      <c r="AD1382" s="27"/>
      <c r="AE1382" s="9"/>
      <c r="AF1382" s="9"/>
      <c r="AG1382" s="27"/>
      <c r="AH1382" s="27"/>
      <c r="AI1382" s="27"/>
      <c r="AJ1382" s="42"/>
      <c r="AK1382" s="27"/>
      <c r="AL1382" s="27"/>
      <c r="AM1382" s="27"/>
      <c r="AN1382" s="27"/>
      <c r="AO1382" s="27"/>
      <c r="AP1382" s="27"/>
      <c r="AQ1382" s="27"/>
    </row>
    <row r="1383" spans="1:43" ht="15.75" customHeight="1">
      <c r="A1383" s="27"/>
      <c r="B1383" s="9"/>
      <c r="C1383" s="27"/>
      <c r="D1383" s="9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42"/>
      <c r="Y1383" s="42"/>
      <c r="Z1383" s="27"/>
      <c r="AA1383" s="27"/>
      <c r="AB1383" s="27"/>
      <c r="AC1383" s="9"/>
      <c r="AD1383" s="27"/>
      <c r="AE1383" s="9"/>
      <c r="AF1383" s="9"/>
      <c r="AG1383" s="27"/>
      <c r="AH1383" s="27"/>
      <c r="AI1383" s="27"/>
      <c r="AJ1383" s="42"/>
      <c r="AK1383" s="27"/>
      <c r="AL1383" s="27"/>
      <c r="AM1383" s="27"/>
      <c r="AN1383" s="27"/>
      <c r="AO1383" s="27"/>
      <c r="AP1383" s="27"/>
      <c r="AQ1383" s="27"/>
    </row>
    <row r="1384" spans="1:43" ht="15.75" customHeight="1">
      <c r="A1384" s="27"/>
      <c r="B1384" s="9"/>
      <c r="C1384" s="27"/>
      <c r="D1384" s="9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42"/>
      <c r="Y1384" s="42"/>
      <c r="Z1384" s="27"/>
      <c r="AA1384" s="27"/>
      <c r="AB1384" s="27"/>
      <c r="AC1384" s="9"/>
      <c r="AD1384" s="27"/>
      <c r="AE1384" s="9"/>
      <c r="AF1384" s="9"/>
      <c r="AG1384" s="27"/>
      <c r="AH1384" s="27"/>
      <c r="AI1384" s="27"/>
      <c r="AJ1384" s="42"/>
      <c r="AK1384" s="27"/>
      <c r="AL1384" s="27"/>
      <c r="AM1384" s="27"/>
      <c r="AN1384" s="27"/>
      <c r="AO1384" s="27"/>
      <c r="AP1384" s="27"/>
      <c r="AQ1384" s="27"/>
    </row>
    <row r="1385" spans="1:43" ht="15.75" customHeight="1">
      <c r="A1385" s="27"/>
      <c r="B1385" s="9"/>
      <c r="C1385" s="27"/>
      <c r="D1385" s="9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42"/>
      <c r="Y1385" s="42"/>
      <c r="Z1385" s="27"/>
      <c r="AA1385" s="27"/>
      <c r="AB1385" s="27"/>
      <c r="AC1385" s="9"/>
      <c r="AD1385" s="27"/>
      <c r="AE1385" s="9"/>
      <c r="AF1385" s="9"/>
      <c r="AG1385" s="27"/>
      <c r="AH1385" s="27"/>
      <c r="AI1385" s="27"/>
      <c r="AJ1385" s="42"/>
      <c r="AK1385" s="27"/>
      <c r="AL1385" s="27"/>
      <c r="AM1385" s="27"/>
      <c r="AN1385" s="27"/>
      <c r="AO1385" s="27"/>
      <c r="AP1385" s="27"/>
      <c r="AQ1385" s="27"/>
    </row>
    <row r="1386" spans="1:43" ht="15.75" customHeight="1">
      <c r="A1386" s="27"/>
      <c r="B1386" s="9"/>
      <c r="C1386" s="27"/>
      <c r="D1386" s="9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42"/>
      <c r="Y1386" s="42"/>
      <c r="Z1386" s="27"/>
      <c r="AA1386" s="27"/>
      <c r="AB1386" s="27"/>
      <c r="AC1386" s="9"/>
      <c r="AD1386" s="27"/>
      <c r="AE1386" s="9"/>
      <c r="AF1386" s="9"/>
      <c r="AG1386" s="27"/>
      <c r="AH1386" s="27"/>
      <c r="AI1386" s="27"/>
      <c r="AJ1386" s="42"/>
      <c r="AK1386" s="27"/>
      <c r="AL1386" s="27"/>
      <c r="AM1386" s="27"/>
      <c r="AN1386" s="27"/>
      <c r="AO1386" s="27"/>
      <c r="AP1386" s="27"/>
      <c r="AQ1386" s="27"/>
    </row>
    <row r="1387" spans="1:43" ht="15.75" customHeight="1">
      <c r="A1387" s="27"/>
      <c r="B1387" s="9"/>
      <c r="C1387" s="27"/>
      <c r="D1387" s="9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42"/>
      <c r="Y1387" s="42"/>
      <c r="Z1387" s="27"/>
      <c r="AA1387" s="27"/>
      <c r="AB1387" s="27"/>
      <c r="AC1387" s="9"/>
      <c r="AD1387" s="27"/>
      <c r="AE1387" s="9"/>
      <c r="AF1387" s="9"/>
      <c r="AG1387" s="27"/>
      <c r="AH1387" s="27"/>
      <c r="AI1387" s="27"/>
      <c r="AJ1387" s="42"/>
      <c r="AK1387" s="27"/>
      <c r="AL1387" s="27"/>
      <c r="AM1387" s="27"/>
      <c r="AN1387" s="27"/>
      <c r="AO1387" s="27"/>
      <c r="AP1387" s="27"/>
      <c r="AQ1387" s="27"/>
    </row>
    <row r="1388" spans="1:43" ht="15.75" customHeight="1">
      <c r="A1388" s="27"/>
      <c r="B1388" s="9"/>
      <c r="C1388" s="27"/>
      <c r="D1388" s="9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42"/>
      <c r="Y1388" s="42"/>
      <c r="Z1388" s="27"/>
      <c r="AA1388" s="27"/>
      <c r="AB1388" s="27"/>
      <c r="AC1388" s="9"/>
      <c r="AD1388" s="27"/>
      <c r="AE1388" s="9"/>
      <c r="AF1388" s="9"/>
      <c r="AG1388" s="27"/>
      <c r="AH1388" s="27"/>
      <c r="AI1388" s="27"/>
      <c r="AJ1388" s="42"/>
      <c r="AK1388" s="27"/>
      <c r="AL1388" s="27"/>
      <c r="AM1388" s="27"/>
      <c r="AN1388" s="27"/>
      <c r="AO1388" s="27"/>
      <c r="AP1388" s="27"/>
      <c r="AQ1388" s="27"/>
    </row>
    <row r="1389" spans="1:43" ht="15.75" customHeight="1">
      <c r="A1389" s="27"/>
      <c r="B1389" s="9"/>
      <c r="C1389" s="27"/>
      <c r="D1389" s="9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42"/>
      <c r="Y1389" s="42"/>
      <c r="Z1389" s="27"/>
      <c r="AA1389" s="27"/>
      <c r="AB1389" s="27"/>
      <c r="AC1389" s="9"/>
      <c r="AD1389" s="27"/>
      <c r="AE1389" s="9"/>
      <c r="AF1389" s="9"/>
      <c r="AG1389" s="27"/>
      <c r="AH1389" s="27"/>
      <c r="AI1389" s="27"/>
      <c r="AJ1389" s="42"/>
      <c r="AK1389" s="27"/>
      <c r="AL1389" s="27"/>
      <c r="AM1389" s="27"/>
      <c r="AN1389" s="27"/>
      <c r="AO1389" s="27"/>
      <c r="AP1389" s="27"/>
      <c r="AQ1389" s="27"/>
    </row>
    <row r="1390" spans="1:43" ht="15.75" customHeight="1">
      <c r="A1390" s="27"/>
      <c r="B1390" s="9"/>
      <c r="C1390" s="27"/>
      <c r="D1390" s="9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42"/>
      <c r="Y1390" s="42"/>
      <c r="Z1390" s="27"/>
      <c r="AA1390" s="27"/>
      <c r="AB1390" s="27"/>
      <c r="AC1390" s="9"/>
      <c r="AD1390" s="27"/>
      <c r="AE1390" s="9"/>
      <c r="AF1390" s="9"/>
      <c r="AG1390" s="27"/>
      <c r="AH1390" s="27"/>
      <c r="AI1390" s="27"/>
      <c r="AJ1390" s="42"/>
      <c r="AK1390" s="27"/>
      <c r="AL1390" s="27"/>
      <c r="AM1390" s="27"/>
      <c r="AN1390" s="27"/>
      <c r="AO1390" s="27"/>
      <c r="AP1390" s="27"/>
      <c r="AQ1390" s="27"/>
    </row>
    <row r="1391" spans="1:43" ht="15.75" customHeight="1">
      <c r="A1391" s="27"/>
      <c r="B1391" s="9"/>
      <c r="C1391" s="27"/>
      <c r="D1391" s="9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42"/>
      <c r="Y1391" s="42"/>
      <c r="Z1391" s="27"/>
      <c r="AA1391" s="27"/>
      <c r="AB1391" s="27"/>
      <c r="AC1391" s="9"/>
      <c r="AD1391" s="27"/>
      <c r="AE1391" s="9"/>
      <c r="AF1391" s="9"/>
      <c r="AG1391" s="27"/>
      <c r="AH1391" s="27"/>
      <c r="AI1391" s="27"/>
      <c r="AJ1391" s="42"/>
      <c r="AK1391" s="27"/>
      <c r="AL1391" s="27"/>
      <c r="AM1391" s="27"/>
      <c r="AN1391" s="27"/>
      <c r="AO1391" s="27"/>
      <c r="AP1391" s="27"/>
      <c r="AQ1391" s="27"/>
    </row>
    <row r="1392" spans="1:43" ht="15.75" customHeight="1">
      <c r="A1392" s="27"/>
      <c r="B1392" s="9"/>
      <c r="C1392" s="27"/>
      <c r="D1392" s="9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42"/>
      <c r="Y1392" s="42"/>
      <c r="Z1392" s="27"/>
      <c r="AA1392" s="27"/>
      <c r="AB1392" s="27"/>
      <c r="AC1392" s="9"/>
      <c r="AD1392" s="27"/>
      <c r="AE1392" s="9"/>
      <c r="AF1392" s="9"/>
      <c r="AG1392" s="27"/>
      <c r="AH1392" s="27"/>
      <c r="AI1392" s="27"/>
      <c r="AJ1392" s="42"/>
      <c r="AK1392" s="27"/>
      <c r="AL1392" s="27"/>
      <c r="AM1392" s="27"/>
      <c r="AN1392" s="27"/>
      <c r="AO1392" s="27"/>
      <c r="AP1392" s="27"/>
      <c r="AQ1392" s="27"/>
    </row>
    <row r="1393" spans="1:43" ht="15.75" customHeight="1">
      <c r="A1393" s="27"/>
      <c r="B1393" s="9"/>
      <c r="C1393" s="27"/>
      <c r="D1393" s="9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42"/>
      <c r="Y1393" s="42"/>
      <c r="Z1393" s="27"/>
      <c r="AA1393" s="27"/>
      <c r="AB1393" s="27"/>
      <c r="AC1393" s="9"/>
      <c r="AD1393" s="27"/>
      <c r="AE1393" s="9"/>
      <c r="AF1393" s="9"/>
      <c r="AG1393" s="27"/>
      <c r="AH1393" s="27"/>
      <c r="AI1393" s="27"/>
      <c r="AJ1393" s="42"/>
      <c r="AK1393" s="27"/>
      <c r="AL1393" s="27"/>
      <c r="AM1393" s="27"/>
      <c r="AN1393" s="27"/>
      <c r="AO1393" s="27"/>
      <c r="AP1393" s="27"/>
      <c r="AQ1393" s="27"/>
    </row>
    <row r="1394" spans="1:43" ht="15.75" customHeight="1">
      <c r="A1394" s="27"/>
      <c r="B1394" s="9"/>
      <c r="C1394" s="27"/>
      <c r="D1394" s="9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42"/>
      <c r="Y1394" s="42"/>
      <c r="Z1394" s="27"/>
      <c r="AA1394" s="27"/>
      <c r="AB1394" s="27"/>
      <c r="AC1394" s="9"/>
      <c r="AD1394" s="27"/>
      <c r="AE1394" s="9"/>
      <c r="AF1394" s="9"/>
      <c r="AG1394" s="27"/>
      <c r="AH1394" s="27"/>
      <c r="AI1394" s="27"/>
      <c r="AJ1394" s="42"/>
      <c r="AK1394" s="27"/>
      <c r="AL1394" s="27"/>
      <c r="AM1394" s="27"/>
      <c r="AN1394" s="27"/>
      <c r="AO1394" s="27"/>
      <c r="AP1394" s="27"/>
      <c r="AQ1394" s="27"/>
    </row>
    <row r="1395" spans="1:43" ht="15.75" customHeight="1">
      <c r="A1395" s="27"/>
      <c r="B1395" s="9"/>
      <c r="C1395" s="27"/>
      <c r="D1395" s="9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42"/>
      <c r="Y1395" s="42"/>
      <c r="Z1395" s="27"/>
      <c r="AA1395" s="27"/>
      <c r="AB1395" s="27"/>
      <c r="AC1395" s="9"/>
      <c r="AD1395" s="27"/>
      <c r="AE1395" s="9"/>
      <c r="AF1395" s="9"/>
      <c r="AG1395" s="27"/>
      <c r="AH1395" s="27"/>
      <c r="AI1395" s="27"/>
      <c r="AJ1395" s="42"/>
      <c r="AK1395" s="27"/>
      <c r="AL1395" s="27"/>
      <c r="AM1395" s="27"/>
      <c r="AN1395" s="27"/>
      <c r="AO1395" s="27"/>
      <c r="AP1395" s="27"/>
      <c r="AQ1395" s="27"/>
    </row>
    <row r="1396" spans="1:43" ht="15.75" customHeight="1">
      <c r="A1396" s="27"/>
      <c r="B1396" s="9"/>
      <c r="C1396" s="27"/>
      <c r="D1396" s="9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42"/>
      <c r="Y1396" s="42"/>
      <c r="Z1396" s="27"/>
      <c r="AA1396" s="27"/>
      <c r="AB1396" s="27"/>
      <c r="AC1396" s="9"/>
      <c r="AD1396" s="27"/>
      <c r="AE1396" s="9"/>
      <c r="AF1396" s="9"/>
      <c r="AG1396" s="27"/>
      <c r="AH1396" s="27"/>
      <c r="AI1396" s="27"/>
      <c r="AJ1396" s="42"/>
      <c r="AK1396" s="27"/>
      <c r="AL1396" s="27"/>
      <c r="AM1396" s="27"/>
      <c r="AN1396" s="27"/>
      <c r="AO1396" s="27"/>
      <c r="AP1396" s="27"/>
      <c r="AQ1396" s="27"/>
    </row>
    <row r="1397" spans="1:43" ht="15.75" customHeight="1">
      <c r="A1397" s="27"/>
      <c r="B1397" s="9"/>
      <c r="C1397" s="27"/>
      <c r="D1397" s="9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42"/>
      <c r="Y1397" s="42"/>
      <c r="Z1397" s="27"/>
      <c r="AA1397" s="27"/>
      <c r="AB1397" s="27"/>
      <c r="AC1397" s="9"/>
      <c r="AD1397" s="27"/>
      <c r="AE1397" s="9"/>
      <c r="AF1397" s="9"/>
      <c r="AG1397" s="27"/>
      <c r="AH1397" s="27"/>
      <c r="AI1397" s="27"/>
      <c r="AJ1397" s="42"/>
      <c r="AK1397" s="27"/>
      <c r="AL1397" s="27"/>
      <c r="AM1397" s="27"/>
      <c r="AN1397" s="27"/>
      <c r="AO1397" s="27"/>
      <c r="AP1397" s="27"/>
      <c r="AQ1397" s="27"/>
    </row>
    <row r="1398" spans="1:43" ht="15.75" customHeight="1">
      <c r="A1398" s="27"/>
      <c r="B1398" s="9"/>
      <c r="C1398" s="27"/>
      <c r="D1398" s="9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42"/>
      <c r="Y1398" s="42"/>
      <c r="Z1398" s="27"/>
      <c r="AA1398" s="27"/>
      <c r="AB1398" s="27"/>
      <c r="AC1398" s="9"/>
      <c r="AD1398" s="27"/>
      <c r="AE1398" s="9"/>
      <c r="AF1398" s="9"/>
      <c r="AG1398" s="27"/>
      <c r="AH1398" s="27"/>
      <c r="AI1398" s="27"/>
      <c r="AJ1398" s="42"/>
      <c r="AK1398" s="27"/>
      <c r="AL1398" s="27"/>
      <c r="AM1398" s="27"/>
      <c r="AN1398" s="27"/>
      <c r="AO1398" s="27"/>
      <c r="AP1398" s="27"/>
      <c r="AQ1398" s="27"/>
    </row>
    <row r="1399" spans="1:43" ht="15.75" customHeight="1">
      <c r="A1399" s="27"/>
      <c r="B1399" s="9"/>
      <c r="C1399" s="27"/>
      <c r="D1399" s="9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42"/>
      <c r="Y1399" s="42"/>
      <c r="Z1399" s="27"/>
      <c r="AA1399" s="27"/>
      <c r="AB1399" s="27"/>
      <c r="AC1399" s="9"/>
      <c r="AD1399" s="27"/>
      <c r="AE1399" s="9"/>
      <c r="AF1399" s="9"/>
      <c r="AG1399" s="27"/>
      <c r="AH1399" s="27"/>
      <c r="AI1399" s="27"/>
      <c r="AJ1399" s="42"/>
      <c r="AK1399" s="27"/>
      <c r="AL1399" s="27"/>
      <c r="AM1399" s="27"/>
      <c r="AN1399" s="27"/>
      <c r="AO1399" s="27"/>
      <c r="AP1399" s="27"/>
      <c r="AQ1399" s="27"/>
    </row>
    <row r="1400" spans="1:43" ht="15.75" customHeight="1">
      <c r="A1400" s="27"/>
      <c r="B1400" s="9"/>
      <c r="C1400" s="27"/>
      <c r="D1400" s="9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42"/>
      <c r="Y1400" s="42"/>
      <c r="Z1400" s="27"/>
      <c r="AA1400" s="27"/>
      <c r="AB1400" s="27"/>
      <c r="AC1400" s="9"/>
      <c r="AD1400" s="27"/>
      <c r="AE1400" s="9"/>
      <c r="AF1400" s="9"/>
      <c r="AG1400" s="27"/>
      <c r="AH1400" s="27"/>
      <c r="AI1400" s="27"/>
      <c r="AJ1400" s="42"/>
      <c r="AK1400" s="27"/>
      <c r="AL1400" s="27"/>
      <c r="AM1400" s="27"/>
      <c r="AN1400" s="27"/>
      <c r="AO1400" s="27"/>
      <c r="AP1400" s="27"/>
      <c r="AQ1400" s="27"/>
    </row>
    <row r="1401" spans="1:43" ht="15.75" customHeight="1">
      <c r="A1401" s="27"/>
      <c r="B1401" s="9"/>
      <c r="C1401" s="27"/>
      <c r="D1401" s="9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42"/>
      <c r="Y1401" s="42"/>
      <c r="Z1401" s="27"/>
      <c r="AA1401" s="27"/>
      <c r="AB1401" s="27"/>
      <c r="AC1401" s="9"/>
      <c r="AD1401" s="27"/>
      <c r="AE1401" s="9"/>
      <c r="AF1401" s="9"/>
      <c r="AG1401" s="27"/>
      <c r="AH1401" s="27"/>
      <c r="AI1401" s="27"/>
      <c r="AJ1401" s="42"/>
      <c r="AK1401" s="27"/>
      <c r="AL1401" s="27"/>
      <c r="AM1401" s="27"/>
      <c r="AN1401" s="27"/>
      <c r="AO1401" s="27"/>
      <c r="AP1401" s="27"/>
      <c r="AQ1401" s="27"/>
    </row>
    <row r="1402" spans="1:43" ht="15.75" customHeight="1">
      <c r="A1402" s="27"/>
      <c r="B1402" s="9"/>
      <c r="C1402" s="27"/>
      <c r="D1402" s="9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42"/>
      <c r="Y1402" s="42"/>
      <c r="Z1402" s="27"/>
      <c r="AA1402" s="27"/>
      <c r="AB1402" s="27"/>
      <c r="AC1402" s="9"/>
      <c r="AD1402" s="27"/>
      <c r="AE1402" s="9"/>
      <c r="AF1402" s="9"/>
      <c r="AG1402" s="27"/>
      <c r="AH1402" s="27"/>
      <c r="AI1402" s="27"/>
      <c r="AJ1402" s="42"/>
      <c r="AK1402" s="27"/>
      <c r="AL1402" s="27"/>
      <c r="AM1402" s="27"/>
      <c r="AN1402" s="27"/>
      <c r="AO1402" s="27"/>
      <c r="AP1402" s="27"/>
      <c r="AQ1402" s="27"/>
    </row>
    <row r="1403" spans="1:43" ht="15.75" customHeight="1">
      <c r="A1403" s="27"/>
      <c r="B1403" s="9"/>
      <c r="C1403" s="27"/>
      <c r="D1403" s="9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42"/>
      <c r="Y1403" s="42"/>
      <c r="Z1403" s="27"/>
      <c r="AA1403" s="27"/>
      <c r="AB1403" s="27"/>
      <c r="AC1403" s="9"/>
      <c r="AD1403" s="27"/>
      <c r="AE1403" s="9"/>
      <c r="AF1403" s="9"/>
      <c r="AG1403" s="27"/>
      <c r="AH1403" s="27"/>
      <c r="AI1403" s="27"/>
      <c r="AJ1403" s="42"/>
      <c r="AK1403" s="27"/>
      <c r="AL1403" s="27"/>
      <c r="AM1403" s="27"/>
      <c r="AN1403" s="27"/>
      <c r="AO1403" s="27"/>
      <c r="AP1403" s="27"/>
      <c r="AQ1403" s="27"/>
    </row>
    <row r="1404" spans="1:43" ht="15.75" customHeight="1">
      <c r="A1404" s="27"/>
      <c r="B1404" s="9"/>
      <c r="C1404" s="27"/>
      <c r="D1404" s="9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42"/>
      <c r="Y1404" s="42"/>
      <c r="Z1404" s="27"/>
      <c r="AA1404" s="27"/>
      <c r="AB1404" s="27"/>
      <c r="AC1404" s="9"/>
      <c r="AD1404" s="27"/>
      <c r="AE1404" s="9"/>
      <c r="AF1404" s="9"/>
      <c r="AG1404" s="27"/>
      <c r="AH1404" s="27"/>
      <c r="AI1404" s="27"/>
      <c r="AJ1404" s="42"/>
      <c r="AK1404" s="27"/>
      <c r="AL1404" s="27"/>
      <c r="AM1404" s="27"/>
      <c r="AN1404" s="27"/>
      <c r="AO1404" s="27"/>
      <c r="AP1404" s="27"/>
      <c r="AQ1404" s="27"/>
    </row>
    <row r="1405" spans="1:43" ht="15.75" customHeight="1">
      <c r="A1405" s="27"/>
      <c r="B1405" s="9"/>
      <c r="C1405" s="27"/>
      <c r="D1405" s="9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42"/>
      <c r="Y1405" s="42"/>
      <c r="Z1405" s="27"/>
      <c r="AA1405" s="27"/>
      <c r="AB1405" s="27"/>
      <c r="AC1405" s="9"/>
      <c r="AD1405" s="27"/>
      <c r="AE1405" s="9"/>
      <c r="AF1405" s="9"/>
      <c r="AG1405" s="27"/>
      <c r="AH1405" s="27"/>
      <c r="AI1405" s="27"/>
      <c r="AJ1405" s="42"/>
      <c r="AK1405" s="27"/>
      <c r="AL1405" s="27"/>
      <c r="AM1405" s="27"/>
      <c r="AN1405" s="27"/>
      <c r="AO1405" s="27"/>
      <c r="AP1405" s="27"/>
      <c r="AQ1405" s="27"/>
    </row>
    <row r="1406" spans="1:43" ht="15.75" customHeight="1">
      <c r="A1406" s="27"/>
      <c r="B1406" s="9"/>
      <c r="C1406" s="27"/>
      <c r="D1406" s="9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42"/>
      <c r="Y1406" s="42"/>
      <c r="Z1406" s="27"/>
      <c r="AA1406" s="27"/>
      <c r="AB1406" s="27"/>
      <c r="AC1406" s="9"/>
      <c r="AD1406" s="27"/>
      <c r="AE1406" s="9"/>
      <c r="AF1406" s="9"/>
      <c r="AG1406" s="27"/>
      <c r="AH1406" s="27"/>
      <c r="AI1406" s="27"/>
      <c r="AJ1406" s="42"/>
      <c r="AK1406" s="27"/>
      <c r="AL1406" s="27"/>
      <c r="AM1406" s="27"/>
      <c r="AN1406" s="27"/>
      <c r="AO1406" s="27"/>
      <c r="AP1406" s="27"/>
      <c r="AQ1406" s="27"/>
    </row>
    <row r="1407" spans="1:43" ht="15.75" customHeight="1">
      <c r="A1407" s="27"/>
      <c r="B1407" s="9"/>
      <c r="C1407" s="27"/>
      <c r="D1407" s="9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42"/>
      <c r="Y1407" s="42"/>
      <c r="Z1407" s="27"/>
      <c r="AA1407" s="27"/>
      <c r="AB1407" s="27"/>
      <c r="AC1407" s="9"/>
      <c r="AD1407" s="27"/>
      <c r="AE1407" s="9"/>
      <c r="AF1407" s="9"/>
      <c r="AG1407" s="27"/>
      <c r="AH1407" s="27"/>
      <c r="AI1407" s="27"/>
      <c r="AJ1407" s="42"/>
      <c r="AK1407" s="27"/>
      <c r="AL1407" s="27"/>
      <c r="AM1407" s="27"/>
      <c r="AN1407" s="27"/>
      <c r="AO1407" s="27"/>
      <c r="AP1407" s="27"/>
      <c r="AQ1407" s="27"/>
    </row>
    <row r="1408" spans="1:43" ht="15.75" customHeight="1">
      <c r="A1408" s="27"/>
      <c r="B1408" s="9"/>
      <c r="C1408" s="27"/>
      <c r="D1408" s="9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42"/>
      <c r="Y1408" s="42"/>
      <c r="Z1408" s="27"/>
      <c r="AA1408" s="27"/>
      <c r="AB1408" s="27"/>
      <c r="AC1408" s="9"/>
      <c r="AD1408" s="27"/>
      <c r="AE1408" s="9"/>
      <c r="AF1408" s="9"/>
      <c r="AG1408" s="27"/>
      <c r="AH1408" s="27"/>
      <c r="AI1408" s="27"/>
      <c r="AJ1408" s="42"/>
      <c r="AK1408" s="27"/>
      <c r="AL1408" s="27"/>
      <c r="AM1408" s="27"/>
      <c r="AN1408" s="27"/>
      <c r="AO1408" s="27"/>
      <c r="AP1408" s="27"/>
      <c r="AQ1408" s="27"/>
    </row>
    <row r="1409" spans="1:43" ht="15.75" customHeight="1">
      <c r="A1409" s="27"/>
      <c r="B1409" s="9"/>
      <c r="C1409" s="27"/>
      <c r="D1409" s="9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42"/>
      <c r="Y1409" s="42"/>
      <c r="Z1409" s="27"/>
      <c r="AA1409" s="27"/>
      <c r="AB1409" s="27"/>
      <c r="AC1409" s="9"/>
      <c r="AD1409" s="27"/>
      <c r="AE1409" s="9"/>
      <c r="AF1409" s="9"/>
      <c r="AG1409" s="27"/>
      <c r="AH1409" s="27"/>
      <c r="AI1409" s="27"/>
      <c r="AJ1409" s="42"/>
      <c r="AK1409" s="27"/>
      <c r="AL1409" s="27"/>
      <c r="AM1409" s="27"/>
      <c r="AN1409" s="27"/>
      <c r="AO1409" s="27"/>
      <c r="AP1409" s="27"/>
      <c r="AQ1409" s="27"/>
    </row>
    <row r="1410" spans="1:43" ht="15.75" customHeight="1">
      <c r="A1410" s="27"/>
      <c r="B1410" s="9"/>
      <c r="C1410" s="27"/>
      <c r="D1410" s="9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42"/>
      <c r="Y1410" s="42"/>
      <c r="Z1410" s="27"/>
      <c r="AA1410" s="27"/>
      <c r="AB1410" s="27"/>
      <c r="AC1410" s="9"/>
      <c r="AD1410" s="27"/>
      <c r="AE1410" s="9"/>
      <c r="AF1410" s="9"/>
      <c r="AG1410" s="27"/>
      <c r="AH1410" s="27"/>
      <c r="AI1410" s="27"/>
      <c r="AJ1410" s="42"/>
      <c r="AK1410" s="27"/>
      <c r="AL1410" s="27"/>
      <c r="AM1410" s="27"/>
      <c r="AN1410" s="27"/>
      <c r="AO1410" s="27"/>
      <c r="AP1410" s="27"/>
      <c r="AQ1410" s="27"/>
    </row>
    <row r="1411" spans="1:43" ht="15.75" customHeight="1">
      <c r="A1411" s="27"/>
      <c r="B1411" s="9"/>
      <c r="C1411" s="27"/>
      <c r="D1411" s="9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42"/>
      <c r="Y1411" s="42"/>
      <c r="Z1411" s="27"/>
      <c r="AA1411" s="27"/>
      <c r="AB1411" s="27"/>
      <c r="AC1411" s="9"/>
      <c r="AD1411" s="27"/>
      <c r="AE1411" s="9"/>
      <c r="AF1411" s="9"/>
      <c r="AG1411" s="27"/>
      <c r="AH1411" s="27"/>
      <c r="AI1411" s="27"/>
      <c r="AJ1411" s="42"/>
      <c r="AK1411" s="27"/>
      <c r="AL1411" s="27"/>
      <c r="AM1411" s="27"/>
      <c r="AN1411" s="27"/>
      <c r="AO1411" s="27"/>
      <c r="AP1411" s="27"/>
      <c r="AQ1411" s="27"/>
    </row>
    <row r="1412" spans="1:43" ht="15.75" customHeight="1">
      <c r="A1412" s="27"/>
      <c r="B1412" s="9"/>
      <c r="C1412" s="27"/>
      <c r="D1412" s="9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42"/>
      <c r="Y1412" s="42"/>
      <c r="Z1412" s="27"/>
      <c r="AA1412" s="27"/>
      <c r="AB1412" s="27"/>
      <c r="AC1412" s="9"/>
      <c r="AD1412" s="27"/>
      <c r="AE1412" s="9"/>
      <c r="AF1412" s="9"/>
      <c r="AG1412" s="27"/>
      <c r="AH1412" s="27"/>
      <c r="AI1412" s="27"/>
      <c r="AJ1412" s="42"/>
      <c r="AK1412" s="27"/>
      <c r="AL1412" s="27"/>
      <c r="AM1412" s="27"/>
      <c r="AN1412" s="27"/>
      <c r="AO1412" s="27"/>
      <c r="AP1412" s="27"/>
      <c r="AQ1412" s="27"/>
    </row>
    <row r="1413" spans="1:43" ht="15.75" customHeight="1">
      <c r="A1413" s="27"/>
      <c r="B1413" s="9"/>
      <c r="C1413" s="27"/>
      <c r="D1413" s="9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42"/>
      <c r="Y1413" s="42"/>
      <c r="Z1413" s="27"/>
      <c r="AA1413" s="27"/>
      <c r="AB1413" s="27"/>
      <c r="AC1413" s="9"/>
      <c r="AD1413" s="27"/>
      <c r="AE1413" s="9"/>
      <c r="AF1413" s="9"/>
      <c r="AG1413" s="27"/>
      <c r="AH1413" s="27"/>
      <c r="AI1413" s="27"/>
      <c r="AJ1413" s="42"/>
      <c r="AK1413" s="27"/>
      <c r="AL1413" s="27"/>
      <c r="AM1413" s="27"/>
      <c r="AN1413" s="27"/>
      <c r="AO1413" s="27"/>
      <c r="AP1413" s="27"/>
      <c r="AQ1413" s="27"/>
    </row>
    <row r="1414" spans="1:43" ht="15.75" customHeight="1">
      <c r="A1414" s="27"/>
      <c r="B1414" s="9"/>
      <c r="C1414" s="27"/>
      <c r="D1414" s="9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42"/>
      <c r="Y1414" s="42"/>
      <c r="Z1414" s="27"/>
      <c r="AA1414" s="27"/>
      <c r="AB1414" s="27"/>
      <c r="AC1414" s="9"/>
      <c r="AD1414" s="27"/>
      <c r="AE1414" s="9"/>
      <c r="AF1414" s="9"/>
      <c r="AG1414" s="27"/>
      <c r="AH1414" s="27"/>
      <c r="AI1414" s="27"/>
      <c r="AJ1414" s="42"/>
      <c r="AK1414" s="27"/>
      <c r="AL1414" s="27"/>
      <c r="AM1414" s="27"/>
      <c r="AN1414" s="27"/>
      <c r="AO1414" s="27"/>
      <c r="AP1414" s="27"/>
      <c r="AQ1414" s="27"/>
    </row>
    <row r="1415" spans="1:43" ht="15.75" customHeight="1">
      <c r="A1415" s="27"/>
      <c r="B1415" s="9"/>
      <c r="C1415" s="27"/>
      <c r="D1415" s="9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42"/>
      <c r="Y1415" s="42"/>
      <c r="Z1415" s="27"/>
      <c r="AA1415" s="27"/>
      <c r="AB1415" s="27"/>
      <c r="AC1415" s="9"/>
      <c r="AD1415" s="27"/>
      <c r="AE1415" s="9"/>
      <c r="AF1415" s="9"/>
      <c r="AG1415" s="27"/>
      <c r="AH1415" s="27"/>
      <c r="AI1415" s="27"/>
      <c r="AJ1415" s="42"/>
      <c r="AK1415" s="27"/>
      <c r="AL1415" s="27"/>
      <c r="AM1415" s="27"/>
      <c r="AN1415" s="27"/>
      <c r="AO1415" s="27"/>
      <c r="AP1415" s="27"/>
      <c r="AQ1415" s="27"/>
    </row>
    <row r="1416" spans="1:43" ht="15.75" customHeight="1">
      <c r="A1416" s="27"/>
      <c r="B1416" s="9"/>
      <c r="C1416" s="27"/>
      <c r="D1416" s="9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42"/>
      <c r="Y1416" s="42"/>
      <c r="Z1416" s="27"/>
      <c r="AA1416" s="27"/>
      <c r="AB1416" s="27"/>
      <c r="AC1416" s="9"/>
      <c r="AD1416" s="27"/>
      <c r="AE1416" s="9"/>
      <c r="AF1416" s="9"/>
      <c r="AG1416" s="27"/>
      <c r="AH1416" s="27"/>
      <c r="AI1416" s="27"/>
      <c r="AJ1416" s="42"/>
      <c r="AK1416" s="27"/>
      <c r="AL1416" s="27"/>
      <c r="AM1416" s="27"/>
      <c r="AN1416" s="27"/>
      <c r="AO1416" s="27"/>
      <c r="AP1416" s="27"/>
      <c r="AQ1416" s="27"/>
    </row>
    <row r="1417" spans="1:43" ht="15.75" customHeight="1">
      <c r="A1417" s="27"/>
      <c r="B1417" s="9"/>
      <c r="C1417" s="27"/>
      <c r="D1417" s="9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42"/>
      <c r="Y1417" s="42"/>
      <c r="Z1417" s="27"/>
      <c r="AA1417" s="27"/>
      <c r="AB1417" s="27"/>
      <c r="AC1417" s="9"/>
      <c r="AD1417" s="27"/>
      <c r="AE1417" s="9"/>
      <c r="AF1417" s="9"/>
      <c r="AG1417" s="27"/>
      <c r="AH1417" s="27"/>
      <c r="AI1417" s="27"/>
      <c r="AJ1417" s="42"/>
      <c r="AK1417" s="27"/>
      <c r="AL1417" s="27"/>
      <c r="AM1417" s="27"/>
      <c r="AN1417" s="27"/>
      <c r="AO1417" s="27"/>
      <c r="AP1417" s="27"/>
      <c r="AQ1417" s="27"/>
    </row>
    <row r="1418" spans="1:43" ht="15.75" customHeight="1">
      <c r="A1418" s="27"/>
      <c r="B1418" s="9"/>
      <c r="C1418" s="27"/>
      <c r="D1418" s="9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42"/>
      <c r="Y1418" s="42"/>
      <c r="Z1418" s="27"/>
      <c r="AA1418" s="27"/>
      <c r="AB1418" s="27"/>
      <c r="AC1418" s="9"/>
      <c r="AD1418" s="27"/>
      <c r="AE1418" s="9"/>
      <c r="AF1418" s="9"/>
      <c r="AG1418" s="27"/>
      <c r="AH1418" s="27"/>
      <c r="AI1418" s="27"/>
      <c r="AJ1418" s="42"/>
      <c r="AK1418" s="27"/>
      <c r="AL1418" s="27"/>
      <c r="AM1418" s="27"/>
      <c r="AN1418" s="27"/>
      <c r="AO1418" s="27"/>
      <c r="AP1418" s="27"/>
      <c r="AQ1418" s="27"/>
    </row>
    <row r="1419" spans="1:43" ht="15.75" customHeight="1">
      <c r="A1419" s="27"/>
      <c r="B1419" s="9"/>
      <c r="C1419" s="27"/>
      <c r="D1419" s="9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42"/>
      <c r="Y1419" s="42"/>
      <c r="Z1419" s="27"/>
      <c r="AA1419" s="27"/>
      <c r="AB1419" s="27"/>
      <c r="AC1419" s="9"/>
      <c r="AD1419" s="27"/>
      <c r="AE1419" s="9"/>
      <c r="AF1419" s="9"/>
      <c r="AG1419" s="27"/>
      <c r="AH1419" s="27"/>
      <c r="AI1419" s="27"/>
      <c r="AJ1419" s="42"/>
      <c r="AK1419" s="27"/>
      <c r="AL1419" s="27"/>
      <c r="AM1419" s="27"/>
      <c r="AN1419" s="27"/>
      <c r="AO1419" s="27"/>
      <c r="AP1419" s="27"/>
      <c r="AQ1419" s="27"/>
    </row>
    <row r="1420" spans="1:43" ht="15.75" customHeight="1">
      <c r="A1420" s="27"/>
      <c r="B1420" s="9"/>
      <c r="C1420" s="27"/>
      <c r="D1420" s="9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42"/>
      <c r="Y1420" s="42"/>
      <c r="Z1420" s="27"/>
      <c r="AA1420" s="27"/>
      <c r="AB1420" s="27"/>
      <c r="AC1420" s="9"/>
      <c r="AD1420" s="27"/>
      <c r="AE1420" s="9"/>
      <c r="AF1420" s="9"/>
      <c r="AG1420" s="27"/>
      <c r="AH1420" s="27"/>
      <c r="AI1420" s="27"/>
      <c r="AJ1420" s="42"/>
      <c r="AK1420" s="27"/>
      <c r="AL1420" s="27"/>
      <c r="AM1420" s="27"/>
      <c r="AN1420" s="27"/>
      <c r="AO1420" s="27"/>
      <c r="AP1420" s="27"/>
      <c r="AQ1420" s="27"/>
    </row>
    <row r="1421" spans="1:43" ht="15.75" customHeight="1">
      <c r="A1421" s="27"/>
      <c r="B1421" s="9"/>
      <c r="C1421" s="27"/>
      <c r="D1421" s="9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42"/>
      <c r="Y1421" s="42"/>
      <c r="Z1421" s="27"/>
      <c r="AA1421" s="27"/>
      <c r="AB1421" s="27"/>
      <c r="AC1421" s="9"/>
      <c r="AD1421" s="27"/>
      <c r="AE1421" s="9"/>
      <c r="AF1421" s="9"/>
      <c r="AG1421" s="27"/>
      <c r="AH1421" s="27"/>
      <c r="AI1421" s="27"/>
      <c r="AJ1421" s="42"/>
      <c r="AK1421" s="27"/>
      <c r="AL1421" s="27"/>
      <c r="AM1421" s="27"/>
      <c r="AN1421" s="27"/>
      <c r="AO1421" s="27"/>
      <c r="AP1421" s="27"/>
      <c r="AQ1421" s="27"/>
    </row>
    <row r="1422" spans="1:43" ht="15.75" customHeight="1">
      <c r="A1422" s="27"/>
      <c r="B1422" s="9"/>
      <c r="C1422" s="27"/>
      <c r="D1422" s="9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42"/>
      <c r="Y1422" s="42"/>
      <c r="Z1422" s="27"/>
      <c r="AA1422" s="27"/>
      <c r="AB1422" s="27"/>
      <c r="AC1422" s="9"/>
      <c r="AD1422" s="27"/>
      <c r="AE1422" s="9"/>
      <c r="AF1422" s="9"/>
      <c r="AG1422" s="27"/>
      <c r="AH1422" s="27"/>
      <c r="AI1422" s="27"/>
      <c r="AJ1422" s="42"/>
      <c r="AK1422" s="27"/>
      <c r="AL1422" s="27"/>
      <c r="AM1422" s="27"/>
      <c r="AN1422" s="27"/>
      <c r="AO1422" s="27"/>
      <c r="AP1422" s="27"/>
      <c r="AQ1422" s="27"/>
    </row>
    <row r="1423" spans="1:43" ht="15.75" customHeight="1">
      <c r="A1423" s="27"/>
      <c r="B1423" s="9"/>
      <c r="C1423" s="27"/>
      <c r="D1423" s="9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42"/>
      <c r="Y1423" s="42"/>
      <c r="Z1423" s="27"/>
      <c r="AA1423" s="27"/>
      <c r="AB1423" s="27"/>
      <c r="AC1423" s="9"/>
      <c r="AD1423" s="27"/>
      <c r="AE1423" s="9"/>
      <c r="AF1423" s="9"/>
      <c r="AG1423" s="27"/>
      <c r="AH1423" s="27"/>
      <c r="AI1423" s="27"/>
      <c r="AJ1423" s="42"/>
      <c r="AK1423" s="27"/>
      <c r="AL1423" s="27"/>
      <c r="AM1423" s="27"/>
      <c r="AN1423" s="27"/>
      <c r="AO1423" s="27"/>
      <c r="AP1423" s="27"/>
      <c r="AQ1423" s="27"/>
    </row>
    <row r="1424" spans="1:43" ht="15.75" customHeight="1">
      <c r="A1424" s="27"/>
      <c r="B1424" s="9"/>
      <c r="C1424" s="27"/>
      <c r="D1424" s="9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42"/>
      <c r="Y1424" s="42"/>
      <c r="Z1424" s="27"/>
      <c r="AA1424" s="27"/>
      <c r="AB1424" s="27"/>
      <c r="AC1424" s="9"/>
      <c r="AD1424" s="27"/>
      <c r="AE1424" s="9"/>
      <c r="AF1424" s="9"/>
      <c r="AG1424" s="27"/>
      <c r="AH1424" s="27"/>
      <c r="AI1424" s="27"/>
      <c r="AJ1424" s="42"/>
      <c r="AK1424" s="27"/>
      <c r="AL1424" s="27"/>
      <c r="AM1424" s="27"/>
      <c r="AN1424" s="27"/>
      <c r="AO1424" s="27"/>
      <c r="AP1424" s="27"/>
      <c r="AQ1424" s="27"/>
    </row>
    <row r="1425" spans="1:43" ht="15.75" customHeight="1">
      <c r="A1425" s="27"/>
      <c r="B1425" s="9"/>
      <c r="C1425" s="27"/>
      <c r="D1425" s="9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42"/>
      <c r="Y1425" s="42"/>
      <c r="Z1425" s="27"/>
      <c r="AA1425" s="27"/>
      <c r="AB1425" s="27"/>
      <c r="AC1425" s="9"/>
      <c r="AD1425" s="27"/>
      <c r="AE1425" s="9"/>
      <c r="AF1425" s="9"/>
      <c r="AG1425" s="27"/>
      <c r="AH1425" s="27"/>
      <c r="AI1425" s="27"/>
      <c r="AJ1425" s="42"/>
      <c r="AK1425" s="27"/>
      <c r="AL1425" s="27"/>
      <c r="AM1425" s="27"/>
      <c r="AN1425" s="27"/>
      <c r="AO1425" s="27"/>
      <c r="AP1425" s="27"/>
      <c r="AQ1425" s="27"/>
    </row>
    <row r="1426" spans="1:43" ht="15.75" customHeight="1">
      <c r="A1426" s="27"/>
      <c r="B1426" s="9"/>
      <c r="C1426" s="27"/>
      <c r="D1426" s="9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42"/>
      <c r="Y1426" s="42"/>
      <c r="Z1426" s="27"/>
      <c r="AA1426" s="27"/>
      <c r="AB1426" s="27"/>
      <c r="AC1426" s="9"/>
      <c r="AD1426" s="27"/>
      <c r="AE1426" s="9"/>
      <c r="AF1426" s="9"/>
      <c r="AG1426" s="27"/>
      <c r="AH1426" s="27"/>
      <c r="AI1426" s="27"/>
      <c r="AJ1426" s="42"/>
      <c r="AK1426" s="27"/>
      <c r="AL1426" s="27"/>
      <c r="AM1426" s="27"/>
      <c r="AN1426" s="27"/>
      <c r="AO1426" s="27"/>
      <c r="AP1426" s="27"/>
      <c r="AQ1426" s="27"/>
    </row>
    <row r="1427" spans="1:43" ht="15.75" customHeight="1">
      <c r="A1427" s="27"/>
      <c r="B1427" s="9"/>
      <c r="C1427" s="27"/>
      <c r="D1427" s="9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42"/>
      <c r="Y1427" s="42"/>
      <c r="Z1427" s="27"/>
      <c r="AA1427" s="27"/>
      <c r="AB1427" s="27"/>
      <c r="AC1427" s="9"/>
      <c r="AD1427" s="27"/>
      <c r="AE1427" s="9"/>
      <c r="AF1427" s="9"/>
      <c r="AG1427" s="27"/>
      <c r="AH1427" s="27"/>
      <c r="AI1427" s="27"/>
      <c r="AJ1427" s="42"/>
      <c r="AK1427" s="27"/>
      <c r="AL1427" s="27"/>
      <c r="AM1427" s="27"/>
      <c r="AN1427" s="27"/>
      <c r="AO1427" s="27"/>
      <c r="AP1427" s="27"/>
      <c r="AQ1427" s="27"/>
    </row>
    <row r="1428" spans="1:43" ht="15.75" customHeight="1">
      <c r="A1428" s="27"/>
      <c r="B1428" s="9"/>
      <c r="C1428" s="27"/>
      <c r="D1428" s="9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42"/>
      <c r="Y1428" s="42"/>
      <c r="Z1428" s="27"/>
      <c r="AA1428" s="27"/>
      <c r="AB1428" s="27"/>
      <c r="AC1428" s="9"/>
      <c r="AD1428" s="27"/>
      <c r="AE1428" s="9"/>
      <c r="AF1428" s="9"/>
      <c r="AG1428" s="27"/>
      <c r="AH1428" s="27"/>
      <c r="AI1428" s="27"/>
      <c r="AJ1428" s="42"/>
      <c r="AK1428" s="27"/>
      <c r="AL1428" s="27"/>
      <c r="AM1428" s="27"/>
      <c r="AN1428" s="27"/>
      <c r="AO1428" s="27"/>
      <c r="AP1428" s="27"/>
      <c r="AQ1428" s="27"/>
    </row>
    <row r="1429" spans="1:43" ht="15.75" customHeight="1">
      <c r="A1429" s="27"/>
      <c r="B1429" s="9"/>
      <c r="C1429" s="27"/>
      <c r="D1429" s="9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42"/>
      <c r="Y1429" s="42"/>
      <c r="Z1429" s="27"/>
      <c r="AA1429" s="27"/>
      <c r="AB1429" s="27"/>
      <c r="AC1429" s="9"/>
      <c r="AD1429" s="27"/>
      <c r="AE1429" s="9"/>
      <c r="AF1429" s="9"/>
      <c r="AG1429" s="27"/>
      <c r="AH1429" s="27"/>
      <c r="AI1429" s="27"/>
      <c r="AJ1429" s="42"/>
      <c r="AK1429" s="27"/>
      <c r="AL1429" s="27"/>
      <c r="AM1429" s="27"/>
      <c r="AN1429" s="27"/>
      <c r="AO1429" s="27"/>
      <c r="AP1429" s="27"/>
      <c r="AQ1429" s="27"/>
    </row>
    <row r="1430" spans="1:43" ht="15.75" customHeight="1">
      <c r="A1430" s="27"/>
      <c r="B1430" s="9"/>
      <c r="C1430" s="27"/>
      <c r="D1430" s="9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42"/>
      <c r="Y1430" s="42"/>
      <c r="Z1430" s="27"/>
      <c r="AA1430" s="27"/>
      <c r="AB1430" s="27"/>
      <c r="AC1430" s="9"/>
      <c r="AD1430" s="27"/>
      <c r="AE1430" s="9"/>
      <c r="AF1430" s="9"/>
      <c r="AG1430" s="27"/>
      <c r="AH1430" s="27"/>
      <c r="AI1430" s="27"/>
      <c r="AJ1430" s="42"/>
      <c r="AK1430" s="27"/>
      <c r="AL1430" s="27"/>
      <c r="AM1430" s="27"/>
      <c r="AN1430" s="27"/>
      <c r="AO1430" s="27"/>
      <c r="AP1430" s="27"/>
      <c r="AQ1430" s="27"/>
    </row>
    <row r="1431" spans="1:43" ht="15.75" customHeight="1">
      <c r="A1431" s="27"/>
      <c r="B1431" s="9"/>
      <c r="C1431" s="27"/>
      <c r="D1431" s="9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42"/>
      <c r="Y1431" s="42"/>
      <c r="Z1431" s="27"/>
      <c r="AA1431" s="27"/>
      <c r="AB1431" s="27"/>
      <c r="AC1431" s="9"/>
      <c r="AD1431" s="27"/>
      <c r="AE1431" s="9"/>
      <c r="AF1431" s="9"/>
      <c r="AG1431" s="27"/>
      <c r="AH1431" s="27"/>
      <c r="AI1431" s="27"/>
      <c r="AJ1431" s="42"/>
      <c r="AK1431" s="27"/>
      <c r="AL1431" s="27"/>
      <c r="AM1431" s="27"/>
      <c r="AN1431" s="27"/>
      <c r="AO1431" s="27"/>
      <c r="AP1431" s="27"/>
      <c r="AQ1431" s="27"/>
    </row>
    <row r="1432" spans="1:43" ht="15.75" customHeight="1">
      <c r="A1432" s="27"/>
      <c r="B1432" s="9"/>
      <c r="C1432" s="27"/>
      <c r="D1432" s="9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42"/>
      <c r="Y1432" s="42"/>
      <c r="Z1432" s="27"/>
      <c r="AA1432" s="27"/>
      <c r="AB1432" s="27"/>
      <c r="AC1432" s="9"/>
      <c r="AD1432" s="27"/>
      <c r="AE1432" s="9"/>
      <c r="AF1432" s="9"/>
      <c r="AG1432" s="27"/>
      <c r="AH1432" s="27"/>
      <c r="AI1432" s="27"/>
      <c r="AJ1432" s="42"/>
      <c r="AK1432" s="27"/>
      <c r="AL1432" s="27"/>
      <c r="AM1432" s="27"/>
      <c r="AN1432" s="27"/>
      <c r="AO1432" s="27"/>
      <c r="AP1432" s="27"/>
      <c r="AQ1432" s="27"/>
    </row>
    <row r="1433" spans="1:43" ht="15.75" customHeight="1">
      <c r="A1433" s="27"/>
      <c r="B1433" s="9"/>
      <c r="C1433" s="27"/>
      <c r="D1433" s="9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42"/>
      <c r="Y1433" s="42"/>
      <c r="Z1433" s="27"/>
      <c r="AA1433" s="27"/>
      <c r="AB1433" s="27"/>
      <c r="AC1433" s="9"/>
      <c r="AD1433" s="27"/>
      <c r="AE1433" s="9"/>
      <c r="AF1433" s="9"/>
      <c r="AG1433" s="27"/>
      <c r="AH1433" s="27"/>
      <c r="AI1433" s="27"/>
      <c r="AJ1433" s="42"/>
      <c r="AK1433" s="27"/>
      <c r="AL1433" s="27"/>
      <c r="AM1433" s="27"/>
      <c r="AN1433" s="27"/>
      <c r="AO1433" s="27"/>
      <c r="AP1433" s="27"/>
      <c r="AQ1433" s="27"/>
    </row>
    <row r="1434" spans="1:43" ht="15.75" customHeight="1">
      <c r="A1434" s="27"/>
      <c r="B1434" s="9"/>
      <c r="C1434" s="27"/>
      <c r="D1434" s="9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42"/>
      <c r="Y1434" s="42"/>
      <c r="Z1434" s="27"/>
      <c r="AA1434" s="27"/>
      <c r="AB1434" s="27"/>
      <c r="AC1434" s="9"/>
      <c r="AD1434" s="27"/>
      <c r="AE1434" s="9"/>
      <c r="AF1434" s="9"/>
      <c r="AG1434" s="27"/>
      <c r="AH1434" s="27"/>
      <c r="AI1434" s="27"/>
      <c r="AJ1434" s="42"/>
      <c r="AK1434" s="27"/>
      <c r="AL1434" s="27"/>
      <c r="AM1434" s="27"/>
      <c r="AN1434" s="27"/>
      <c r="AO1434" s="27"/>
      <c r="AP1434" s="27"/>
      <c r="AQ1434" s="27"/>
    </row>
    <row r="1435" spans="1:43" ht="15.75" customHeight="1">
      <c r="A1435" s="27"/>
      <c r="B1435" s="9"/>
      <c r="C1435" s="27"/>
      <c r="D1435" s="9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42"/>
      <c r="Y1435" s="42"/>
      <c r="Z1435" s="27"/>
      <c r="AA1435" s="27"/>
      <c r="AB1435" s="27"/>
      <c r="AC1435" s="9"/>
      <c r="AD1435" s="27"/>
      <c r="AE1435" s="9"/>
      <c r="AF1435" s="9"/>
      <c r="AG1435" s="27"/>
      <c r="AH1435" s="27"/>
      <c r="AI1435" s="27"/>
      <c r="AJ1435" s="42"/>
      <c r="AK1435" s="27"/>
      <c r="AL1435" s="27"/>
      <c r="AM1435" s="27"/>
      <c r="AN1435" s="27"/>
      <c r="AO1435" s="27"/>
      <c r="AP1435" s="27"/>
      <c r="AQ1435" s="27"/>
    </row>
    <row r="1436" spans="1:43" ht="15.75" customHeight="1">
      <c r="A1436" s="27"/>
      <c r="B1436" s="9"/>
      <c r="C1436" s="27"/>
      <c r="D1436" s="9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42"/>
      <c r="Y1436" s="42"/>
      <c r="Z1436" s="27"/>
      <c r="AA1436" s="27"/>
      <c r="AB1436" s="27"/>
      <c r="AC1436" s="9"/>
      <c r="AD1436" s="27"/>
      <c r="AE1436" s="9"/>
      <c r="AF1436" s="9"/>
      <c r="AG1436" s="27"/>
      <c r="AH1436" s="27"/>
      <c r="AI1436" s="27"/>
      <c r="AJ1436" s="42"/>
      <c r="AK1436" s="27"/>
      <c r="AL1436" s="27"/>
      <c r="AM1436" s="27"/>
      <c r="AN1436" s="27"/>
      <c r="AO1436" s="27"/>
      <c r="AP1436" s="27"/>
      <c r="AQ1436" s="27"/>
    </row>
    <row r="1437" spans="1:43" ht="15.75" customHeight="1">
      <c r="A1437" s="27"/>
      <c r="B1437" s="9"/>
      <c r="C1437" s="27"/>
      <c r="D1437" s="9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42"/>
      <c r="Y1437" s="42"/>
      <c r="Z1437" s="27"/>
      <c r="AA1437" s="27"/>
      <c r="AB1437" s="27"/>
      <c r="AC1437" s="9"/>
      <c r="AD1437" s="27"/>
      <c r="AE1437" s="9"/>
      <c r="AF1437" s="9"/>
      <c r="AG1437" s="27"/>
      <c r="AH1437" s="27"/>
      <c r="AI1437" s="27"/>
      <c r="AJ1437" s="42"/>
      <c r="AK1437" s="27"/>
      <c r="AL1437" s="27"/>
      <c r="AM1437" s="27"/>
      <c r="AN1437" s="27"/>
      <c r="AO1437" s="27"/>
      <c r="AP1437" s="27"/>
      <c r="AQ1437" s="27"/>
    </row>
    <row r="1438" spans="1:43" ht="15.75" customHeight="1">
      <c r="A1438" s="27"/>
      <c r="B1438" s="9"/>
      <c r="C1438" s="27"/>
      <c r="D1438" s="9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42"/>
      <c r="Y1438" s="42"/>
      <c r="Z1438" s="27"/>
      <c r="AA1438" s="27"/>
      <c r="AB1438" s="27"/>
      <c r="AC1438" s="9"/>
      <c r="AD1438" s="27"/>
      <c r="AE1438" s="9"/>
      <c r="AF1438" s="9"/>
      <c r="AG1438" s="27"/>
      <c r="AH1438" s="27"/>
      <c r="AI1438" s="27"/>
      <c r="AJ1438" s="42"/>
      <c r="AK1438" s="27"/>
      <c r="AL1438" s="27"/>
      <c r="AM1438" s="27"/>
      <c r="AN1438" s="27"/>
      <c r="AO1438" s="27"/>
      <c r="AP1438" s="27"/>
      <c r="AQ1438" s="27"/>
    </row>
    <row r="1439" spans="1:43" ht="15.75" customHeight="1">
      <c r="A1439" s="27"/>
      <c r="B1439" s="9"/>
      <c r="C1439" s="27"/>
      <c r="D1439" s="9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42"/>
      <c r="Y1439" s="42"/>
      <c r="Z1439" s="27"/>
      <c r="AA1439" s="27"/>
      <c r="AB1439" s="27"/>
      <c r="AC1439" s="9"/>
      <c r="AD1439" s="27"/>
      <c r="AE1439" s="9"/>
      <c r="AF1439" s="9"/>
      <c r="AG1439" s="27"/>
      <c r="AH1439" s="27"/>
      <c r="AI1439" s="27"/>
      <c r="AJ1439" s="42"/>
      <c r="AK1439" s="27"/>
      <c r="AL1439" s="27"/>
      <c r="AM1439" s="27"/>
      <c r="AN1439" s="27"/>
      <c r="AO1439" s="27"/>
      <c r="AP1439" s="27"/>
      <c r="AQ1439" s="27"/>
    </row>
    <row r="1440" spans="1:43" ht="15.75" customHeight="1">
      <c r="A1440" s="27"/>
      <c r="B1440" s="9"/>
      <c r="C1440" s="27"/>
      <c r="D1440" s="9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42"/>
      <c r="Y1440" s="42"/>
      <c r="Z1440" s="27"/>
      <c r="AA1440" s="27"/>
      <c r="AB1440" s="27"/>
      <c r="AC1440" s="9"/>
      <c r="AD1440" s="27"/>
      <c r="AE1440" s="9"/>
      <c r="AF1440" s="9"/>
      <c r="AG1440" s="27"/>
      <c r="AH1440" s="27"/>
      <c r="AI1440" s="27"/>
      <c r="AJ1440" s="42"/>
      <c r="AK1440" s="27"/>
      <c r="AL1440" s="27"/>
      <c r="AM1440" s="27"/>
      <c r="AN1440" s="27"/>
      <c r="AO1440" s="27"/>
      <c r="AP1440" s="27"/>
      <c r="AQ1440" s="27"/>
    </row>
    <row r="1441" spans="1:43" ht="15.75" customHeight="1">
      <c r="A1441" s="27"/>
      <c r="B1441" s="9"/>
      <c r="C1441" s="27"/>
      <c r="D1441" s="9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42"/>
      <c r="Y1441" s="42"/>
      <c r="Z1441" s="27"/>
      <c r="AA1441" s="27"/>
      <c r="AB1441" s="27"/>
      <c r="AC1441" s="9"/>
      <c r="AD1441" s="27"/>
      <c r="AE1441" s="9"/>
      <c r="AF1441" s="9"/>
      <c r="AG1441" s="27"/>
      <c r="AH1441" s="27"/>
      <c r="AI1441" s="27"/>
      <c r="AJ1441" s="42"/>
      <c r="AK1441" s="27"/>
      <c r="AL1441" s="27"/>
      <c r="AM1441" s="27"/>
      <c r="AN1441" s="27"/>
      <c r="AO1441" s="27"/>
      <c r="AP1441" s="27"/>
      <c r="AQ1441" s="27"/>
    </row>
    <row r="1442" spans="1:43" ht="15.75" customHeight="1">
      <c r="A1442" s="27"/>
      <c r="B1442" s="9"/>
      <c r="C1442" s="27"/>
      <c r="D1442" s="9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42"/>
      <c r="Y1442" s="42"/>
      <c r="Z1442" s="27"/>
      <c r="AA1442" s="27"/>
      <c r="AB1442" s="27"/>
      <c r="AC1442" s="9"/>
      <c r="AD1442" s="27"/>
      <c r="AE1442" s="9"/>
      <c r="AF1442" s="9"/>
      <c r="AG1442" s="27"/>
      <c r="AH1442" s="27"/>
      <c r="AI1442" s="27"/>
      <c r="AJ1442" s="42"/>
      <c r="AK1442" s="27"/>
      <c r="AL1442" s="27"/>
      <c r="AM1442" s="27"/>
      <c r="AN1442" s="27"/>
      <c r="AO1442" s="27"/>
      <c r="AP1442" s="27"/>
      <c r="AQ1442" s="27"/>
    </row>
    <row r="1443" spans="1:43" ht="15.75" customHeight="1">
      <c r="A1443" s="27"/>
      <c r="B1443" s="9"/>
      <c r="C1443" s="27"/>
      <c r="D1443" s="9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42"/>
      <c r="Y1443" s="42"/>
      <c r="Z1443" s="27"/>
      <c r="AA1443" s="27"/>
      <c r="AB1443" s="27"/>
      <c r="AC1443" s="9"/>
      <c r="AD1443" s="27"/>
      <c r="AE1443" s="9"/>
      <c r="AF1443" s="9"/>
      <c r="AG1443" s="27"/>
      <c r="AH1443" s="27"/>
      <c r="AI1443" s="27"/>
      <c r="AJ1443" s="42"/>
      <c r="AK1443" s="27"/>
      <c r="AL1443" s="27"/>
      <c r="AM1443" s="27"/>
      <c r="AN1443" s="27"/>
      <c r="AO1443" s="27"/>
      <c r="AP1443" s="27"/>
      <c r="AQ1443" s="27"/>
    </row>
    <row r="1444" spans="1:43" ht="15.75" customHeight="1">
      <c r="A1444" s="27"/>
      <c r="B1444" s="9"/>
      <c r="C1444" s="27"/>
      <c r="D1444" s="9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42"/>
      <c r="Y1444" s="42"/>
      <c r="Z1444" s="27"/>
      <c r="AA1444" s="27"/>
      <c r="AB1444" s="27"/>
      <c r="AC1444" s="9"/>
      <c r="AD1444" s="27"/>
      <c r="AE1444" s="9"/>
      <c r="AF1444" s="9"/>
      <c r="AG1444" s="27"/>
      <c r="AH1444" s="27"/>
      <c r="AI1444" s="27"/>
      <c r="AJ1444" s="42"/>
      <c r="AK1444" s="27"/>
      <c r="AL1444" s="27"/>
      <c r="AM1444" s="27"/>
      <c r="AN1444" s="27"/>
      <c r="AO1444" s="27"/>
      <c r="AP1444" s="27"/>
      <c r="AQ1444" s="27"/>
    </row>
    <row r="1445" spans="1:43" ht="15.75" customHeight="1">
      <c r="A1445" s="27"/>
      <c r="B1445" s="9"/>
      <c r="C1445" s="27"/>
      <c r="D1445" s="9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42"/>
      <c r="Y1445" s="42"/>
      <c r="Z1445" s="27"/>
      <c r="AA1445" s="27"/>
      <c r="AB1445" s="27"/>
      <c r="AC1445" s="9"/>
      <c r="AD1445" s="27"/>
      <c r="AE1445" s="9"/>
      <c r="AF1445" s="9"/>
      <c r="AG1445" s="27"/>
      <c r="AH1445" s="27"/>
      <c r="AI1445" s="27"/>
      <c r="AJ1445" s="42"/>
      <c r="AK1445" s="27"/>
      <c r="AL1445" s="27"/>
      <c r="AM1445" s="27"/>
      <c r="AN1445" s="27"/>
      <c r="AO1445" s="27"/>
      <c r="AP1445" s="27"/>
      <c r="AQ1445" s="27"/>
    </row>
    <row r="1446" spans="1:43" ht="15.75" customHeight="1">
      <c r="A1446" s="27"/>
      <c r="B1446" s="9"/>
      <c r="C1446" s="27"/>
      <c r="D1446" s="9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42"/>
      <c r="Y1446" s="42"/>
      <c r="Z1446" s="27"/>
      <c r="AA1446" s="27"/>
      <c r="AB1446" s="27"/>
      <c r="AC1446" s="9"/>
      <c r="AD1446" s="27"/>
      <c r="AE1446" s="9"/>
      <c r="AF1446" s="9"/>
      <c r="AG1446" s="27"/>
      <c r="AH1446" s="27"/>
      <c r="AI1446" s="27"/>
      <c r="AJ1446" s="42"/>
      <c r="AK1446" s="27"/>
      <c r="AL1446" s="27"/>
      <c r="AM1446" s="27"/>
      <c r="AN1446" s="27"/>
      <c r="AO1446" s="27"/>
      <c r="AP1446" s="27"/>
      <c r="AQ1446" s="27"/>
    </row>
    <row r="1447" spans="1:43" ht="15.75" customHeight="1">
      <c r="A1447" s="27"/>
      <c r="B1447" s="9"/>
      <c r="C1447" s="27"/>
      <c r="D1447" s="9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42"/>
      <c r="Y1447" s="42"/>
      <c r="Z1447" s="27"/>
      <c r="AA1447" s="27"/>
      <c r="AB1447" s="27"/>
      <c r="AC1447" s="9"/>
      <c r="AD1447" s="27"/>
      <c r="AE1447" s="9"/>
      <c r="AF1447" s="9"/>
      <c r="AG1447" s="27"/>
      <c r="AH1447" s="27"/>
      <c r="AI1447" s="27"/>
      <c r="AJ1447" s="42"/>
      <c r="AK1447" s="27"/>
      <c r="AL1447" s="27"/>
      <c r="AM1447" s="27"/>
      <c r="AN1447" s="27"/>
      <c r="AO1447" s="27"/>
      <c r="AP1447" s="27"/>
      <c r="AQ1447" s="27"/>
    </row>
    <row r="1448" spans="1:43" ht="15.75" customHeight="1">
      <c r="A1448" s="27"/>
      <c r="B1448" s="9"/>
      <c r="C1448" s="27"/>
      <c r="D1448" s="9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42"/>
      <c r="Y1448" s="42"/>
      <c r="Z1448" s="27"/>
      <c r="AA1448" s="27"/>
      <c r="AB1448" s="27"/>
      <c r="AC1448" s="9"/>
      <c r="AD1448" s="27"/>
      <c r="AE1448" s="9"/>
      <c r="AF1448" s="9"/>
      <c r="AG1448" s="27"/>
      <c r="AH1448" s="27"/>
      <c r="AI1448" s="27"/>
      <c r="AJ1448" s="42"/>
      <c r="AK1448" s="27"/>
      <c r="AL1448" s="27"/>
      <c r="AM1448" s="27"/>
      <c r="AN1448" s="27"/>
      <c r="AO1448" s="27"/>
      <c r="AP1448" s="27"/>
      <c r="AQ1448" s="27"/>
    </row>
    <row r="1449" spans="1:43" ht="15.75" customHeight="1">
      <c r="A1449" s="27"/>
      <c r="B1449" s="9"/>
      <c r="C1449" s="27"/>
      <c r="D1449" s="9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42"/>
      <c r="Y1449" s="42"/>
      <c r="Z1449" s="27"/>
      <c r="AA1449" s="27"/>
      <c r="AB1449" s="27"/>
      <c r="AC1449" s="9"/>
      <c r="AD1449" s="27"/>
      <c r="AE1449" s="9"/>
      <c r="AF1449" s="9"/>
      <c r="AG1449" s="27"/>
      <c r="AH1449" s="27"/>
      <c r="AI1449" s="27"/>
      <c r="AJ1449" s="42"/>
      <c r="AK1449" s="27"/>
      <c r="AL1449" s="27"/>
      <c r="AM1449" s="27"/>
      <c r="AN1449" s="27"/>
      <c r="AO1449" s="27"/>
      <c r="AP1449" s="27"/>
      <c r="AQ1449" s="27"/>
    </row>
    <row r="1450" spans="1:43" ht="15.75" customHeight="1">
      <c r="A1450" s="27"/>
      <c r="B1450" s="9"/>
      <c r="C1450" s="27"/>
      <c r="D1450" s="9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42"/>
      <c r="Y1450" s="42"/>
      <c r="Z1450" s="27"/>
      <c r="AA1450" s="27"/>
      <c r="AB1450" s="27"/>
      <c r="AC1450" s="9"/>
      <c r="AD1450" s="27"/>
      <c r="AE1450" s="9"/>
      <c r="AF1450" s="9"/>
      <c r="AG1450" s="27"/>
      <c r="AH1450" s="27"/>
      <c r="AI1450" s="27"/>
      <c r="AJ1450" s="42"/>
      <c r="AK1450" s="27"/>
      <c r="AL1450" s="27"/>
      <c r="AM1450" s="27"/>
      <c r="AN1450" s="27"/>
      <c r="AO1450" s="27"/>
      <c r="AP1450" s="27"/>
      <c r="AQ1450" s="27"/>
    </row>
    <row r="1451" spans="1:43" ht="15.75" customHeight="1">
      <c r="A1451" s="27"/>
      <c r="B1451" s="9"/>
      <c r="C1451" s="27"/>
      <c r="D1451" s="9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42"/>
      <c r="Y1451" s="42"/>
      <c r="Z1451" s="27"/>
      <c r="AA1451" s="27"/>
      <c r="AB1451" s="27"/>
      <c r="AC1451" s="9"/>
      <c r="AD1451" s="27"/>
      <c r="AE1451" s="9"/>
      <c r="AF1451" s="9"/>
      <c r="AG1451" s="27"/>
      <c r="AH1451" s="27"/>
      <c r="AI1451" s="27"/>
      <c r="AJ1451" s="42"/>
      <c r="AK1451" s="27"/>
      <c r="AL1451" s="27"/>
      <c r="AM1451" s="27"/>
      <c r="AN1451" s="27"/>
      <c r="AO1451" s="27"/>
      <c r="AP1451" s="27"/>
      <c r="AQ1451" s="27"/>
    </row>
    <row r="1452" spans="1:43" ht="15.75" customHeight="1">
      <c r="A1452" s="27"/>
      <c r="B1452" s="9"/>
      <c r="C1452" s="27"/>
      <c r="D1452" s="9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42"/>
      <c r="Y1452" s="42"/>
      <c r="Z1452" s="27"/>
      <c r="AA1452" s="27"/>
      <c r="AB1452" s="27"/>
      <c r="AC1452" s="9"/>
      <c r="AD1452" s="27"/>
      <c r="AE1452" s="9"/>
      <c r="AF1452" s="9"/>
      <c r="AG1452" s="27"/>
      <c r="AH1452" s="27"/>
      <c r="AI1452" s="27"/>
      <c r="AJ1452" s="42"/>
      <c r="AK1452" s="27"/>
      <c r="AL1452" s="27"/>
      <c r="AM1452" s="27"/>
      <c r="AN1452" s="27"/>
      <c r="AO1452" s="27"/>
      <c r="AP1452" s="27"/>
      <c r="AQ1452" s="27"/>
    </row>
    <row r="1453" spans="1:43" ht="15.75" customHeight="1">
      <c r="A1453" s="27"/>
      <c r="B1453" s="9"/>
      <c r="C1453" s="27"/>
      <c r="D1453" s="9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42"/>
      <c r="Y1453" s="42"/>
      <c r="Z1453" s="27"/>
      <c r="AA1453" s="27"/>
      <c r="AB1453" s="27"/>
      <c r="AC1453" s="9"/>
      <c r="AD1453" s="27"/>
      <c r="AE1453" s="9"/>
      <c r="AF1453" s="9"/>
      <c r="AG1453" s="27"/>
      <c r="AH1453" s="27"/>
      <c r="AI1453" s="27"/>
      <c r="AJ1453" s="42"/>
      <c r="AK1453" s="27"/>
      <c r="AL1453" s="27"/>
      <c r="AM1453" s="27"/>
      <c r="AN1453" s="27"/>
      <c r="AO1453" s="27"/>
      <c r="AP1453" s="27"/>
      <c r="AQ1453" s="27"/>
    </row>
    <row r="1454" spans="1:43" ht="15.75" customHeight="1">
      <c r="A1454" s="27"/>
      <c r="B1454" s="9"/>
      <c r="C1454" s="27"/>
      <c r="D1454" s="9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42"/>
      <c r="Y1454" s="42"/>
      <c r="Z1454" s="27"/>
      <c r="AA1454" s="27"/>
      <c r="AB1454" s="27"/>
      <c r="AC1454" s="9"/>
      <c r="AD1454" s="27"/>
      <c r="AE1454" s="9"/>
      <c r="AF1454" s="9"/>
      <c r="AG1454" s="27"/>
      <c r="AH1454" s="27"/>
      <c r="AI1454" s="27"/>
      <c r="AJ1454" s="42"/>
      <c r="AK1454" s="27"/>
      <c r="AL1454" s="27"/>
      <c r="AM1454" s="27"/>
      <c r="AN1454" s="27"/>
      <c r="AO1454" s="27"/>
      <c r="AP1454" s="27"/>
      <c r="AQ1454" s="27"/>
    </row>
    <row r="1455" spans="1:43" ht="15.75" customHeight="1">
      <c r="A1455" s="27"/>
      <c r="B1455" s="9"/>
      <c r="C1455" s="27"/>
      <c r="D1455" s="9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42"/>
      <c r="Y1455" s="42"/>
      <c r="Z1455" s="27"/>
      <c r="AA1455" s="27"/>
      <c r="AB1455" s="27"/>
      <c r="AC1455" s="9"/>
      <c r="AD1455" s="27"/>
      <c r="AE1455" s="9"/>
      <c r="AF1455" s="9"/>
      <c r="AG1455" s="27"/>
      <c r="AH1455" s="27"/>
      <c r="AI1455" s="27"/>
      <c r="AJ1455" s="42"/>
      <c r="AK1455" s="27"/>
      <c r="AL1455" s="27"/>
      <c r="AM1455" s="27"/>
      <c r="AN1455" s="27"/>
      <c r="AO1455" s="27"/>
      <c r="AP1455" s="27"/>
      <c r="AQ1455" s="27"/>
    </row>
    <row r="1456" spans="1:43" ht="15.75" customHeight="1">
      <c r="A1456" s="27"/>
      <c r="B1456" s="9"/>
      <c r="C1456" s="27"/>
      <c r="D1456" s="9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42"/>
      <c r="Y1456" s="42"/>
      <c r="Z1456" s="27"/>
      <c r="AA1456" s="27"/>
      <c r="AB1456" s="27"/>
      <c r="AC1456" s="9"/>
      <c r="AD1456" s="27"/>
      <c r="AE1456" s="9"/>
      <c r="AF1456" s="9"/>
      <c r="AG1456" s="27"/>
      <c r="AH1456" s="27"/>
      <c r="AI1456" s="27"/>
      <c r="AJ1456" s="42"/>
      <c r="AK1456" s="27"/>
      <c r="AL1456" s="27"/>
      <c r="AM1456" s="27"/>
      <c r="AN1456" s="27"/>
      <c r="AO1456" s="27"/>
      <c r="AP1456" s="27"/>
      <c r="AQ1456" s="27"/>
    </row>
    <row r="1457" spans="1:43" ht="15.75" customHeight="1">
      <c r="A1457" s="27"/>
      <c r="B1457" s="9"/>
      <c r="C1457" s="27"/>
      <c r="D1457" s="9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42"/>
      <c r="Y1457" s="42"/>
      <c r="Z1457" s="27"/>
      <c r="AA1457" s="27"/>
      <c r="AB1457" s="27"/>
      <c r="AC1457" s="9"/>
      <c r="AD1457" s="27"/>
      <c r="AE1457" s="9"/>
      <c r="AF1457" s="9"/>
      <c r="AG1457" s="27"/>
      <c r="AH1457" s="27"/>
      <c r="AI1457" s="27"/>
      <c r="AJ1457" s="42"/>
      <c r="AK1457" s="27"/>
      <c r="AL1457" s="27"/>
      <c r="AM1457" s="27"/>
      <c r="AN1457" s="27"/>
      <c r="AO1457" s="27"/>
      <c r="AP1457" s="27"/>
      <c r="AQ1457" s="27"/>
    </row>
    <row r="1458" spans="1:43" ht="15.75" customHeight="1">
      <c r="A1458" s="27"/>
      <c r="B1458" s="9"/>
      <c r="C1458" s="27"/>
      <c r="D1458" s="9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42"/>
      <c r="Y1458" s="42"/>
      <c r="Z1458" s="27"/>
      <c r="AA1458" s="27"/>
      <c r="AB1458" s="27"/>
      <c r="AC1458" s="9"/>
      <c r="AD1458" s="27"/>
      <c r="AE1458" s="9"/>
      <c r="AF1458" s="9"/>
      <c r="AG1458" s="27"/>
      <c r="AH1458" s="27"/>
      <c r="AI1458" s="27"/>
      <c r="AJ1458" s="42"/>
      <c r="AK1458" s="27"/>
      <c r="AL1458" s="27"/>
      <c r="AM1458" s="27"/>
      <c r="AN1458" s="27"/>
      <c r="AO1458" s="27"/>
      <c r="AP1458" s="27"/>
      <c r="AQ1458" s="27"/>
    </row>
    <row r="1459" spans="1:43" ht="15.75" customHeight="1">
      <c r="A1459" s="27"/>
      <c r="B1459" s="9"/>
      <c r="C1459" s="27"/>
      <c r="D1459" s="9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42"/>
      <c r="Y1459" s="42"/>
      <c r="Z1459" s="27"/>
      <c r="AA1459" s="27"/>
      <c r="AB1459" s="27"/>
      <c r="AC1459" s="9"/>
      <c r="AD1459" s="27"/>
      <c r="AE1459" s="9"/>
      <c r="AF1459" s="9"/>
      <c r="AG1459" s="27"/>
      <c r="AH1459" s="27"/>
      <c r="AI1459" s="27"/>
      <c r="AJ1459" s="42"/>
      <c r="AK1459" s="27"/>
      <c r="AL1459" s="27"/>
      <c r="AM1459" s="27"/>
      <c r="AN1459" s="27"/>
      <c r="AO1459" s="27"/>
      <c r="AP1459" s="27"/>
      <c r="AQ1459" s="27"/>
    </row>
    <row r="1460" spans="1:43" ht="15.75" customHeight="1">
      <c r="A1460" s="27"/>
      <c r="B1460" s="9"/>
      <c r="C1460" s="27"/>
      <c r="D1460" s="9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42"/>
      <c r="Y1460" s="42"/>
      <c r="Z1460" s="27"/>
      <c r="AA1460" s="27"/>
      <c r="AB1460" s="27"/>
      <c r="AC1460" s="9"/>
      <c r="AD1460" s="27"/>
      <c r="AE1460" s="9"/>
      <c r="AF1460" s="9"/>
      <c r="AG1460" s="27"/>
      <c r="AH1460" s="27"/>
      <c r="AI1460" s="27"/>
      <c r="AJ1460" s="42"/>
      <c r="AK1460" s="27"/>
      <c r="AL1460" s="27"/>
      <c r="AM1460" s="27"/>
      <c r="AN1460" s="27"/>
      <c r="AO1460" s="27"/>
      <c r="AP1460" s="27"/>
      <c r="AQ1460" s="27"/>
    </row>
    <row r="1461" spans="1:43" ht="15.75" customHeight="1">
      <c r="A1461" s="27"/>
      <c r="B1461" s="9"/>
      <c r="C1461" s="27"/>
      <c r="D1461" s="9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42"/>
      <c r="Y1461" s="42"/>
      <c r="Z1461" s="27"/>
      <c r="AA1461" s="27"/>
      <c r="AB1461" s="27"/>
      <c r="AC1461" s="9"/>
      <c r="AD1461" s="27"/>
      <c r="AE1461" s="9"/>
      <c r="AF1461" s="9"/>
      <c r="AG1461" s="27"/>
      <c r="AH1461" s="27"/>
      <c r="AI1461" s="27"/>
      <c r="AJ1461" s="42"/>
      <c r="AK1461" s="27"/>
      <c r="AL1461" s="27"/>
      <c r="AM1461" s="27"/>
      <c r="AN1461" s="27"/>
      <c r="AO1461" s="27"/>
      <c r="AP1461" s="27"/>
      <c r="AQ1461" s="27"/>
    </row>
    <row r="1462" spans="1:43" ht="15.75" customHeight="1">
      <c r="A1462" s="27"/>
      <c r="B1462" s="9"/>
      <c r="C1462" s="27"/>
      <c r="D1462" s="9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42"/>
      <c r="Y1462" s="42"/>
      <c r="Z1462" s="27"/>
      <c r="AA1462" s="27"/>
      <c r="AB1462" s="27"/>
      <c r="AC1462" s="9"/>
      <c r="AD1462" s="27"/>
      <c r="AE1462" s="9"/>
      <c r="AF1462" s="9"/>
      <c r="AG1462" s="27"/>
      <c r="AH1462" s="27"/>
      <c r="AI1462" s="27"/>
      <c r="AJ1462" s="42"/>
      <c r="AK1462" s="27"/>
      <c r="AL1462" s="27"/>
      <c r="AM1462" s="27"/>
      <c r="AN1462" s="27"/>
      <c r="AO1462" s="27"/>
      <c r="AP1462" s="27"/>
      <c r="AQ1462" s="27"/>
    </row>
    <row r="1463" spans="1:43" ht="15.75" customHeight="1">
      <c r="A1463" s="27"/>
      <c r="B1463" s="9"/>
      <c r="C1463" s="27"/>
      <c r="D1463" s="9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42"/>
      <c r="Y1463" s="42"/>
      <c r="Z1463" s="27"/>
      <c r="AA1463" s="27"/>
      <c r="AB1463" s="27"/>
      <c r="AC1463" s="9"/>
      <c r="AD1463" s="27"/>
      <c r="AE1463" s="9"/>
      <c r="AF1463" s="9"/>
      <c r="AG1463" s="27"/>
      <c r="AH1463" s="27"/>
      <c r="AI1463" s="27"/>
      <c r="AJ1463" s="42"/>
      <c r="AK1463" s="27"/>
      <c r="AL1463" s="27"/>
      <c r="AM1463" s="27"/>
      <c r="AN1463" s="27"/>
      <c r="AO1463" s="27"/>
      <c r="AP1463" s="27"/>
      <c r="AQ1463" s="27"/>
    </row>
    <row r="1464" spans="1:43" ht="15.75" customHeight="1">
      <c r="A1464" s="27"/>
      <c r="B1464" s="9"/>
      <c r="C1464" s="27"/>
      <c r="D1464" s="9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42"/>
      <c r="Y1464" s="42"/>
      <c r="Z1464" s="27"/>
      <c r="AA1464" s="27"/>
      <c r="AB1464" s="27"/>
      <c r="AC1464" s="9"/>
      <c r="AD1464" s="27"/>
      <c r="AE1464" s="9"/>
      <c r="AF1464" s="9"/>
      <c r="AG1464" s="27"/>
      <c r="AH1464" s="27"/>
      <c r="AI1464" s="27"/>
      <c r="AJ1464" s="42"/>
      <c r="AK1464" s="27"/>
      <c r="AL1464" s="27"/>
      <c r="AM1464" s="27"/>
      <c r="AN1464" s="27"/>
      <c r="AO1464" s="27"/>
      <c r="AP1464" s="27"/>
      <c r="AQ1464" s="27"/>
    </row>
    <row r="1465" spans="1:43" ht="15.75" customHeight="1">
      <c r="A1465" s="27"/>
      <c r="B1465" s="9"/>
      <c r="C1465" s="27"/>
      <c r="D1465" s="9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42"/>
      <c r="Y1465" s="42"/>
      <c r="Z1465" s="27"/>
      <c r="AA1465" s="27"/>
      <c r="AB1465" s="27"/>
      <c r="AC1465" s="9"/>
      <c r="AD1465" s="27"/>
      <c r="AE1465" s="9"/>
      <c r="AF1465" s="9"/>
      <c r="AG1465" s="27"/>
      <c r="AH1465" s="27"/>
      <c r="AI1465" s="27"/>
      <c r="AJ1465" s="42"/>
      <c r="AK1465" s="27"/>
      <c r="AL1465" s="27"/>
      <c r="AM1465" s="27"/>
      <c r="AN1465" s="27"/>
      <c r="AO1465" s="27"/>
      <c r="AP1465" s="27"/>
      <c r="AQ1465" s="27"/>
    </row>
    <row r="1466" spans="1:43" ht="15.75" customHeight="1">
      <c r="A1466" s="27"/>
      <c r="B1466" s="9"/>
      <c r="C1466" s="27"/>
      <c r="D1466" s="9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42"/>
      <c r="Y1466" s="42"/>
      <c r="Z1466" s="27"/>
      <c r="AA1466" s="27"/>
      <c r="AB1466" s="27"/>
      <c r="AC1466" s="9"/>
      <c r="AD1466" s="27"/>
      <c r="AE1466" s="9"/>
      <c r="AF1466" s="9"/>
      <c r="AG1466" s="27"/>
      <c r="AH1466" s="27"/>
      <c r="AI1466" s="27"/>
      <c r="AJ1466" s="42"/>
      <c r="AK1466" s="27"/>
      <c r="AL1466" s="27"/>
      <c r="AM1466" s="27"/>
      <c r="AN1466" s="27"/>
      <c r="AO1466" s="27"/>
      <c r="AP1466" s="27"/>
      <c r="AQ1466" s="27"/>
    </row>
    <row r="1467" spans="1:43" ht="15.75" customHeight="1">
      <c r="A1467" s="27"/>
      <c r="B1467" s="9"/>
      <c r="C1467" s="27"/>
      <c r="D1467" s="9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42"/>
      <c r="Y1467" s="42"/>
      <c r="Z1467" s="27"/>
      <c r="AA1467" s="27"/>
      <c r="AB1467" s="27"/>
      <c r="AC1467" s="9"/>
      <c r="AD1467" s="27"/>
      <c r="AE1467" s="9"/>
      <c r="AF1467" s="9"/>
      <c r="AG1467" s="27"/>
      <c r="AH1467" s="27"/>
      <c r="AI1467" s="27"/>
      <c r="AJ1467" s="42"/>
      <c r="AK1467" s="27"/>
      <c r="AL1467" s="27"/>
      <c r="AM1467" s="27"/>
      <c r="AN1467" s="27"/>
      <c r="AO1467" s="27"/>
      <c r="AP1467" s="27"/>
      <c r="AQ1467" s="27"/>
    </row>
    <row r="1468" spans="1:43" ht="15.75" customHeight="1">
      <c r="A1468" s="27"/>
      <c r="B1468" s="9"/>
      <c r="C1468" s="27"/>
      <c r="D1468" s="9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42"/>
      <c r="Y1468" s="42"/>
      <c r="Z1468" s="27"/>
      <c r="AA1468" s="27"/>
      <c r="AB1468" s="27"/>
      <c r="AC1468" s="9"/>
      <c r="AD1468" s="27"/>
      <c r="AE1468" s="9"/>
      <c r="AF1468" s="9"/>
      <c r="AG1468" s="27"/>
      <c r="AH1468" s="27"/>
      <c r="AI1468" s="27"/>
      <c r="AJ1468" s="42"/>
      <c r="AK1468" s="27"/>
      <c r="AL1468" s="27"/>
      <c r="AM1468" s="27"/>
      <c r="AN1468" s="27"/>
      <c r="AO1468" s="27"/>
      <c r="AP1468" s="27"/>
      <c r="AQ1468" s="27"/>
    </row>
    <row r="1469" spans="1:43" ht="15.75" customHeight="1">
      <c r="A1469" s="27"/>
      <c r="B1469" s="9"/>
      <c r="C1469" s="27"/>
      <c r="D1469" s="9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42"/>
      <c r="Y1469" s="42"/>
      <c r="Z1469" s="27"/>
      <c r="AA1469" s="27"/>
      <c r="AB1469" s="27"/>
      <c r="AC1469" s="9"/>
      <c r="AD1469" s="27"/>
      <c r="AE1469" s="9"/>
      <c r="AF1469" s="9"/>
      <c r="AG1469" s="27"/>
      <c r="AH1469" s="27"/>
      <c r="AI1469" s="27"/>
      <c r="AJ1469" s="42"/>
      <c r="AK1469" s="27"/>
      <c r="AL1469" s="27"/>
      <c r="AM1469" s="27"/>
      <c r="AN1469" s="27"/>
      <c r="AO1469" s="27"/>
      <c r="AP1469" s="27"/>
      <c r="AQ1469" s="27"/>
    </row>
    <row r="1470" spans="1:43" ht="15.75" customHeight="1">
      <c r="A1470" s="27"/>
      <c r="B1470" s="9"/>
      <c r="C1470" s="27"/>
      <c r="D1470" s="9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42"/>
      <c r="Y1470" s="42"/>
      <c r="Z1470" s="27"/>
      <c r="AA1470" s="27"/>
      <c r="AB1470" s="27"/>
      <c r="AC1470" s="9"/>
      <c r="AD1470" s="27"/>
      <c r="AE1470" s="9"/>
      <c r="AF1470" s="9"/>
      <c r="AG1470" s="27"/>
      <c r="AH1470" s="27"/>
      <c r="AI1470" s="27"/>
      <c r="AJ1470" s="42"/>
      <c r="AK1470" s="27"/>
      <c r="AL1470" s="27"/>
      <c r="AM1470" s="27"/>
      <c r="AN1470" s="27"/>
      <c r="AO1470" s="27"/>
      <c r="AP1470" s="27"/>
      <c r="AQ1470" s="27"/>
    </row>
    <row r="1471" spans="1:43" ht="15.75" customHeight="1">
      <c r="A1471" s="27"/>
      <c r="B1471" s="9"/>
      <c r="C1471" s="27"/>
      <c r="D1471" s="9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42"/>
      <c r="Y1471" s="42"/>
      <c r="Z1471" s="27"/>
      <c r="AA1471" s="27"/>
      <c r="AB1471" s="27"/>
      <c r="AC1471" s="9"/>
      <c r="AD1471" s="27"/>
      <c r="AE1471" s="9"/>
      <c r="AF1471" s="9"/>
      <c r="AG1471" s="27"/>
      <c r="AH1471" s="27"/>
      <c r="AI1471" s="27"/>
      <c r="AJ1471" s="42"/>
      <c r="AK1471" s="27"/>
      <c r="AL1471" s="27"/>
      <c r="AM1471" s="27"/>
      <c r="AN1471" s="27"/>
      <c r="AO1471" s="27"/>
      <c r="AP1471" s="27"/>
      <c r="AQ1471" s="27"/>
    </row>
    <row r="1472" spans="1:43" ht="15.75" customHeight="1">
      <c r="A1472" s="27"/>
      <c r="B1472" s="9"/>
      <c r="C1472" s="27"/>
      <c r="D1472" s="9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42"/>
      <c r="Y1472" s="42"/>
      <c r="Z1472" s="27"/>
      <c r="AA1472" s="27"/>
      <c r="AB1472" s="27"/>
      <c r="AC1472" s="9"/>
      <c r="AD1472" s="27"/>
      <c r="AE1472" s="9"/>
      <c r="AF1472" s="9"/>
      <c r="AG1472" s="27"/>
      <c r="AH1472" s="27"/>
      <c r="AI1472" s="27"/>
      <c r="AJ1472" s="42"/>
      <c r="AK1472" s="27"/>
      <c r="AL1472" s="27"/>
      <c r="AM1472" s="27"/>
      <c r="AN1472" s="27"/>
      <c r="AO1472" s="27"/>
      <c r="AP1472" s="27"/>
      <c r="AQ1472" s="27"/>
    </row>
    <row r="1473" spans="1:43" ht="15.75" customHeight="1">
      <c r="A1473" s="27"/>
      <c r="B1473" s="9"/>
      <c r="C1473" s="27"/>
      <c r="D1473" s="9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42"/>
      <c r="Y1473" s="42"/>
      <c r="Z1473" s="27"/>
      <c r="AA1473" s="27"/>
      <c r="AB1473" s="27"/>
      <c r="AC1473" s="9"/>
      <c r="AD1473" s="27"/>
      <c r="AE1473" s="9"/>
      <c r="AF1473" s="9"/>
      <c r="AG1473" s="27"/>
      <c r="AH1473" s="27"/>
      <c r="AI1473" s="27"/>
      <c r="AJ1473" s="42"/>
      <c r="AK1473" s="27"/>
      <c r="AL1473" s="27"/>
      <c r="AM1473" s="27"/>
      <c r="AN1473" s="27"/>
      <c r="AO1473" s="27"/>
      <c r="AP1473" s="27"/>
      <c r="AQ1473" s="27"/>
    </row>
    <row r="1474" spans="1:43" ht="15.75" customHeight="1">
      <c r="A1474" s="27"/>
      <c r="B1474" s="9"/>
      <c r="C1474" s="27"/>
      <c r="D1474" s="9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42"/>
      <c r="Y1474" s="42"/>
      <c r="Z1474" s="27"/>
      <c r="AA1474" s="27"/>
      <c r="AB1474" s="27"/>
      <c r="AC1474" s="9"/>
      <c r="AD1474" s="27"/>
      <c r="AE1474" s="9"/>
      <c r="AF1474" s="9"/>
      <c r="AG1474" s="27"/>
      <c r="AH1474" s="27"/>
      <c r="AI1474" s="27"/>
      <c r="AJ1474" s="42"/>
      <c r="AK1474" s="27"/>
      <c r="AL1474" s="27"/>
      <c r="AM1474" s="27"/>
      <c r="AN1474" s="27"/>
      <c r="AO1474" s="27"/>
      <c r="AP1474" s="27"/>
      <c r="AQ1474" s="27"/>
    </row>
    <row r="1475" spans="1:43" ht="15.75" customHeight="1">
      <c r="A1475" s="27"/>
      <c r="B1475" s="9"/>
      <c r="C1475" s="27"/>
      <c r="D1475" s="9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42"/>
      <c r="Y1475" s="42"/>
      <c r="Z1475" s="27"/>
      <c r="AA1475" s="27"/>
      <c r="AB1475" s="27"/>
      <c r="AC1475" s="9"/>
      <c r="AD1475" s="27"/>
      <c r="AE1475" s="9"/>
      <c r="AF1475" s="9"/>
      <c r="AG1475" s="27"/>
      <c r="AH1475" s="27"/>
      <c r="AI1475" s="27"/>
      <c r="AJ1475" s="42"/>
      <c r="AK1475" s="27"/>
      <c r="AL1475" s="27"/>
      <c r="AM1475" s="27"/>
      <c r="AN1475" s="27"/>
      <c r="AO1475" s="27"/>
      <c r="AP1475" s="27"/>
      <c r="AQ1475" s="27"/>
    </row>
    <row r="1476" spans="1:43" ht="15.75" customHeight="1">
      <c r="A1476" s="27"/>
      <c r="B1476" s="9"/>
      <c r="C1476" s="27"/>
      <c r="D1476" s="9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42"/>
      <c r="Y1476" s="42"/>
      <c r="Z1476" s="27"/>
      <c r="AA1476" s="27"/>
      <c r="AB1476" s="27"/>
      <c r="AC1476" s="9"/>
      <c r="AD1476" s="27"/>
      <c r="AE1476" s="9"/>
      <c r="AF1476" s="9"/>
      <c r="AG1476" s="27"/>
      <c r="AH1476" s="27"/>
      <c r="AI1476" s="27"/>
      <c r="AJ1476" s="42"/>
      <c r="AK1476" s="27"/>
      <c r="AL1476" s="27"/>
      <c r="AM1476" s="27"/>
      <c r="AN1476" s="27"/>
      <c r="AO1476" s="27"/>
      <c r="AP1476" s="27"/>
      <c r="AQ1476" s="27"/>
    </row>
    <row r="1477" spans="1:43" ht="15.75" customHeight="1">
      <c r="A1477" s="27"/>
      <c r="B1477" s="9"/>
      <c r="C1477" s="27"/>
      <c r="D1477" s="9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42"/>
      <c r="Y1477" s="42"/>
      <c r="Z1477" s="27"/>
      <c r="AA1477" s="27"/>
      <c r="AB1477" s="27"/>
      <c r="AC1477" s="9"/>
      <c r="AD1477" s="27"/>
      <c r="AE1477" s="9"/>
      <c r="AF1477" s="9"/>
      <c r="AG1477" s="27"/>
      <c r="AH1477" s="27"/>
      <c r="AI1477" s="27"/>
      <c r="AJ1477" s="42"/>
      <c r="AK1477" s="27"/>
      <c r="AL1477" s="27"/>
      <c r="AM1477" s="27"/>
      <c r="AN1477" s="27"/>
      <c r="AO1477" s="27"/>
      <c r="AP1477" s="27"/>
      <c r="AQ1477" s="27"/>
    </row>
    <row r="1478" spans="1:43" ht="15.75" customHeight="1">
      <c r="A1478" s="27"/>
      <c r="B1478" s="9"/>
      <c r="C1478" s="27"/>
      <c r="D1478" s="9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42"/>
      <c r="Y1478" s="42"/>
      <c r="Z1478" s="27"/>
      <c r="AA1478" s="27"/>
      <c r="AB1478" s="27"/>
      <c r="AC1478" s="9"/>
      <c r="AD1478" s="27"/>
      <c r="AE1478" s="9"/>
      <c r="AF1478" s="9"/>
      <c r="AG1478" s="27"/>
      <c r="AH1478" s="27"/>
      <c r="AI1478" s="27"/>
      <c r="AJ1478" s="42"/>
      <c r="AK1478" s="27"/>
      <c r="AL1478" s="27"/>
      <c r="AM1478" s="27"/>
      <c r="AN1478" s="27"/>
      <c r="AO1478" s="27"/>
      <c r="AP1478" s="27"/>
      <c r="AQ1478" s="27"/>
    </row>
    <row r="1479" spans="1:43" ht="15.75" customHeight="1">
      <c r="A1479" s="27"/>
      <c r="B1479" s="9"/>
      <c r="C1479" s="27"/>
      <c r="D1479" s="9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42"/>
      <c r="Y1479" s="42"/>
      <c r="Z1479" s="27"/>
      <c r="AA1479" s="27"/>
      <c r="AB1479" s="27"/>
      <c r="AC1479" s="9"/>
      <c r="AD1479" s="27"/>
      <c r="AE1479" s="9"/>
      <c r="AF1479" s="9"/>
      <c r="AG1479" s="27"/>
      <c r="AH1479" s="27"/>
      <c r="AI1479" s="27"/>
      <c r="AJ1479" s="42"/>
      <c r="AK1479" s="27"/>
      <c r="AL1479" s="27"/>
      <c r="AM1479" s="27"/>
      <c r="AN1479" s="27"/>
      <c r="AO1479" s="27"/>
      <c r="AP1479" s="27"/>
      <c r="AQ1479" s="27"/>
    </row>
    <row r="1480" spans="1:43" ht="15.75" customHeight="1">
      <c r="A1480" s="27"/>
      <c r="B1480" s="9"/>
      <c r="C1480" s="27"/>
      <c r="D1480" s="9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42"/>
      <c r="Y1480" s="42"/>
      <c r="Z1480" s="27"/>
      <c r="AA1480" s="27"/>
      <c r="AB1480" s="27"/>
      <c r="AC1480" s="9"/>
      <c r="AD1480" s="27"/>
      <c r="AE1480" s="9"/>
      <c r="AF1480" s="9"/>
      <c r="AG1480" s="27"/>
      <c r="AH1480" s="27"/>
      <c r="AI1480" s="27"/>
      <c r="AJ1480" s="42"/>
      <c r="AK1480" s="27"/>
      <c r="AL1480" s="27"/>
      <c r="AM1480" s="27"/>
      <c r="AN1480" s="27"/>
      <c r="AO1480" s="27"/>
      <c r="AP1480" s="27"/>
      <c r="AQ1480" s="27"/>
    </row>
    <row r="1481" spans="1:43" ht="15.75" customHeight="1">
      <c r="A1481" s="27"/>
      <c r="B1481" s="9"/>
      <c r="C1481" s="27"/>
      <c r="D1481" s="9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42"/>
      <c r="Y1481" s="42"/>
      <c r="Z1481" s="27"/>
      <c r="AA1481" s="27"/>
      <c r="AB1481" s="27"/>
      <c r="AC1481" s="9"/>
      <c r="AD1481" s="27"/>
      <c r="AE1481" s="9"/>
      <c r="AF1481" s="9"/>
      <c r="AG1481" s="27"/>
      <c r="AH1481" s="27"/>
      <c r="AI1481" s="27"/>
      <c r="AJ1481" s="42"/>
      <c r="AK1481" s="27"/>
      <c r="AL1481" s="27"/>
      <c r="AM1481" s="27"/>
      <c r="AN1481" s="27"/>
      <c r="AO1481" s="27"/>
      <c r="AP1481" s="27"/>
      <c r="AQ1481" s="27"/>
    </row>
    <row r="1482" spans="1:43" ht="15.75" customHeight="1">
      <c r="A1482" s="27"/>
      <c r="B1482" s="9"/>
      <c r="C1482" s="27"/>
      <c r="D1482" s="9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42"/>
      <c r="Y1482" s="42"/>
      <c r="Z1482" s="27"/>
      <c r="AA1482" s="27"/>
      <c r="AB1482" s="27"/>
      <c r="AC1482" s="9"/>
      <c r="AD1482" s="27"/>
      <c r="AE1482" s="9"/>
      <c r="AF1482" s="9"/>
      <c r="AG1482" s="27"/>
      <c r="AH1482" s="27"/>
      <c r="AI1482" s="27"/>
      <c r="AJ1482" s="42"/>
      <c r="AK1482" s="27"/>
      <c r="AL1482" s="27"/>
      <c r="AM1482" s="27"/>
      <c r="AN1482" s="27"/>
      <c r="AO1482" s="27"/>
      <c r="AP1482" s="27"/>
      <c r="AQ1482" s="27"/>
    </row>
    <row r="1483" spans="1:43" ht="15.75" customHeight="1">
      <c r="A1483" s="27"/>
      <c r="B1483" s="9"/>
      <c r="C1483" s="27"/>
      <c r="D1483" s="9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42"/>
      <c r="Y1483" s="42"/>
      <c r="Z1483" s="27"/>
      <c r="AA1483" s="27"/>
      <c r="AB1483" s="27"/>
      <c r="AC1483" s="9"/>
      <c r="AD1483" s="27"/>
      <c r="AE1483" s="9"/>
      <c r="AF1483" s="9"/>
      <c r="AG1483" s="27"/>
      <c r="AH1483" s="27"/>
      <c r="AI1483" s="27"/>
      <c r="AJ1483" s="42"/>
      <c r="AK1483" s="27"/>
      <c r="AL1483" s="27"/>
      <c r="AM1483" s="27"/>
      <c r="AN1483" s="27"/>
      <c r="AO1483" s="27"/>
      <c r="AP1483" s="27"/>
      <c r="AQ1483" s="27"/>
    </row>
    <row r="1484" spans="1:43" ht="15.75" customHeight="1">
      <c r="A1484" s="27"/>
      <c r="B1484" s="9"/>
      <c r="C1484" s="27"/>
      <c r="D1484" s="9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42"/>
      <c r="Y1484" s="42"/>
      <c r="Z1484" s="27"/>
      <c r="AA1484" s="27"/>
      <c r="AB1484" s="27"/>
      <c r="AC1484" s="9"/>
      <c r="AD1484" s="27"/>
      <c r="AE1484" s="9"/>
      <c r="AF1484" s="9"/>
      <c r="AG1484" s="27"/>
      <c r="AH1484" s="27"/>
      <c r="AI1484" s="27"/>
      <c r="AJ1484" s="42"/>
      <c r="AK1484" s="27"/>
      <c r="AL1484" s="27"/>
      <c r="AM1484" s="27"/>
      <c r="AN1484" s="27"/>
      <c r="AO1484" s="27"/>
      <c r="AP1484" s="27"/>
      <c r="AQ1484" s="27"/>
    </row>
    <row r="1485" spans="1:43" ht="15.75" customHeight="1">
      <c r="A1485" s="27"/>
      <c r="B1485" s="9"/>
      <c r="C1485" s="27"/>
      <c r="D1485" s="9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42"/>
      <c r="Y1485" s="42"/>
      <c r="Z1485" s="27"/>
      <c r="AA1485" s="27"/>
      <c r="AB1485" s="27"/>
      <c r="AC1485" s="9"/>
      <c r="AD1485" s="27"/>
      <c r="AE1485" s="9"/>
      <c r="AF1485" s="9"/>
      <c r="AG1485" s="27"/>
      <c r="AH1485" s="27"/>
      <c r="AI1485" s="27"/>
      <c r="AJ1485" s="42"/>
      <c r="AK1485" s="27"/>
      <c r="AL1485" s="27"/>
      <c r="AM1485" s="27"/>
      <c r="AN1485" s="27"/>
      <c r="AO1485" s="27"/>
      <c r="AP1485" s="27"/>
      <c r="AQ1485" s="27"/>
    </row>
    <row r="1486" spans="1:43" ht="15.75" customHeight="1">
      <c r="A1486" s="27"/>
      <c r="B1486" s="9"/>
      <c r="C1486" s="27"/>
      <c r="D1486" s="9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42"/>
      <c r="Y1486" s="42"/>
      <c r="Z1486" s="27"/>
      <c r="AA1486" s="27"/>
      <c r="AB1486" s="27"/>
      <c r="AC1486" s="9"/>
      <c r="AD1486" s="27"/>
      <c r="AE1486" s="9"/>
      <c r="AF1486" s="9"/>
      <c r="AG1486" s="27"/>
      <c r="AH1486" s="27"/>
      <c r="AI1486" s="27"/>
      <c r="AJ1486" s="42"/>
      <c r="AK1486" s="27"/>
      <c r="AL1486" s="27"/>
      <c r="AM1486" s="27"/>
      <c r="AN1486" s="27"/>
      <c r="AO1486" s="27"/>
      <c r="AP1486" s="27"/>
      <c r="AQ1486" s="27"/>
    </row>
    <row r="1487" spans="1:43" ht="15.75" customHeight="1">
      <c r="A1487" s="27"/>
      <c r="B1487" s="9"/>
      <c r="C1487" s="27"/>
      <c r="D1487" s="9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42"/>
      <c r="Y1487" s="42"/>
      <c r="Z1487" s="27"/>
      <c r="AA1487" s="27"/>
      <c r="AB1487" s="27"/>
      <c r="AC1487" s="9"/>
      <c r="AD1487" s="27"/>
      <c r="AE1487" s="9"/>
      <c r="AF1487" s="9"/>
      <c r="AG1487" s="27"/>
      <c r="AH1487" s="27"/>
      <c r="AI1487" s="27"/>
      <c r="AJ1487" s="42"/>
      <c r="AK1487" s="27"/>
      <c r="AL1487" s="27"/>
      <c r="AM1487" s="27"/>
      <c r="AN1487" s="27"/>
      <c r="AO1487" s="27"/>
      <c r="AP1487" s="27"/>
      <c r="AQ1487" s="27"/>
    </row>
    <row r="1488" spans="1:43" ht="15.75" customHeight="1">
      <c r="A1488" s="27"/>
      <c r="B1488" s="9"/>
      <c r="C1488" s="27"/>
      <c r="D1488" s="9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42"/>
      <c r="Y1488" s="42"/>
      <c r="Z1488" s="27"/>
      <c r="AA1488" s="27"/>
      <c r="AB1488" s="27"/>
      <c r="AC1488" s="9"/>
      <c r="AD1488" s="27"/>
      <c r="AE1488" s="9"/>
      <c r="AF1488" s="9"/>
      <c r="AG1488" s="27"/>
      <c r="AH1488" s="27"/>
      <c r="AI1488" s="27"/>
      <c r="AJ1488" s="42"/>
      <c r="AK1488" s="27"/>
      <c r="AL1488" s="27"/>
      <c r="AM1488" s="27"/>
      <c r="AN1488" s="27"/>
      <c r="AO1488" s="27"/>
      <c r="AP1488" s="27"/>
      <c r="AQ1488" s="27"/>
    </row>
    <row r="1489" spans="1:43" ht="15.75" customHeight="1">
      <c r="A1489" s="27"/>
      <c r="B1489" s="9"/>
      <c r="C1489" s="27"/>
      <c r="D1489" s="9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42"/>
      <c r="Y1489" s="42"/>
      <c r="Z1489" s="27"/>
      <c r="AA1489" s="27"/>
      <c r="AB1489" s="27"/>
      <c r="AC1489" s="9"/>
      <c r="AD1489" s="27"/>
      <c r="AE1489" s="9"/>
      <c r="AF1489" s="9"/>
      <c r="AG1489" s="27"/>
      <c r="AH1489" s="27"/>
      <c r="AI1489" s="27"/>
      <c r="AJ1489" s="42"/>
      <c r="AK1489" s="27"/>
      <c r="AL1489" s="27"/>
      <c r="AM1489" s="27"/>
      <c r="AN1489" s="27"/>
      <c r="AO1489" s="27"/>
      <c r="AP1489" s="27"/>
      <c r="AQ1489" s="27"/>
    </row>
    <row r="1490" spans="1:43" ht="15.75" customHeight="1">
      <c r="A1490" s="27"/>
      <c r="B1490" s="9"/>
      <c r="C1490" s="27"/>
      <c r="D1490" s="9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42"/>
      <c r="Y1490" s="42"/>
      <c r="Z1490" s="27"/>
      <c r="AA1490" s="27"/>
      <c r="AB1490" s="27"/>
      <c r="AC1490" s="9"/>
      <c r="AD1490" s="27"/>
      <c r="AE1490" s="9"/>
      <c r="AF1490" s="9"/>
      <c r="AG1490" s="27"/>
      <c r="AH1490" s="27"/>
      <c r="AI1490" s="27"/>
      <c r="AJ1490" s="42"/>
      <c r="AK1490" s="27"/>
      <c r="AL1490" s="27"/>
      <c r="AM1490" s="27"/>
      <c r="AN1490" s="27"/>
      <c r="AO1490" s="27"/>
      <c r="AP1490" s="27"/>
      <c r="AQ1490" s="27"/>
    </row>
    <row r="1491" spans="1:43" ht="15.75" customHeight="1">
      <c r="A1491" s="27"/>
      <c r="B1491" s="9"/>
      <c r="C1491" s="27"/>
      <c r="D1491" s="9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42"/>
      <c r="Y1491" s="42"/>
      <c r="Z1491" s="27"/>
      <c r="AA1491" s="27"/>
      <c r="AB1491" s="27"/>
      <c r="AC1491" s="9"/>
      <c r="AD1491" s="27"/>
      <c r="AE1491" s="9"/>
      <c r="AF1491" s="9"/>
      <c r="AG1491" s="27"/>
      <c r="AH1491" s="27"/>
      <c r="AI1491" s="27"/>
      <c r="AJ1491" s="42"/>
      <c r="AK1491" s="27"/>
      <c r="AL1491" s="27"/>
      <c r="AM1491" s="27"/>
      <c r="AN1491" s="27"/>
      <c r="AO1491" s="27"/>
      <c r="AP1491" s="27"/>
      <c r="AQ1491" s="27"/>
    </row>
    <row r="1492" spans="1:43" ht="15.75" customHeight="1">
      <c r="A1492" s="27"/>
      <c r="B1492" s="9"/>
      <c r="C1492" s="27"/>
      <c r="D1492" s="9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42"/>
      <c r="Y1492" s="42"/>
      <c r="Z1492" s="27"/>
      <c r="AA1492" s="27"/>
      <c r="AB1492" s="27"/>
      <c r="AC1492" s="9"/>
      <c r="AD1492" s="27"/>
      <c r="AE1492" s="9"/>
      <c r="AF1492" s="9"/>
      <c r="AG1492" s="27"/>
      <c r="AH1492" s="27"/>
      <c r="AI1492" s="27"/>
      <c r="AJ1492" s="42"/>
      <c r="AK1492" s="27"/>
      <c r="AL1492" s="27"/>
      <c r="AM1492" s="27"/>
      <c r="AN1492" s="27"/>
      <c r="AO1492" s="27"/>
      <c r="AP1492" s="27"/>
      <c r="AQ1492" s="27"/>
    </row>
    <row r="1493" spans="1:43" ht="15.75" customHeight="1">
      <c r="A1493" s="27"/>
      <c r="B1493" s="9"/>
      <c r="C1493" s="27"/>
      <c r="D1493" s="9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42"/>
      <c r="Y1493" s="42"/>
      <c r="Z1493" s="27"/>
      <c r="AA1493" s="27"/>
      <c r="AB1493" s="27"/>
      <c r="AC1493" s="9"/>
      <c r="AD1493" s="27"/>
      <c r="AE1493" s="9"/>
      <c r="AF1493" s="9"/>
      <c r="AG1493" s="27"/>
      <c r="AH1493" s="27"/>
      <c r="AI1493" s="27"/>
      <c r="AJ1493" s="42"/>
      <c r="AK1493" s="27"/>
      <c r="AL1493" s="27"/>
      <c r="AM1493" s="27"/>
      <c r="AN1493" s="27"/>
      <c r="AO1493" s="27"/>
      <c r="AP1493" s="27"/>
      <c r="AQ1493" s="27"/>
    </row>
    <row r="1494" spans="1:43" ht="15.75" customHeight="1">
      <c r="A1494" s="27"/>
      <c r="B1494" s="9"/>
      <c r="C1494" s="27"/>
      <c r="D1494" s="9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42"/>
      <c r="Y1494" s="42"/>
      <c r="Z1494" s="27"/>
      <c r="AA1494" s="27"/>
      <c r="AB1494" s="27"/>
      <c r="AC1494" s="9"/>
      <c r="AD1494" s="27"/>
      <c r="AE1494" s="9"/>
      <c r="AF1494" s="9"/>
      <c r="AG1494" s="27"/>
      <c r="AH1494" s="27"/>
      <c r="AI1494" s="27"/>
      <c r="AJ1494" s="42"/>
      <c r="AK1494" s="27"/>
      <c r="AL1494" s="27"/>
      <c r="AM1494" s="27"/>
      <c r="AN1494" s="27"/>
      <c r="AO1494" s="27"/>
      <c r="AP1494" s="27"/>
      <c r="AQ1494" s="27"/>
    </row>
    <row r="1495" spans="1:43" ht="15.75" customHeight="1">
      <c r="A1495" s="27"/>
      <c r="B1495" s="9"/>
      <c r="C1495" s="27"/>
      <c r="D1495" s="9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42"/>
      <c r="Y1495" s="42"/>
      <c r="Z1495" s="27"/>
      <c r="AA1495" s="27"/>
      <c r="AB1495" s="27"/>
      <c r="AC1495" s="9"/>
      <c r="AD1495" s="27"/>
      <c r="AE1495" s="9"/>
      <c r="AF1495" s="9"/>
      <c r="AG1495" s="27"/>
      <c r="AH1495" s="27"/>
      <c r="AI1495" s="27"/>
      <c r="AJ1495" s="42"/>
      <c r="AK1495" s="27"/>
      <c r="AL1495" s="27"/>
      <c r="AM1495" s="27"/>
      <c r="AN1495" s="27"/>
      <c r="AO1495" s="27"/>
      <c r="AP1495" s="27"/>
      <c r="AQ1495" s="27"/>
    </row>
    <row r="1496" spans="1:43" ht="15.75" customHeight="1">
      <c r="A1496" s="27"/>
      <c r="B1496" s="9"/>
      <c r="C1496" s="27"/>
      <c r="D1496" s="9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42"/>
      <c r="Y1496" s="42"/>
      <c r="Z1496" s="27"/>
      <c r="AA1496" s="27"/>
      <c r="AB1496" s="27"/>
      <c r="AC1496" s="9"/>
      <c r="AD1496" s="27"/>
      <c r="AE1496" s="9"/>
      <c r="AF1496" s="9"/>
      <c r="AG1496" s="27"/>
      <c r="AH1496" s="27"/>
      <c r="AI1496" s="27"/>
      <c r="AJ1496" s="42"/>
      <c r="AK1496" s="27"/>
      <c r="AL1496" s="27"/>
      <c r="AM1496" s="27"/>
      <c r="AN1496" s="27"/>
      <c r="AO1496" s="27"/>
      <c r="AP1496" s="27"/>
      <c r="AQ1496" s="27"/>
    </row>
    <row r="1497" spans="1:43" ht="15.75" customHeight="1">
      <c r="A1497" s="27"/>
      <c r="B1497" s="9"/>
      <c r="C1497" s="27"/>
      <c r="D1497" s="9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42"/>
      <c r="Y1497" s="42"/>
      <c r="Z1497" s="27"/>
      <c r="AA1497" s="27"/>
      <c r="AB1497" s="27"/>
      <c r="AC1497" s="9"/>
      <c r="AD1497" s="27"/>
      <c r="AE1497" s="9"/>
      <c r="AF1497" s="9"/>
      <c r="AG1497" s="27"/>
      <c r="AH1497" s="27"/>
      <c r="AI1497" s="27"/>
      <c r="AJ1497" s="42"/>
      <c r="AK1497" s="27"/>
      <c r="AL1497" s="27"/>
      <c r="AM1497" s="27"/>
      <c r="AN1497" s="27"/>
      <c r="AO1497" s="27"/>
      <c r="AP1497" s="27"/>
      <c r="AQ1497" s="27"/>
    </row>
    <row r="1498" spans="1:43" ht="15.75" customHeight="1">
      <c r="A1498" s="27"/>
      <c r="B1498" s="9"/>
      <c r="C1498" s="27"/>
      <c r="D1498" s="9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42"/>
      <c r="Y1498" s="42"/>
      <c r="Z1498" s="27"/>
      <c r="AA1498" s="27"/>
      <c r="AB1498" s="27"/>
      <c r="AC1498" s="9"/>
      <c r="AD1498" s="27"/>
      <c r="AE1498" s="9"/>
      <c r="AF1498" s="9"/>
      <c r="AG1498" s="27"/>
      <c r="AH1498" s="27"/>
      <c r="AI1498" s="27"/>
      <c r="AJ1498" s="42"/>
      <c r="AK1498" s="27"/>
      <c r="AL1498" s="27"/>
      <c r="AM1498" s="27"/>
      <c r="AN1498" s="27"/>
      <c r="AO1498" s="27"/>
      <c r="AP1498" s="27"/>
      <c r="AQ1498" s="27"/>
    </row>
    <row r="1499" spans="1:43" ht="15.75" customHeight="1">
      <c r="A1499" s="27"/>
      <c r="B1499" s="9"/>
      <c r="C1499" s="27"/>
      <c r="D1499" s="9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42"/>
      <c r="Y1499" s="42"/>
      <c r="Z1499" s="27"/>
      <c r="AA1499" s="27"/>
      <c r="AB1499" s="27"/>
      <c r="AC1499" s="9"/>
      <c r="AD1499" s="27"/>
      <c r="AE1499" s="9"/>
      <c r="AF1499" s="9"/>
      <c r="AG1499" s="27"/>
      <c r="AH1499" s="27"/>
      <c r="AI1499" s="27"/>
      <c r="AJ1499" s="42"/>
      <c r="AK1499" s="27"/>
      <c r="AL1499" s="27"/>
      <c r="AM1499" s="27"/>
      <c r="AN1499" s="27"/>
      <c r="AO1499" s="27"/>
      <c r="AP1499" s="27"/>
      <c r="AQ1499" s="27"/>
    </row>
    <row r="1500" spans="1:43" ht="15.75" customHeight="1">
      <c r="A1500" s="27"/>
      <c r="B1500" s="9"/>
      <c r="C1500" s="27"/>
      <c r="D1500" s="9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42"/>
      <c r="Y1500" s="42"/>
      <c r="Z1500" s="27"/>
      <c r="AA1500" s="27"/>
      <c r="AB1500" s="27"/>
      <c r="AC1500" s="9"/>
      <c r="AD1500" s="27"/>
      <c r="AE1500" s="9"/>
      <c r="AF1500" s="9"/>
      <c r="AG1500" s="27"/>
      <c r="AH1500" s="27"/>
      <c r="AI1500" s="27"/>
      <c r="AJ1500" s="42"/>
      <c r="AK1500" s="27"/>
      <c r="AL1500" s="27"/>
      <c r="AM1500" s="27"/>
      <c r="AN1500" s="27"/>
      <c r="AO1500" s="27"/>
      <c r="AP1500" s="27"/>
      <c r="AQ1500" s="27"/>
    </row>
    <row r="1501" spans="1:43" ht="15.75" customHeight="1">
      <c r="A1501" s="27"/>
      <c r="B1501" s="9"/>
      <c r="C1501" s="27"/>
      <c r="D1501" s="9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42"/>
      <c r="Y1501" s="42"/>
      <c r="Z1501" s="27"/>
      <c r="AA1501" s="27"/>
      <c r="AB1501" s="27"/>
      <c r="AC1501" s="9"/>
      <c r="AD1501" s="27"/>
      <c r="AE1501" s="9"/>
      <c r="AF1501" s="9"/>
      <c r="AG1501" s="27"/>
      <c r="AH1501" s="27"/>
      <c r="AI1501" s="27"/>
      <c r="AJ1501" s="42"/>
      <c r="AK1501" s="27"/>
      <c r="AL1501" s="27"/>
      <c r="AM1501" s="27"/>
      <c r="AN1501" s="27"/>
      <c r="AO1501" s="27"/>
      <c r="AP1501" s="27"/>
      <c r="AQ1501" s="27"/>
    </row>
    <row r="1502" spans="1:43" ht="15.75" customHeight="1">
      <c r="A1502" s="27"/>
      <c r="B1502" s="9"/>
      <c r="C1502" s="27"/>
      <c r="D1502" s="9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42"/>
      <c r="Y1502" s="42"/>
      <c r="Z1502" s="27"/>
      <c r="AA1502" s="27"/>
      <c r="AB1502" s="27"/>
      <c r="AC1502" s="9"/>
      <c r="AD1502" s="27"/>
      <c r="AE1502" s="9"/>
      <c r="AF1502" s="9"/>
      <c r="AG1502" s="27"/>
      <c r="AH1502" s="27"/>
      <c r="AI1502" s="27"/>
      <c r="AJ1502" s="42"/>
      <c r="AK1502" s="27"/>
      <c r="AL1502" s="27"/>
      <c r="AM1502" s="27"/>
      <c r="AN1502" s="27"/>
      <c r="AO1502" s="27"/>
      <c r="AP1502" s="27"/>
      <c r="AQ1502" s="27"/>
    </row>
    <row r="1503" spans="1:43" ht="15.75" customHeight="1">
      <c r="A1503" s="27"/>
      <c r="B1503" s="9"/>
      <c r="C1503" s="27"/>
      <c r="D1503" s="9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42"/>
      <c r="Y1503" s="42"/>
      <c r="Z1503" s="27"/>
      <c r="AA1503" s="27"/>
      <c r="AB1503" s="27"/>
      <c r="AC1503" s="9"/>
      <c r="AD1503" s="27"/>
      <c r="AE1503" s="9"/>
      <c r="AF1503" s="9"/>
      <c r="AG1503" s="27"/>
      <c r="AH1503" s="27"/>
      <c r="AI1503" s="27"/>
      <c r="AJ1503" s="42"/>
      <c r="AK1503" s="27"/>
      <c r="AL1503" s="27"/>
      <c r="AM1503" s="27"/>
      <c r="AN1503" s="27"/>
      <c r="AO1503" s="27"/>
      <c r="AP1503" s="27"/>
      <c r="AQ1503" s="27"/>
    </row>
    <row r="1504" spans="1:43" ht="15.75" customHeight="1">
      <c r="A1504" s="27"/>
      <c r="B1504" s="9"/>
      <c r="C1504" s="27"/>
      <c r="D1504" s="9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42"/>
      <c r="Y1504" s="42"/>
      <c r="Z1504" s="27"/>
      <c r="AA1504" s="27"/>
      <c r="AB1504" s="27"/>
      <c r="AC1504" s="9"/>
      <c r="AD1504" s="27"/>
      <c r="AE1504" s="9"/>
      <c r="AF1504" s="9"/>
      <c r="AG1504" s="27"/>
      <c r="AH1504" s="27"/>
      <c r="AI1504" s="27"/>
      <c r="AJ1504" s="42"/>
      <c r="AK1504" s="27"/>
      <c r="AL1504" s="27"/>
      <c r="AM1504" s="27"/>
      <c r="AN1504" s="27"/>
      <c r="AO1504" s="27"/>
      <c r="AP1504" s="27"/>
      <c r="AQ1504" s="27"/>
    </row>
    <row r="1505" spans="1:43" ht="15.75" customHeight="1">
      <c r="A1505" s="27"/>
      <c r="B1505" s="9"/>
      <c r="C1505" s="27"/>
      <c r="D1505" s="9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42"/>
      <c r="Y1505" s="42"/>
      <c r="Z1505" s="27"/>
      <c r="AA1505" s="27"/>
      <c r="AB1505" s="27"/>
      <c r="AC1505" s="9"/>
      <c r="AD1505" s="27"/>
      <c r="AE1505" s="9"/>
      <c r="AF1505" s="9"/>
      <c r="AG1505" s="27"/>
      <c r="AH1505" s="27"/>
      <c r="AI1505" s="27"/>
      <c r="AJ1505" s="42"/>
      <c r="AK1505" s="27"/>
      <c r="AL1505" s="27"/>
      <c r="AM1505" s="27"/>
      <c r="AN1505" s="27"/>
      <c r="AO1505" s="27"/>
      <c r="AP1505" s="27"/>
      <c r="AQ1505" s="27"/>
    </row>
    <row r="1506" spans="1:43" ht="15.75" customHeight="1">
      <c r="A1506" s="27"/>
      <c r="B1506" s="9"/>
      <c r="C1506" s="27"/>
      <c r="D1506" s="9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42"/>
      <c r="Y1506" s="42"/>
      <c r="Z1506" s="27"/>
      <c r="AA1506" s="27"/>
      <c r="AB1506" s="27"/>
      <c r="AC1506" s="9"/>
      <c r="AD1506" s="27"/>
      <c r="AE1506" s="9"/>
      <c r="AF1506" s="9"/>
      <c r="AG1506" s="27"/>
      <c r="AH1506" s="27"/>
      <c r="AI1506" s="27"/>
      <c r="AJ1506" s="42"/>
      <c r="AK1506" s="27"/>
      <c r="AL1506" s="27"/>
      <c r="AM1506" s="27"/>
      <c r="AN1506" s="27"/>
      <c r="AO1506" s="27"/>
      <c r="AP1506" s="27"/>
      <c r="AQ1506" s="27"/>
    </row>
    <row r="1507" spans="1:43" ht="15.75" customHeight="1">
      <c r="A1507" s="27"/>
      <c r="B1507" s="9"/>
      <c r="C1507" s="27"/>
      <c r="D1507" s="9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42"/>
      <c r="Y1507" s="42"/>
      <c r="Z1507" s="27"/>
      <c r="AA1507" s="27"/>
      <c r="AB1507" s="27"/>
      <c r="AC1507" s="9"/>
      <c r="AD1507" s="27"/>
      <c r="AE1507" s="9"/>
      <c r="AF1507" s="9"/>
      <c r="AG1507" s="27"/>
      <c r="AH1507" s="27"/>
      <c r="AI1507" s="27"/>
      <c r="AJ1507" s="42"/>
      <c r="AK1507" s="27"/>
      <c r="AL1507" s="27"/>
      <c r="AM1507" s="27"/>
      <c r="AN1507" s="27"/>
      <c r="AO1507" s="27"/>
      <c r="AP1507" s="27"/>
      <c r="AQ1507" s="27"/>
    </row>
    <row r="1508" spans="1:43" ht="15.75" customHeight="1">
      <c r="A1508" s="27"/>
      <c r="B1508" s="9"/>
      <c r="C1508" s="27"/>
      <c r="D1508" s="9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42"/>
      <c r="Y1508" s="42"/>
      <c r="Z1508" s="27"/>
      <c r="AA1508" s="27"/>
      <c r="AB1508" s="27"/>
      <c r="AC1508" s="9"/>
      <c r="AD1508" s="27"/>
      <c r="AE1508" s="9"/>
      <c r="AF1508" s="9"/>
      <c r="AG1508" s="27"/>
      <c r="AH1508" s="27"/>
      <c r="AI1508" s="27"/>
      <c r="AJ1508" s="42"/>
      <c r="AK1508" s="27"/>
      <c r="AL1508" s="27"/>
      <c r="AM1508" s="27"/>
      <c r="AN1508" s="27"/>
      <c r="AO1508" s="27"/>
      <c r="AP1508" s="27"/>
      <c r="AQ1508" s="27"/>
    </row>
    <row r="1509" spans="1:43" ht="15.75" customHeight="1">
      <c r="A1509" s="27"/>
      <c r="B1509" s="9"/>
      <c r="C1509" s="27"/>
      <c r="D1509" s="9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42"/>
      <c r="Y1509" s="42"/>
      <c r="Z1509" s="27"/>
      <c r="AA1509" s="27"/>
      <c r="AB1509" s="27"/>
      <c r="AC1509" s="9"/>
      <c r="AD1509" s="27"/>
      <c r="AE1509" s="9"/>
      <c r="AF1509" s="9"/>
      <c r="AG1509" s="27"/>
      <c r="AH1509" s="27"/>
      <c r="AI1509" s="27"/>
      <c r="AJ1509" s="42"/>
      <c r="AK1509" s="27"/>
      <c r="AL1509" s="27"/>
      <c r="AM1509" s="27"/>
      <c r="AN1509" s="27"/>
      <c r="AO1509" s="27"/>
      <c r="AP1509" s="27"/>
      <c r="AQ1509" s="27"/>
    </row>
    <row r="1510" spans="1:43" ht="15.75" customHeight="1">
      <c r="A1510" s="27"/>
      <c r="B1510" s="9"/>
      <c r="C1510" s="27"/>
      <c r="D1510" s="9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42"/>
      <c r="Y1510" s="42"/>
      <c r="Z1510" s="27"/>
      <c r="AA1510" s="27"/>
      <c r="AB1510" s="27"/>
      <c r="AC1510" s="9"/>
      <c r="AD1510" s="27"/>
      <c r="AE1510" s="9"/>
      <c r="AF1510" s="9"/>
      <c r="AG1510" s="27"/>
      <c r="AH1510" s="27"/>
      <c r="AI1510" s="27"/>
      <c r="AJ1510" s="42"/>
      <c r="AK1510" s="27"/>
      <c r="AL1510" s="27"/>
      <c r="AM1510" s="27"/>
      <c r="AN1510" s="27"/>
      <c r="AO1510" s="27"/>
      <c r="AP1510" s="27"/>
      <c r="AQ1510" s="27"/>
    </row>
    <row r="1511" spans="1:43" ht="15.75" customHeight="1">
      <c r="A1511" s="27"/>
      <c r="B1511" s="9"/>
      <c r="C1511" s="27"/>
      <c r="D1511" s="9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42"/>
      <c r="Y1511" s="42"/>
      <c r="Z1511" s="27"/>
      <c r="AA1511" s="27"/>
      <c r="AB1511" s="27"/>
      <c r="AC1511" s="9"/>
      <c r="AD1511" s="27"/>
      <c r="AE1511" s="9"/>
      <c r="AF1511" s="9"/>
      <c r="AG1511" s="27"/>
      <c r="AH1511" s="27"/>
      <c r="AI1511" s="27"/>
      <c r="AJ1511" s="42"/>
      <c r="AK1511" s="27"/>
      <c r="AL1511" s="27"/>
      <c r="AM1511" s="27"/>
      <c r="AN1511" s="27"/>
      <c r="AO1511" s="27"/>
      <c r="AP1511" s="27"/>
      <c r="AQ1511" s="27"/>
    </row>
    <row r="1512" spans="1:43" ht="15.75" customHeight="1">
      <c r="A1512" s="27"/>
      <c r="B1512" s="9"/>
      <c r="C1512" s="27"/>
      <c r="D1512" s="9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42"/>
      <c r="Y1512" s="42"/>
      <c r="Z1512" s="27"/>
      <c r="AA1512" s="27"/>
      <c r="AB1512" s="27"/>
      <c r="AC1512" s="9"/>
      <c r="AD1512" s="27"/>
      <c r="AE1512" s="9"/>
      <c r="AF1512" s="9"/>
      <c r="AG1512" s="27"/>
      <c r="AH1512" s="27"/>
      <c r="AI1512" s="27"/>
      <c r="AJ1512" s="42"/>
      <c r="AK1512" s="27"/>
      <c r="AL1512" s="27"/>
      <c r="AM1512" s="27"/>
      <c r="AN1512" s="27"/>
      <c r="AO1512" s="27"/>
      <c r="AP1512" s="27"/>
      <c r="AQ1512" s="27"/>
    </row>
    <row r="1513" spans="1:43" ht="15.75" customHeight="1">
      <c r="A1513" s="27"/>
      <c r="B1513" s="9"/>
      <c r="C1513" s="27"/>
      <c r="D1513" s="9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42"/>
      <c r="Y1513" s="42"/>
      <c r="Z1513" s="27"/>
      <c r="AA1513" s="27"/>
      <c r="AB1513" s="27"/>
      <c r="AC1513" s="9"/>
      <c r="AD1513" s="27"/>
      <c r="AE1513" s="9"/>
      <c r="AF1513" s="9"/>
      <c r="AG1513" s="27"/>
      <c r="AH1513" s="27"/>
      <c r="AI1513" s="27"/>
      <c r="AJ1513" s="42"/>
      <c r="AK1513" s="27"/>
      <c r="AL1513" s="27"/>
      <c r="AM1513" s="27"/>
      <c r="AN1513" s="27"/>
      <c r="AO1513" s="27"/>
      <c r="AP1513" s="27"/>
      <c r="AQ1513" s="27"/>
    </row>
    <row r="1514" spans="1:43" ht="15.75" customHeight="1">
      <c r="A1514" s="27"/>
      <c r="B1514" s="9"/>
      <c r="C1514" s="27"/>
      <c r="D1514" s="9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42"/>
      <c r="Y1514" s="42"/>
      <c r="Z1514" s="27"/>
      <c r="AA1514" s="27"/>
      <c r="AB1514" s="27"/>
      <c r="AC1514" s="9"/>
      <c r="AD1514" s="27"/>
      <c r="AE1514" s="9"/>
      <c r="AF1514" s="9"/>
      <c r="AG1514" s="27"/>
      <c r="AH1514" s="27"/>
      <c r="AI1514" s="27"/>
      <c r="AJ1514" s="42"/>
      <c r="AK1514" s="27"/>
      <c r="AL1514" s="27"/>
      <c r="AM1514" s="27"/>
      <c r="AN1514" s="27"/>
      <c r="AO1514" s="27"/>
      <c r="AP1514" s="27"/>
      <c r="AQ1514" s="27"/>
    </row>
    <row r="1515" spans="1:43" ht="15.75" customHeight="1">
      <c r="A1515" s="27"/>
      <c r="B1515" s="9"/>
      <c r="C1515" s="27"/>
      <c r="D1515" s="9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42"/>
      <c r="Y1515" s="42"/>
      <c r="Z1515" s="27"/>
      <c r="AA1515" s="27"/>
      <c r="AB1515" s="27"/>
      <c r="AC1515" s="9"/>
      <c r="AD1515" s="27"/>
      <c r="AE1515" s="9"/>
      <c r="AF1515" s="9"/>
      <c r="AG1515" s="27"/>
      <c r="AH1515" s="27"/>
      <c r="AI1515" s="27"/>
      <c r="AJ1515" s="42"/>
      <c r="AK1515" s="27"/>
      <c r="AL1515" s="27"/>
      <c r="AM1515" s="27"/>
      <c r="AN1515" s="27"/>
      <c r="AO1515" s="27"/>
      <c r="AP1515" s="27"/>
      <c r="AQ1515" s="27"/>
    </row>
    <row r="1516" spans="1:43" ht="15.75" customHeight="1">
      <c r="A1516" s="27"/>
      <c r="B1516" s="9"/>
      <c r="C1516" s="27"/>
      <c r="D1516" s="9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42"/>
      <c r="Y1516" s="42"/>
      <c r="Z1516" s="27"/>
      <c r="AA1516" s="27"/>
      <c r="AB1516" s="27"/>
      <c r="AC1516" s="9"/>
      <c r="AD1516" s="27"/>
      <c r="AE1516" s="9"/>
      <c r="AF1516" s="9"/>
      <c r="AG1516" s="27"/>
      <c r="AH1516" s="27"/>
      <c r="AI1516" s="27"/>
      <c r="AJ1516" s="42"/>
      <c r="AK1516" s="27"/>
      <c r="AL1516" s="27"/>
      <c r="AM1516" s="27"/>
      <c r="AN1516" s="27"/>
      <c r="AO1516" s="27"/>
      <c r="AP1516" s="27"/>
      <c r="AQ1516" s="27"/>
    </row>
    <row r="1517" spans="1:43" ht="15.75" customHeight="1">
      <c r="A1517" s="27"/>
      <c r="B1517" s="9"/>
      <c r="C1517" s="27"/>
      <c r="D1517" s="9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42"/>
      <c r="Y1517" s="42"/>
      <c r="Z1517" s="27"/>
      <c r="AA1517" s="27"/>
      <c r="AB1517" s="27"/>
      <c r="AC1517" s="9"/>
      <c r="AD1517" s="27"/>
      <c r="AE1517" s="9"/>
      <c r="AF1517" s="9"/>
      <c r="AG1517" s="27"/>
      <c r="AH1517" s="27"/>
      <c r="AI1517" s="27"/>
      <c r="AJ1517" s="42"/>
      <c r="AK1517" s="27"/>
      <c r="AL1517" s="27"/>
      <c r="AM1517" s="27"/>
      <c r="AN1517" s="27"/>
      <c r="AO1517" s="27"/>
      <c r="AP1517" s="27"/>
      <c r="AQ1517" s="27"/>
    </row>
    <row r="1518" spans="1:43" ht="15.75" customHeight="1">
      <c r="A1518" s="27"/>
      <c r="B1518" s="9"/>
      <c r="C1518" s="27"/>
      <c r="D1518" s="9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42"/>
      <c r="Y1518" s="42"/>
      <c r="Z1518" s="27"/>
      <c r="AA1518" s="27"/>
      <c r="AB1518" s="27"/>
      <c r="AC1518" s="9"/>
      <c r="AD1518" s="27"/>
      <c r="AE1518" s="9"/>
      <c r="AF1518" s="9"/>
      <c r="AG1518" s="27"/>
      <c r="AH1518" s="27"/>
      <c r="AI1518" s="27"/>
      <c r="AJ1518" s="42"/>
      <c r="AK1518" s="27"/>
      <c r="AL1518" s="27"/>
      <c r="AM1518" s="27"/>
      <c r="AN1518" s="27"/>
      <c r="AO1518" s="27"/>
      <c r="AP1518" s="27"/>
      <c r="AQ1518" s="27"/>
    </row>
    <row r="1519" spans="1:43" ht="15.75" customHeight="1">
      <c r="A1519" s="27"/>
      <c r="B1519" s="9"/>
      <c r="C1519" s="27"/>
      <c r="D1519" s="9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42"/>
      <c r="Y1519" s="42"/>
      <c r="Z1519" s="27"/>
      <c r="AA1519" s="27"/>
      <c r="AB1519" s="27"/>
      <c r="AC1519" s="9"/>
      <c r="AD1519" s="27"/>
      <c r="AE1519" s="9"/>
      <c r="AF1519" s="9"/>
      <c r="AG1519" s="27"/>
      <c r="AH1519" s="27"/>
      <c r="AI1519" s="27"/>
      <c r="AJ1519" s="42"/>
      <c r="AK1519" s="27"/>
      <c r="AL1519" s="27"/>
      <c r="AM1519" s="27"/>
      <c r="AN1519" s="27"/>
      <c r="AO1519" s="27"/>
      <c r="AP1519" s="27"/>
      <c r="AQ1519" s="27"/>
    </row>
    <row r="1520" spans="1:43" ht="15.75" customHeight="1">
      <c r="A1520" s="27"/>
      <c r="B1520" s="9"/>
      <c r="C1520" s="27"/>
      <c r="D1520" s="9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42"/>
      <c r="Y1520" s="42"/>
      <c r="Z1520" s="27"/>
      <c r="AA1520" s="27"/>
      <c r="AB1520" s="27"/>
      <c r="AC1520" s="9"/>
      <c r="AD1520" s="27"/>
      <c r="AE1520" s="9"/>
      <c r="AF1520" s="9"/>
      <c r="AG1520" s="27"/>
      <c r="AH1520" s="27"/>
      <c r="AI1520" s="27"/>
      <c r="AJ1520" s="42"/>
      <c r="AK1520" s="27"/>
      <c r="AL1520" s="27"/>
      <c r="AM1520" s="27"/>
      <c r="AN1520" s="27"/>
      <c r="AO1520" s="27"/>
      <c r="AP1520" s="27"/>
      <c r="AQ1520" s="27"/>
    </row>
    <row r="1521" spans="1:43" ht="15.75" customHeight="1">
      <c r="A1521" s="27"/>
      <c r="B1521" s="9"/>
      <c r="C1521" s="27"/>
      <c r="D1521" s="9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42"/>
      <c r="Y1521" s="42"/>
      <c r="Z1521" s="27"/>
      <c r="AA1521" s="27"/>
      <c r="AB1521" s="27"/>
      <c r="AC1521" s="9"/>
      <c r="AD1521" s="27"/>
      <c r="AE1521" s="9"/>
      <c r="AF1521" s="9"/>
      <c r="AG1521" s="27"/>
      <c r="AH1521" s="27"/>
      <c r="AI1521" s="27"/>
      <c r="AJ1521" s="42"/>
      <c r="AK1521" s="27"/>
      <c r="AL1521" s="27"/>
      <c r="AM1521" s="27"/>
      <c r="AN1521" s="27"/>
      <c r="AO1521" s="27"/>
      <c r="AP1521" s="27"/>
      <c r="AQ1521" s="27"/>
    </row>
    <row r="1522" spans="1:43" ht="15.75" customHeight="1">
      <c r="A1522" s="27"/>
      <c r="B1522" s="9"/>
      <c r="C1522" s="27"/>
      <c r="D1522" s="9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42"/>
      <c r="Y1522" s="42"/>
      <c r="Z1522" s="27"/>
      <c r="AA1522" s="27"/>
      <c r="AB1522" s="27"/>
      <c r="AC1522" s="9"/>
      <c r="AD1522" s="27"/>
      <c r="AE1522" s="9"/>
      <c r="AF1522" s="9"/>
      <c r="AG1522" s="27"/>
      <c r="AH1522" s="27"/>
      <c r="AI1522" s="27"/>
      <c r="AJ1522" s="42"/>
      <c r="AK1522" s="27"/>
      <c r="AL1522" s="27"/>
      <c r="AM1522" s="27"/>
      <c r="AN1522" s="27"/>
      <c r="AO1522" s="27"/>
      <c r="AP1522" s="27"/>
      <c r="AQ1522" s="27"/>
    </row>
    <row r="1523" spans="1:43" ht="15.75" customHeight="1">
      <c r="A1523" s="27"/>
      <c r="B1523" s="9"/>
      <c r="C1523" s="27"/>
      <c r="D1523" s="9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42"/>
      <c r="Y1523" s="42"/>
      <c r="Z1523" s="27"/>
      <c r="AA1523" s="27"/>
      <c r="AB1523" s="27"/>
      <c r="AC1523" s="9"/>
      <c r="AD1523" s="27"/>
      <c r="AE1523" s="9"/>
      <c r="AF1523" s="9"/>
      <c r="AG1523" s="27"/>
      <c r="AH1523" s="27"/>
      <c r="AI1523" s="27"/>
      <c r="AJ1523" s="42"/>
      <c r="AK1523" s="27"/>
      <c r="AL1523" s="27"/>
      <c r="AM1523" s="27"/>
      <c r="AN1523" s="27"/>
      <c r="AO1523" s="27"/>
      <c r="AP1523" s="27"/>
      <c r="AQ1523" s="27"/>
    </row>
    <row r="1524" spans="1:43" ht="15.75" customHeight="1">
      <c r="A1524" s="27"/>
      <c r="B1524" s="9"/>
      <c r="C1524" s="27"/>
      <c r="D1524" s="9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42"/>
      <c r="Y1524" s="42"/>
      <c r="Z1524" s="27"/>
      <c r="AA1524" s="27"/>
      <c r="AB1524" s="27"/>
      <c r="AC1524" s="9"/>
      <c r="AD1524" s="27"/>
      <c r="AE1524" s="9"/>
      <c r="AF1524" s="9"/>
      <c r="AG1524" s="27"/>
      <c r="AH1524" s="27"/>
      <c r="AI1524" s="27"/>
      <c r="AJ1524" s="42"/>
      <c r="AK1524" s="27"/>
      <c r="AL1524" s="27"/>
      <c r="AM1524" s="27"/>
      <c r="AN1524" s="27"/>
      <c r="AO1524" s="27"/>
      <c r="AP1524" s="27"/>
      <c r="AQ1524" s="27"/>
    </row>
    <row r="1525" spans="1:43" ht="15.75" customHeight="1">
      <c r="A1525" s="27"/>
      <c r="B1525" s="9"/>
      <c r="C1525" s="27"/>
      <c r="D1525" s="9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42"/>
      <c r="Y1525" s="42"/>
      <c r="Z1525" s="27"/>
      <c r="AA1525" s="27"/>
      <c r="AB1525" s="27"/>
      <c r="AC1525" s="9"/>
      <c r="AD1525" s="27"/>
      <c r="AE1525" s="9"/>
      <c r="AF1525" s="9"/>
      <c r="AG1525" s="27"/>
      <c r="AH1525" s="27"/>
      <c r="AI1525" s="27"/>
      <c r="AJ1525" s="42"/>
      <c r="AK1525" s="27"/>
      <c r="AL1525" s="27"/>
      <c r="AM1525" s="27"/>
      <c r="AN1525" s="27"/>
      <c r="AO1525" s="27"/>
      <c r="AP1525" s="27"/>
      <c r="AQ1525" s="27"/>
    </row>
    <row r="1526" spans="1:43" ht="15.75" customHeight="1">
      <c r="A1526" s="27"/>
      <c r="B1526" s="9"/>
      <c r="C1526" s="27"/>
      <c r="D1526" s="9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42"/>
      <c r="Y1526" s="42"/>
      <c r="Z1526" s="27"/>
      <c r="AA1526" s="27"/>
      <c r="AB1526" s="27"/>
      <c r="AC1526" s="9"/>
      <c r="AD1526" s="27"/>
      <c r="AE1526" s="9"/>
      <c r="AF1526" s="9"/>
      <c r="AG1526" s="27"/>
      <c r="AH1526" s="27"/>
      <c r="AI1526" s="27"/>
      <c r="AJ1526" s="42"/>
      <c r="AK1526" s="27"/>
      <c r="AL1526" s="27"/>
      <c r="AM1526" s="27"/>
      <c r="AN1526" s="27"/>
      <c r="AO1526" s="27"/>
      <c r="AP1526" s="27"/>
      <c r="AQ1526" s="27"/>
    </row>
    <row r="1527" spans="1:43" ht="15.75" customHeight="1">
      <c r="A1527" s="27"/>
      <c r="B1527" s="9"/>
      <c r="C1527" s="27"/>
      <c r="D1527" s="9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42"/>
      <c r="Y1527" s="42"/>
      <c r="Z1527" s="27"/>
      <c r="AA1527" s="27"/>
      <c r="AB1527" s="27"/>
      <c r="AC1527" s="9"/>
      <c r="AD1527" s="27"/>
      <c r="AE1527" s="9"/>
      <c r="AF1527" s="9"/>
      <c r="AG1527" s="27"/>
      <c r="AH1527" s="27"/>
      <c r="AI1527" s="27"/>
      <c r="AJ1527" s="42"/>
      <c r="AK1527" s="27"/>
      <c r="AL1527" s="27"/>
      <c r="AM1527" s="27"/>
      <c r="AN1527" s="27"/>
      <c r="AO1527" s="27"/>
      <c r="AP1527" s="27"/>
      <c r="AQ1527" s="27"/>
    </row>
    <row r="1528" spans="1:43" ht="15.75" customHeight="1">
      <c r="A1528" s="27"/>
      <c r="B1528" s="9"/>
      <c r="C1528" s="27"/>
      <c r="D1528" s="9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42"/>
      <c r="Y1528" s="42"/>
      <c r="Z1528" s="27"/>
      <c r="AA1528" s="27"/>
      <c r="AB1528" s="27"/>
      <c r="AC1528" s="9"/>
      <c r="AD1528" s="27"/>
      <c r="AE1528" s="9"/>
      <c r="AF1528" s="9"/>
      <c r="AG1528" s="27"/>
      <c r="AH1528" s="27"/>
      <c r="AI1528" s="27"/>
      <c r="AJ1528" s="42"/>
      <c r="AK1528" s="27"/>
      <c r="AL1528" s="27"/>
      <c r="AM1528" s="27"/>
      <c r="AN1528" s="27"/>
      <c r="AO1528" s="27"/>
      <c r="AP1528" s="27"/>
      <c r="AQ1528" s="27"/>
    </row>
    <row r="1529" spans="1:43" ht="15.75" customHeight="1">
      <c r="A1529" s="27"/>
      <c r="B1529" s="9"/>
      <c r="C1529" s="27"/>
      <c r="D1529" s="9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42"/>
      <c r="Y1529" s="42"/>
      <c r="Z1529" s="27"/>
      <c r="AA1529" s="27"/>
      <c r="AB1529" s="27"/>
      <c r="AC1529" s="9"/>
      <c r="AD1529" s="27"/>
      <c r="AE1529" s="9"/>
      <c r="AF1529" s="9"/>
      <c r="AG1529" s="27"/>
      <c r="AH1529" s="27"/>
      <c r="AI1529" s="27"/>
      <c r="AJ1529" s="42"/>
      <c r="AK1529" s="27"/>
      <c r="AL1529" s="27"/>
      <c r="AM1529" s="27"/>
      <c r="AN1529" s="27"/>
      <c r="AO1529" s="27"/>
      <c r="AP1529" s="27"/>
      <c r="AQ1529" s="27"/>
    </row>
    <row r="1530" spans="1:43" ht="15.75" customHeight="1">
      <c r="A1530" s="27"/>
      <c r="B1530" s="9"/>
      <c r="C1530" s="27"/>
      <c r="D1530" s="9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42"/>
      <c r="Y1530" s="42"/>
      <c r="Z1530" s="27"/>
      <c r="AA1530" s="27"/>
      <c r="AB1530" s="27"/>
      <c r="AC1530" s="9"/>
      <c r="AD1530" s="27"/>
      <c r="AE1530" s="9"/>
      <c r="AF1530" s="9"/>
      <c r="AG1530" s="27"/>
      <c r="AH1530" s="27"/>
      <c r="AI1530" s="27"/>
      <c r="AJ1530" s="42"/>
      <c r="AK1530" s="27"/>
      <c r="AL1530" s="27"/>
      <c r="AM1530" s="27"/>
      <c r="AN1530" s="27"/>
      <c r="AO1530" s="27"/>
      <c r="AP1530" s="27"/>
      <c r="AQ1530" s="27"/>
    </row>
    <row r="1531" spans="1:43" ht="15.75" customHeight="1">
      <c r="A1531" s="27"/>
      <c r="B1531" s="9"/>
      <c r="C1531" s="27"/>
      <c r="D1531" s="9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42"/>
      <c r="Y1531" s="42"/>
      <c r="Z1531" s="27"/>
      <c r="AA1531" s="27"/>
      <c r="AB1531" s="27"/>
      <c r="AC1531" s="9"/>
      <c r="AD1531" s="27"/>
      <c r="AE1531" s="9"/>
      <c r="AF1531" s="9"/>
      <c r="AG1531" s="27"/>
      <c r="AH1531" s="27"/>
      <c r="AI1531" s="27"/>
      <c r="AJ1531" s="42"/>
      <c r="AK1531" s="27"/>
      <c r="AL1531" s="27"/>
      <c r="AM1531" s="27"/>
      <c r="AN1531" s="27"/>
      <c r="AO1531" s="27"/>
      <c r="AP1531" s="27"/>
      <c r="AQ1531" s="27"/>
    </row>
    <row r="1532" spans="1:43" ht="15.75" customHeight="1">
      <c r="A1532" s="27"/>
      <c r="B1532" s="9"/>
      <c r="C1532" s="27"/>
      <c r="D1532" s="9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42"/>
      <c r="Y1532" s="42"/>
      <c r="Z1532" s="27"/>
      <c r="AA1532" s="27"/>
      <c r="AB1532" s="27"/>
      <c r="AC1532" s="9"/>
      <c r="AD1532" s="27"/>
      <c r="AE1532" s="9"/>
      <c r="AF1532" s="9"/>
      <c r="AG1532" s="27"/>
      <c r="AH1532" s="27"/>
      <c r="AI1532" s="27"/>
      <c r="AJ1532" s="42"/>
      <c r="AK1532" s="27"/>
      <c r="AL1532" s="27"/>
      <c r="AM1532" s="27"/>
      <c r="AN1532" s="27"/>
      <c r="AO1532" s="27"/>
      <c r="AP1532" s="27"/>
      <c r="AQ1532" s="27"/>
    </row>
    <row r="1533" spans="1:43" ht="15.75" customHeight="1">
      <c r="A1533" s="27"/>
      <c r="B1533" s="9"/>
      <c r="C1533" s="27"/>
      <c r="D1533" s="9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42"/>
      <c r="Y1533" s="42"/>
      <c r="Z1533" s="27"/>
      <c r="AA1533" s="27"/>
      <c r="AB1533" s="27"/>
      <c r="AC1533" s="9"/>
      <c r="AD1533" s="27"/>
      <c r="AE1533" s="9"/>
      <c r="AF1533" s="9"/>
      <c r="AG1533" s="27"/>
      <c r="AH1533" s="27"/>
      <c r="AI1533" s="27"/>
      <c r="AJ1533" s="42"/>
      <c r="AK1533" s="27"/>
      <c r="AL1533" s="27"/>
      <c r="AM1533" s="27"/>
      <c r="AN1533" s="27"/>
      <c r="AO1533" s="27"/>
      <c r="AP1533" s="27"/>
      <c r="AQ1533" s="27"/>
    </row>
    <row r="1534" spans="1:43" ht="15.75" customHeight="1">
      <c r="A1534" s="27"/>
      <c r="B1534" s="9"/>
      <c r="C1534" s="27"/>
      <c r="D1534" s="9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42"/>
      <c r="Y1534" s="42"/>
      <c r="Z1534" s="27"/>
      <c r="AA1534" s="27"/>
      <c r="AB1534" s="27"/>
      <c r="AC1534" s="9"/>
      <c r="AD1534" s="27"/>
      <c r="AE1534" s="9"/>
      <c r="AF1534" s="9"/>
      <c r="AG1534" s="27"/>
      <c r="AH1534" s="27"/>
      <c r="AI1534" s="27"/>
      <c r="AJ1534" s="42"/>
      <c r="AK1534" s="27"/>
      <c r="AL1534" s="27"/>
      <c r="AM1534" s="27"/>
      <c r="AN1534" s="27"/>
      <c r="AO1534" s="27"/>
      <c r="AP1534" s="27"/>
      <c r="AQ1534" s="27"/>
    </row>
    <row r="1535" spans="1:43" ht="15.75" customHeight="1">
      <c r="A1535" s="27"/>
      <c r="B1535" s="9"/>
      <c r="C1535" s="27"/>
      <c r="D1535" s="9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42"/>
      <c r="Y1535" s="42"/>
      <c r="Z1535" s="27"/>
      <c r="AA1535" s="27"/>
      <c r="AB1535" s="27"/>
      <c r="AC1535" s="9"/>
      <c r="AD1535" s="27"/>
      <c r="AE1535" s="9"/>
      <c r="AF1535" s="9"/>
      <c r="AG1535" s="27"/>
      <c r="AH1535" s="27"/>
      <c r="AI1535" s="27"/>
      <c r="AJ1535" s="42"/>
      <c r="AK1535" s="27"/>
      <c r="AL1535" s="27"/>
      <c r="AM1535" s="27"/>
      <c r="AN1535" s="27"/>
      <c r="AO1535" s="27"/>
      <c r="AP1535" s="27"/>
      <c r="AQ1535" s="27"/>
    </row>
    <row r="1536" spans="1:43" ht="15.75" customHeight="1">
      <c r="A1536" s="27"/>
      <c r="B1536" s="9"/>
      <c r="C1536" s="27"/>
      <c r="D1536" s="9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42"/>
      <c r="Y1536" s="42"/>
      <c r="Z1536" s="27"/>
      <c r="AA1536" s="27"/>
      <c r="AB1536" s="27"/>
      <c r="AC1536" s="9"/>
      <c r="AD1536" s="27"/>
      <c r="AE1536" s="9"/>
      <c r="AF1536" s="9"/>
      <c r="AG1536" s="27"/>
      <c r="AH1536" s="27"/>
      <c r="AI1536" s="27"/>
      <c r="AJ1536" s="42"/>
      <c r="AK1536" s="27"/>
      <c r="AL1536" s="27"/>
      <c r="AM1536" s="27"/>
      <c r="AN1536" s="27"/>
      <c r="AO1536" s="27"/>
      <c r="AP1536" s="27"/>
      <c r="AQ1536" s="27"/>
    </row>
    <row r="1537" spans="1:43" ht="15.75" customHeight="1">
      <c r="A1537" s="27"/>
      <c r="B1537" s="9"/>
      <c r="C1537" s="27"/>
      <c r="D1537" s="9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42"/>
      <c r="Y1537" s="42"/>
      <c r="Z1537" s="27"/>
      <c r="AA1537" s="27"/>
      <c r="AB1537" s="27"/>
      <c r="AC1537" s="9"/>
      <c r="AD1537" s="27"/>
      <c r="AE1537" s="9"/>
      <c r="AF1537" s="9"/>
      <c r="AG1537" s="27"/>
      <c r="AH1537" s="27"/>
      <c r="AI1537" s="27"/>
      <c r="AJ1537" s="42"/>
      <c r="AK1537" s="27"/>
      <c r="AL1537" s="27"/>
      <c r="AM1537" s="27"/>
      <c r="AN1537" s="27"/>
      <c r="AO1537" s="27"/>
      <c r="AP1537" s="27"/>
      <c r="AQ1537" s="27"/>
    </row>
    <row r="1538" spans="1:43" ht="15.75" customHeight="1">
      <c r="A1538" s="27"/>
      <c r="B1538" s="9"/>
      <c r="C1538" s="27"/>
      <c r="D1538" s="9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42"/>
      <c r="Y1538" s="42"/>
      <c r="Z1538" s="27"/>
      <c r="AA1538" s="27"/>
      <c r="AB1538" s="27"/>
      <c r="AC1538" s="9"/>
      <c r="AD1538" s="27"/>
      <c r="AE1538" s="9"/>
      <c r="AF1538" s="9"/>
      <c r="AG1538" s="27"/>
      <c r="AH1538" s="27"/>
      <c r="AI1538" s="27"/>
      <c r="AJ1538" s="42"/>
      <c r="AK1538" s="27"/>
      <c r="AL1538" s="27"/>
      <c r="AM1538" s="27"/>
      <c r="AN1538" s="27"/>
      <c r="AO1538" s="27"/>
      <c r="AP1538" s="27"/>
      <c r="AQ1538" s="27"/>
    </row>
    <row r="1539" spans="1:43" ht="15.75" customHeight="1">
      <c r="A1539" s="27"/>
      <c r="B1539" s="9"/>
      <c r="C1539" s="27"/>
      <c r="D1539" s="9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42"/>
      <c r="Y1539" s="42"/>
      <c r="Z1539" s="27"/>
      <c r="AA1539" s="27"/>
      <c r="AB1539" s="27"/>
      <c r="AC1539" s="9"/>
      <c r="AD1539" s="27"/>
      <c r="AE1539" s="9"/>
      <c r="AF1539" s="9"/>
      <c r="AG1539" s="27"/>
      <c r="AH1539" s="27"/>
      <c r="AI1539" s="27"/>
      <c r="AJ1539" s="42"/>
      <c r="AK1539" s="27"/>
      <c r="AL1539" s="27"/>
      <c r="AM1539" s="27"/>
      <c r="AN1539" s="27"/>
      <c r="AO1539" s="27"/>
      <c r="AP1539" s="27"/>
      <c r="AQ1539" s="27"/>
    </row>
    <row r="1540" spans="1:43" ht="15.75" customHeight="1">
      <c r="A1540" s="27"/>
      <c r="B1540" s="9"/>
      <c r="C1540" s="27"/>
      <c r="D1540" s="9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42"/>
      <c r="Y1540" s="42"/>
      <c r="Z1540" s="27"/>
      <c r="AA1540" s="27"/>
      <c r="AB1540" s="27"/>
      <c r="AC1540" s="9"/>
      <c r="AD1540" s="27"/>
      <c r="AE1540" s="9"/>
      <c r="AF1540" s="9"/>
      <c r="AG1540" s="27"/>
      <c r="AH1540" s="27"/>
      <c r="AI1540" s="27"/>
      <c r="AJ1540" s="42"/>
      <c r="AK1540" s="27"/>
      <c r="AL1540" s="27"/>
      <c r="AM1540" s="27"/>
      <c r="AN1540" s="27"/>
      <c r="AO1540" s="27"/>
      <c r="AP1540" s="27"/>
      <c r="AQ1540" s="27"/>
    </row>
    <row r="1541" spans="1:43" ht="15.75" customHeight="1">
      <c r="A1541" s="27"/>
      <c r="B1541" s="9"/>
      <c r="C1541" s="27"/>
      <c r="D1541" s="9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42"/>
      <c r="Y1541" s="42"/>
      <c r="Z1541" s="27"/>
      <c r="AA1541" s="27"/>
      <c r="AB1541" s="27"/>
      <c r="AC1541" s="9"/>
      <c r="AD1541" s="27"/>
      <c r="AE1541" s="9"/>
      <c r="AF1541" s="9"/>
      <c r="AG1541" s="27"/>
      <c r="AH1541" s="27"/>
      <c r="AI1541" s="27"/>
      <c r="AJ1541" s="42"/>
      <c r="AK1541" s="27"/>
      <c r="AL1541" s="27"/>
      <c r="AM1541" s="27"/>
      <c r="AN1541" s="27"/>
      <c r="AO1541" s="27"/>
      <c r="AP1541" s="27"/>
      <c r="AQ1541" s="27"/>
    </row>
    <row r="1542" spans="1:43" ht="15.75" customHeight="1">
      <c r="A1542" s="27"/>
      <c r="B1542" s="9"/>
      <c r="C1542" s="27"/>
      <c r="D1542" s="9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42"/>
      <c r="Y1542" s="42"/>
      <c r="Z1542" s="27"/>
      <c r="AA1542" s="27"/>
      <c r="AB1542" s="27"/>
      <c r="AC1542" s="9"/>
      <c r="AD1542" s="27"/>
      <c r="AE1542" s="9"/>
      <c r="AF1542" s="9"/>
      <c r="AG1542" s="27"/>
      <c r="AH1542" s="27"/>
      <c r="AI1542" s="27"/>
      <c r="AJ1542" s="42"/>
      <c r="AK1542" s="27"/>
      <c r="AL1542" s="27"/>
      <c r="AM1542" s="27"/>
      <c r="AN1542" s="27"/>
      <c r="AO1542" s="27"/>
      <c r="AP1542" s="27"/>
      <c r="AQ1542" s="27"/>
    </row>
    <row r="1543" spans="1:43" ht="15.75" customHeight="1">
      <c r="A1543" s="27"/>
      <c r="B1543" s="9"/>
      <c r="C1543" s="27"/>
      <c r="D1543" s="9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42"/>
      <c r="Y1543" s="42"/>
      <c r="Z1543" s="27"/>
      <c r="AA1543" s="27"/>
      <c r="AB1543" s="27"/>
      <c r="AC1543" s="9"/>
      <c r="AD1543" s="27"/>
      <c r="AE1543" s="9"/>
      <c r="AF1543" s="9"/>
      <c r="AG1543" s="27"/>
      <c r="AH1543" s="27"/>
      <c r="AI1543" s="27"/>
      <c r="AJ1543" s="42"/>
      <c r="AK1543" s="27"/>
      <c r="AL1543" s="27"/>
      <c r="AM1543" s="27"/>
      <c r="AN1543" s="27"/>
      <c r="AO1543" s="27"/>
      <c r="AP1543" s="27"/>
      <c r="AQ1543" s="27"/>
    </row>
    <row r="1544" spans="1:43" ht="15.75" customHeight="1">
      <c r="A1544" s="27"/>
      <c r="B1544" s="9"/>
      <c r="C1544" s="27"/>
      <c r="D1544" s="9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42"/>
      <c r="Y1544" s="42"/>
      <c r="Z1544" s="27"/>
      <c r="AA1544" s="27"/>
      <c r="AB1544" s="27"/>
      <c r="AC1544" s="9"/>
      <c r="AD1544" s="27"/>
      <c r="AE1544" s="9"/>
      <c r="AF1544" s="9"/>
      <c r="AG1544" s="27"/>
      <c r="AH1544" s="27"/>
      <c r="AI1544" s="27"/>
      <c r="AJ1544" s="42"/>
      <c r="AK1544" s="27"/>
      <c r="AL1544" s="27"/>
      <c r="AM1544" s="27"/>
      <c r="AN1544" s="27"/>
      <c r="AO1544" s="27"/>
      <c r="AP1544" s="27"/>
      <c r="AQ1544" s="27"/>
    </row>
    <row r="1545" spans="1:43" ht="15.75" customHeight="1">
      <c r="A1545" s="27"/>
      <c r="B1545" s="9"/>
      <c r="C1545" s="27"/>
      <c r="D1545" s="9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42"/>
      <c r="Y1545" s="42"/>
      <c r="Z1545" s="27"/>
      <c r="AA1545" s="27"/>
      <c r="AB1545" s="27"/>
      <c r="AC1545" s="9"/>
      <c r="AD1545" s="27"/>
      <c r="AE1545" s="9"/>
      <c r="AF1545" s="9"/>
      <c r="AG1545" s="27"/>
      <c r="AH1545" s="27"/>
      <c r="AI1545" s="27"/>
      <c r="AJ1545" s="42"/>
      <c r="AK1545" s="27"/>
      <c r="AL1545" s="27"/>
      <c r="AM1545" s="27"/>
      <c r="AN1545" s="27"/>
      <c r="AO1545" s="27"/>
      <c r="AP1545" s="27"/>
      <c r="AQ1545" s="27"/>
    </row>
    <row r="1546" spans="1:43" ht="15.75" customHeight="1">
      <c r="A1546" s="27"/>
      <c r="B1546" s="9"/>
      <c r="C1546" s="27"/>
      <c r="D1546" s="9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42"/>
      <c r="Y1546" s="42"/>
      <c r="Z1546" s="27"/>
      <c r="AA1546" s="27"/>
      <c r="AB1546" s="27"/>
      <c r="AC1546" s="9"/>
      <c r="AD1546" s="27"/>
      <c r="AE1546" s="9"/>
      <c r="AF1546" s="9"/>
      <c r="AG1546" s="27"/>
      <c r="AH1546" s="27"/>
      <c r="AI1546" s="27"/>
      <c r="AJ1546" s="42"/>
      <c r="AK1546" s="27"/>
      <c r="AL1546" s="27"/>
      <c r="AM1546" s="27"/>
      <c r="AN1546" s="27"/>
      <c r="AO1546" s="27"/>
      <c r="AP1546" s="27"/>
      <c r="AQ1546" s="27"/>
    </row>
    <row r="1547" spans="1:43" ht="15.75" customHeight="1">
      <c r="A1547" s="27"/>
      <c r="B1547" s="9"/>
      <c r="C1547" s="27"/>
      <c r="D1547" s="9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42"/>
      <c r="Y1547" s="42"/>
      <c r="Z1547" s="27"/>
      <c r="AA1547" s="27"/>
      <c r="AB1547" s="27"/>
      <c r="AC1547" s="9"/>
      <c r="AD1547" s="27"/>
      <c r="AE1547" s="9"/>
      <c r="AF1547" s="9"/>
      <c r="AG1547" s="27"/>
      <c r="AH1547" s="27"/>
      <c r="AI1547" s="27"/>
      <c r="AJ1547" s="42"/>
      <c r="AK1547" s="27"/>
      <c r="AL1547" s="27"/>
      <c r="AM1547" s="27"/>
      <c r="AN1547" s="27"/>
      <c r="AO1547" s="27"/>
      <c r="AP1547" s="27"/>
      <c r="AQ1547" s="27"/>
    </row>
    <row r="1548" spans="1:43" ht="15.75" customHeight="1">
      <c r="A1548" s="27"/>
      <c r="B1548" s="9"/>
      <c r="C1548" s="27"/>
      <c r="D1548" s="9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42"/>
      <c r="Y1548" s="42"/>
      <c r="Z1548" s="27"/>
      <c r="AA1548" s="27"/>
      <c r="AB1548" s="27"/>
      <c r="AC1548" s="9"/>
      <c r="AD1548" s="27"/>
      <c r="AE1548" s="9"/>
      <c r="AF1548" s="9"/>
      <c r="AG1548" s="27"/>
      <c r="AH1548" s="27"/>
      <c r="AI1548" s="27"/>
      <c r="AJ1548" s="42"/>
      <c r="AK1548" s="27"/>
      <c r="AL1548" s="27"/>
      <c r="AM1548" s="27"/>
      <c r="AN1548" s="27"/>
      <c r="AO1548" s="27"/>
      <c r="AP1548" s="27"/>
      <c r="AQ1548" s="27"/>
    </row>
    <row r="1549" spans="1:43" ht="15.75" customHeight="1">
      <c r="A1549" s="27"/>
      <c r="B1549" s="9"/>
      <c r="C1549" s="27"/>
      <c r="D1549" s="9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42"/>
      <c r="Y1549" s="42"/>
      <c r="Z1549" s="27"/>
      <c r="AA1549" s="27"/>
      <c r="AB1549" s="27"/>
      <c r="AC1549" s="9"/>
      <c r="AD1549" s="27"/>
      <c r="AE1549" s="9"/>
      <c r="AF1549" s="9"/>
      <c r="AG1549" s="27"/>
      <c r="AH1549" s="27"/>
      <c r="AI1549" s="27"/>
      <c r="AJ1549" s="42"/>
      <c r="AK1549" s="27"/>
      <c r="AL1549" s="27"/>
      <c r="AM1549" s="27"/>
      <c r="AN1549" s="27"/>
      <c r="AO1549" s="27"/>
      <c r="AP1549" s="27"/>
      <c r="AQ1549" s="27"/>
    </row>
    <row r="1550" spans="1:43" ht="15.75" customHeight="1">
      <c r="A1550" s="27"/>
      <c r="B1550" s="9"/>
      <c r="C1550" s="27"/>
      <c r="D1550" s="9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42"/>
      <c r="Y1550" s="42"/>
      <c r="Z1550" s="27"/>
      <c r="AA1550" s="27"/>
      <c r="AB1550" s="27"/>
      <c r="AC1550" s="9"/>
      <c r="AD1550" s="27"/>
      <c r="AE1550" s="9"/>
      <c r="AF1550" s="9"/>
      <c r="AG1550" s="27"/>
      <c r="AH1550" s="27"/>
      <c r="AI1550" s="27"/>
      <c r="AJ1550" s="42"/>
      <c r="AK1550" s="27"/>
      <c r="AL1550" s="27"/>
      <c r="AM1550" s="27"/>
      <c r="AN1550" s="27"/>
      <c r="AO1550" s="27"/>
      <c r="AP1550" s="27"/>
      <c r="AQ1550" s="27"/>
    </row>
    <row r="1551" spans="1:43" ht="15.75" customHeight="1">
      <c r="A1551" s="27"/>
      <c r="B1551" s="9"/>
      <c r="C1551" s="27"/>
      <c r="D1551" s="9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42"/>
      <c r="Y1551" s="42"/>
      <c r="Z1551" s="27"/>
      <c r="AA1551" s="27"/>
      <c r="AB1551" s="27"/>
      <c r="AC1551" s="9"/>
      <c r="AD1551" s="27"/>
      <c r="AE1551" s="9"/>
      <c r="AF1551" s="9"/>
      <c r="AG1551" s="27"/>
      <c r="AH1551" s="27"/>
      <c r="AI1551" s="27"/>
      <c r="AJ1551" s="42"/>
      <c r="AK1551" s="27"/>
      <c r="AL1551" s="27"/>
      <c r="AM1551" s="27"/>
      <c r="AN1551" s="27"/>
      <c r="AO1551" s="27"/>
      <c r="AP1551" s="27"/>
      <c r="AQ1551" s="27"/>
    </row>
    <row r="1552" spans="1:43" ht="15.75" customHeight="1">
      <c r="A1552" s="27"/>
      <c r="B1552" s="9"/>
      <c r="C1552" s="27"/>
      <c r="D1552" s="9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42"/>
      <c r="Y1552" s="42"/>
      <c r="Z1552" s="27"/>
      <c r="AA1552" s="27"/>
      <c r="AB1552" s="27"/>
      <c r="AC1552" s="9"/>
      <c r="AD1552" s="27"/>
      <c r="AE1552" s="9"/>
      <c r="AF1552" s="9"/>
      <c r="AG1552" s="27"/>
      <c r="AH1552" s="27"/>
      <c r="AI1552" s="27"/>
      <c r="AJ1552" s="42"/>
      <c r="AK1552" s="27"/>
      <c r="AL1552" s="27"/>
      <c r="AM1552" s="27"/>
      <c r="AN1552" s="27"/>
      <c r="AO1552" s="27"/>
      <c r="AP1552" s="27"/>
      <c r="AQ1552" s="27"/>
    </row>
    <row r="1553" spans="1:43" ht="15.75" customHeight="1">
      <c r="A1553" s="27"/>
      <c r="B1553" s="9"/>
      <c r="C1553" s="27"/>
      <c r="D1553" s="9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42"/>
      <c r="Y1553" s="42"/>
      <c r="Z1553" s="27"/>
      <c r="AA1553" s="27"/>
      <c r="AB1553" s="27"/>
      <c r="AC1553" s="9"/>
      <c r="AD1553" s="27"/>
      <c r="AE1553" s="9"/>
      <c r="AF1553" s="9"/>
      <c r="AG1553" s="27"/>
      <c r="AH1553" s="27"/>
      <c r="AI1553" s="27"/>
      <c r="AJ1553" s="42"/>
      <c r="AK1553" s="27"/>
      <c r="AL1553" s="27"/>
      <c r="AM1553" s="27"/>
      <c r="AN1553" s="27"/>
      <c r="AO1553" s="27"/>
      <c r="AP1553" s="27"/>
      <c r="AQ1553" s="27"/>
    </row>
    <row r="1554" spans="1:43" ht="15.75" customHeight="1">
      <c r="A1554" s="27"/>
      <c r="B1554" s="9"/>
      <c r="C1554" s="27"/>
      <c r="D1554" s="9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42"/>
      <c r="Y1554" s="42"/>
      <c r="Z1554" s="27"/>
      <c r="AA1554" s="27"/>
      <c r="AB1554" s="27"/>
      <c r="AC1554" s="9"/>
      <c r="AD1554" s="27"/>
      <c r="AE1554" s="9"/>
      <c r="AF1554" s="9"/>
      <c r="AG1554" s="27"/>
      <c r="AH1554" s="27"/>
      <c r="AI1554" s="27"/>
      <c r="AJ1554" s="42"/>
      <c r="AK1554" s="27"/>
      <c r="AL1554" s="27"/>
      <c r="AM1554" s="27"/>
      <c r="AN1554" s="27"/>
      <c r="AO1554" s="27"/>
      <c r="AP1554" s="27"/>
      <c r="AQ1554" s="27"/>
    </row>
    <row r="1555" spans="1:43" ht="15.75" customHeight="1">
      <c r="A1555" s="27"/>
      <c r="B1555" s="9"/>
      <c r="C1555" s="27"/>
      <c r="D1555" s="9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42"/>
      <c r="Y1555" s="42"/>
      <c r="Z1555" s="27"/>
      <c r="AA1555" s="27"/>
      <c r="AB1555" s="27"/>
      <c r="AC1555" s="9"/>
      <c r="AD1555" s="27"/>
      <c r="AE1555" s="9"/>
      <c r="AF1555" s="9"/>
      <c r="AG1555" s="27"/>
      <c r="AH1555" s="27"/>
      <c r="AI1555" s="27"/>
      <c r="AJ1555" s="42"/>
      <c r="AK1555" s="27"/>
      <c r="AL1555" s="27"/>
      <c r="AM1555" s="27"/>
      <c r="AN1555" s="27"/>
      <c r="AO1555" s="27"/>
      <c r="AP1555" s="27"/>
      <c r="AQ1555" s="27"/>
    </row>
    <row r="1556" spans="1:43" ht="15.75" customHeight="1">
      <c r="A1556" s="27"/>
      <c r="B1556" s="9"/>
      <c r="C1556" s="27"/>
      <c r="D1556" s="9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42"/>
      <c r="Y1556" s="42"/>
      <c r="Z1556" s="27"/>
      <c r="AA1556" s="27"/>
      <c r="AB1556" s="27"/>
      <c r="AC1556" s="9"/>
      <c r="AD1556" s="27"/>
      <c r="AE1556" s="9"/>
      <c r="AF1556" s="9"/>
      <c r="AG1556" s="27"/>
      <c r="AH1556" s="27"/>
      <c r="AI1556" s="27"/>
      <c r="AJ1556" s="42"/>
      <c r="AK1556" s="27"/>
      <c r="AL1556" s="27"/>
      <c r="AM1556" s="27"/>
      <c r="AN1556" s="27"/>
      <c r="AO1556" s="27"/>
      <c r="AP1556" s="27"/>
      <c r="AQ1556" s="27"/>
    </row>
    <row r="1557" spans="1:43" ht="15.75" customHeight="1">
      <c r="A1557" s="27"/>
      <c r="B1557" s="9"/>
      <c r="C1557" s="27"/>
      <c r="D1557" s="9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42"/>
      <c r="Y1557" s="42"/>
      <c r="Z1557" s="27"/>
      <c r="AA1557" s="27"/>
      <c r="AB1557" s="27"/>
      <c r="AC1557" s="9"/>
      <c r="AD1557" s="27"/>
      <c r="AE1557" s="9"/>
      <c r="AF1557" s="9"/>
      <c r="AG1557" s="27"/>
      <c r="AH1557" s="27"/>
      <c r="AI1557" s="27"/>
      <c r="AJ1557" s="42"/>
      <c r="AK1557" s="27"/>
      <c r="AL1557" s="27"/>
      <c r="AM1557" s="27"/>
      <c r="AN1557" s="27"/>
      <c r="AO1557" s="27"/>
      <c r="AP1557" s="27"/>
      <c r="AQ1557" s="27"/>
    </row>
    <row r="1558" spans="1:43" ht="15.75" customHeight="1">
      <c r="A1558" s="27"/>
      <c r="B1558" s="9"/>
      <c r="C1558" s="27"/>
      <c r="D1558" s="9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42"/>
      <c r="Y1558" s="42"/>
      <c r="Z1558" s="27"/>
      <c r="AA1558" s="27"/>
      <c r="AB1558" s="27"/>
      <c r="AC1558" s="9"/>
      <c r="AD1558" s="27"/>
      <c r="AE1558" s="9"/>
      <c r="AF1558" s="9"/>
      <c r="AG1558" s="27"/>
      <c r="AH1558" s="27"/>
      <c r="AI1558" s="27"/>
      <c r="AJ1558" s="42"/>
      <c r="AK1558" s="27"/>
      <c r="AL1558" s="27"/>
      <c r="AM1558" s="27"/>
      <c r="AN1558" s="27"/>
      <c r="AO1558" s="27"/>
      <c r="AP1558" s="27"/>
      <c r="AQ1558" s="27"/>
    </row>
    <row r="1559" spans="1:43" ht="15.75" customHeight="1">
      <c r="A1559" s="27"/>
      <c r="B1559" s="9"/>
      <c r="C1559" s="27"/>
      <c r="D1559" s="9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42"/>
      <c r="Y1559" s="42"/>
      <c r="Z1559" s="27"/>
      <c r="AA1559" s="27"/>
      <c r="AB1559" s="27"/>
      <c r="AC1559" s="9"/>
      <c r="AD1559" s="27"/>
      <c r="AE1559" s="9"/>
      <c r="AF1559" s="9"/>
      <c r="AG1559" s="27"/>
      <c r="AH1559" s="27"/>
      <c r="AI1559" s="27"/>
      <c r="AJ1559" s="42"/>
      <c r="AK1559" s="27"/>
      <c r="AL1559" s="27"/>
      <c r="AM1559" s="27"/>
      <c r="AN1559" s="27"/>
      <c r="AO1559" s="27"/>
      <c r="AP1559" s="27"/>
      <c r="AQ1559" s="27"/>
    </row>
    <row r="1560" spans="1:43" ht="15.75" customHeight="1">
      <c r="A1560" s="27"/>
      <c r="B1560" s="9"/>
      <c r="C1560" s="27"/>
      <c r="D1560" s="9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42"/>
      <c r="Y1560" s="42"/>
      <c r="Z1560" s="27"/>
      <c r="AA1560" s="27"/>
      <c r="AB1560" s="27"/>
      <c r="AC1560" s="9"/>
      <c r="AD1560" s="27"/>
      <c r="AE1560" s="9"/>
      <c r="AF1560" s="9"/>
      <c r="AG1560" s="27"/>
      <c r="AH1560" s="27"/>
      <c r="AI1560" s="27"/>
      <c r="AJ1560" s="42"/>
      <c r="AK1560" s="27"/>
      <c r="AL1560" s="27"/>
      <c r="AM1560" s="27"/>
      <c r="AN1560" s="27"/>
      <c r="AO1560" s="27"/>
      <c r="AP1560" s="27"/>
      <c r="AQ1560" s="27"/>
    </row>
    <row r="1561" spans="1:43" ht="15.75" customHeight="1">
      <c r="A1561" s="27"/>
      <c r="B1561" s="9"/>
      <c r="C1561" s="27"/>
      <c r="D1561" s="9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42"/>
      <c r="Y1561" s="42"/>
      <c r="Z1561" s="27"/>
      <c r="AA1561" s="27"/>
      <c r="AB1561" s="27"/>
      <c r="AC1561" s="9"/>
      <c r="AD1561" s="27"/>
      <c r="AE1561" s="9"/>
      <c r="AF1561" s="9"/>
      <c r="AG1561" s="27"/>
      <c r="AH1561" s="27"/>
      <c r="AI1561" s="27"/>
      <c r="AJ1561" s="42"/>
      <c r="AK1561" s="27"/>
      <c r="AL1561" s="27"/>
      <c r="AM1561" s="27"/>
      <c r="AN1561" s="27"/>
      <c r="AO1561" s="27"/>
      <c r="AP1561" s="27"/>
      <c r="AQ1561" s="27"/>
    </row>
    <row r="1562" spans="1:43" ht="15.75" customHeight="1">
      <c r="A1562" s="27"/>
      <c r="B1562" s="9"/>
      <c r="C1562" s="27"/>
      <c r="D1562" s="9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42"/>
      <c r="Y1562" s="42"/>
      <c r="Z1562" s="27"/>
      <c r="AA1562" s="27"/>
      <c r="AB1562" s="27"/>
      <c r="AC1562" s="9"/>
      <c r="AD1562" s="27"/>
      <c r="AE1562" s="9"/>
      <c r="AF1562" s="9"/>
      <c r="AG1562" s="27"/>
      <c r="AH1562" s="27"/>
      <c r="AI1562" s="27"/>
      <c r="AJ1562" s="42"/>
      <c r="AK1562" s="27"/>
      <c r="AL1562" s="27"/>
      <c r="AM1562" s="27"/>
      <c r="AN1562" s="27"/>
      <c r="AO1562" s="27"/>
      <c r="AP1562" s="27"/>
      <c r="AQ1562" s="27"/>
    </row>
    <row r="1563" spans="1:43" ht="15.75" customHeight="1">
      <c r="A1563" s="27"/>
      <c r="B1563" s="9"/>
      <c r="C1563" s="27"/>
      <c r="D1563" s="9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42"/>
      <c r="Y1563" s="42"/>
      <c r="Z1563" s="27"/>
      <c r="AA1563" s="27"/>
      <c r="AB1563" s="27"/>
      <c r="AC1563" s="9"/>
      <c r="AD1563" s="27"/>
      <c r="AE1563" s="9"/>
      <c r="AF1563" s="9"/>
      <c r="AG1563" s="27"/>
      <c r="AH1563" s="27"/>
      <c r="AI1563" s="27"/>
      <c r="AJ1563" s="42"/>
      <c r="AK1563" s="27"/>
      <c r="AL1563" s="27"/>
      <c r="AM1563" s="27"/>
      <c r="AN1563" s="27"/>
      <c r="AO1563" s="27"/>
      <c r="AP1563" s="27"/>
      <c r="AQ1563" s="27"/>
    </row>
    <row r="1564" spans="1:43" ht="15.75" customHeight="1">
      <c r="A1564" s="27"/>
      <c r="B1564" s="9"/>
      <c r="C1564" s="27"/>
      <c r="D1564" s="9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42"/>
      <c r="Y1564" s="42"/>
      <c r="Z1564" s="27"/>
      <c r="AA1564" s="27"/>
      <c r="AB1564" s="27"/>
      <c r="AC1564" s="9"/>
      <c r="AD1564" s="27"/>
      <c r="AE1564" s="9"/>
      <c r="AF1564" s="9"/>
      <c r="AG1564" s="27"/>
      <c r="AH1564" s="27"/>
      <c r="AI1564" s="27"/>
      <c r="AJ1564" s="42"/>
      <c r="AK1564" s="27"/>
      <c r="AL1564" s="27"/>
      <c r="AM1564" s="27"/>
      <c r="AN1564" s="27"/>
      <c r="AO1564" s="27"/>
      <c r="AP1564" s="27"/>
      <c r="AQ1564" s="27"/>
    </row>
    <row r="1565" spans="1:43" ht="15.75" customHeight="1">
      <c r="A1565" s="27"/>
      <c r="B1565" s="9"/>
      <c r="C1565" s="27"/>
      <c r="D1565" s="9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42"/>
      <c r="Y1565" s="42"/>
      <c r="Z1565" s="27"/>
      <c r="AA1565" s="27"/>
      <c r="AB1565" s="27"/>
      <c r="AC1565" s="9"/>
      <c r="AD1565" s="27"/>
      <c r="AE1565" s="9"/>
      <c r="AF1565" s="9"/>
      <c r="AG1565" s="27"/>
      <c r="AH1565" s="27"/>
      <c r="AI1565" s="27"/>
      <c r="AJ1565" s="42"/>
      <c r="AK1565" s="27"/>
      <c r="AL1565" s="27"/>
      <c r="AM1565" s="27"/>
      <c r="AN1565" s="27"/>
      <c r="AO1565" s="27"/>
      <c r="AP1565" s="27"/>
      <c r="AQ1565" s="27"/>
    </row>
    <row r="1566" spans="1:43" ht="15.75" customHeight="1">
      <c r="A1566" s="27"/>
      <c r="B1566" s="9"/>
      <c r="C1566" s="27"/>
      <c r="D1566" s="9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42"/>
      <c r="Y1566" s="42"/>
      <c r="Z1566" s="27"/>
      <c r="AA1566" s="27"/>
      <c r="AB1566" s="27"/>
      <c r="AC1566" s="9"/>
      <c r="AD1566" s="27"/>
      <c r="AE1566" s="9"/>
      <c r="AF1566" s="9"/>
      <c r="AG1566" s="27"/>
      <c r="AH1566" s="27"/>
      <c r="AI1566" s="27"/>
      <c r="AJ1566" s="42"/>
      <c r="AK1566" s="27"/>
      <c r="AL1566" s="27"/>
      <c r="AM1566" s="27"/>
      <c r="AN1566" s="27"/>
      <c r="AO1566" s="27"/>
      <c r="AP1566" s="27"/>
      <c r="AQ1566" s="27"/>
    </row>
    <row r="1567" spans="1:43" ht="15.75" customHeight="1">
      <c r="A1567" s="27"/>
      <c r="B1567" s="9"/>
      <c r="C1567" s="27"/>
      <c r="D1567" s="9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42"/>
      <c r="Y1567" s="42"/>
      <c r="Z1567" s="27"/>
      <c r="AA1567" s="27"/>
      <c r="AB1567" s="27"/>
      <c r="AC1567" s="9"/>
      <c r="AD1567" s="27"/>
      <c r="AE1567" s="9"/>
      <c r="AF1567" s="9"/>
      <c r="AG1567" s="27"/>
      <c r="AH1567" s="27"/>
      <c r="AI1567" s="27"/>
      <c r="AJ1567" s="42"/>
      <c r="AK1567" s="27"/>
      <c r="AL1567" s="27"/>
      <c r="AM1567" s="27"/>
      <c r="AN1567" s="27"/>
      <c r="AO1567" s="27"/>
      <c r="AP1567" s="27"/>
      <c r="AQ1567" s="27"/>
    </row>
    <row r="1568" spans="1:43" ht="15.75" customHeight="1">
      <c r="A1568" s="27"/>
      <c r="B1568" s="9"/>
      <c r="C1568" s="27"/>
      <c r="D1568" s="9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42"/>
      <c r="Y1568" s="42"/>
      <c r="Z1568" s="27"/>
      <c r="AA1568" s="27"/>
      <c r="AB1568" s="27"/>
      <c r="AC1568" s="9"/>
      <c r="AD1568" s="27"/>
      <c r="AE1568" s="9"/>
      <c r="AF1568" s="9"/>
      <c r="AG1568" s="27"/>
      <c r="AH1568" s="27"/>
      <c r="AI1568" s="27"/>
      <c r="AJ1568" s="42"/>
      <c r="AK1568" s="27"/>
      <c r="AL1568" s="27"/>
      <c r="AM1568" s="27"/>
      <c r="AN1568" s="27"/>
      <c r="AO1568" s="27"/>
      <c r="AP1568" s="27"/>
      <c r="AQ1568" s="27"/>
    </row>
    <row r="1569" spans="1:43" ht="15.75" customHeight="1">
      <c r="A1569" s="27"/>
      <c r="B1569" s="9"/>
      <c r="C1569" s="27"/>
      <c r="D1569" s="9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42"/>
      <c r="Y1569" s="42"/>
      <c r="Z1569" s="27"/>
      <c r="AA1569" s="27"/>
      <c r="AB1569" s="27"/>
      <c r="AC1569" s="9"/>
      <c r="AD1569" s="27"/>
      <c r="AE1569" s="9"/>
      <c r="AF1569" s="9"/>
      <c r="AG1569" s="27"/>
      <c r="AH1569" s="27"/>
      <c r="AI1569" s="27"/>
      <c r="AJ1569" s="42"/>
      <c r="AK1569" s="27"/>
      <c r="AL1569" s="27"/>
      <c r="AM1569" s="27"/>
      <c r="AN1569" s="27"/>
      <c r="AO1569" s="27"/>
      <c r="AP1569" s="27"/>
      <c r="AQ1569" s="27"/>
    </row>
    <row r="1570" spans="1:43" ht="15.75" customHeight="1">
      <c r="A1570" s="27"/>
      <c r="B1570" s="9"/>
      <c r="C1570" s="27"/>
      <c r="D1570" s="9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42"/>
      <c r="Y1570" s="42"/>
      <c r="Z1570" s="27"/>
      <c r="AA1570" s="27"/>
      <c r="AB1570" s="27"/>
      <c r="AC1570" s="9"/>
      <c r="AD1570" s="27"/>
      <c r="AE1570" s="9"/>
      <c r="AF1570" s="9"/>
      <c r="AG1570" s="27"/>
      <c r="AH1570" s="27"/>
      <c r="AI1570" s="27"/>
      <c r="AJ1570" s="42"/>
      <c r="AK1570" s="27"/>
      <c r="AL1570" s="27"/>
      <c r="AM1570" s="27"/>
      <c r="AN1570" s="27"/>
      <c r="AO1570" s="27"/>
      <c r="AP1570" s="27"/>
      <c r="AQ1570" s="27"/>
    </row>
    <row r="1571" spans="1:43" ht="15.75" customHeight="1">
      <c r="A1571" s="27"/>
      <c r="B1571" s="9"/>
      <c r="C1571" s="27"/>
      <c r="D1571" s="9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42"/>
      <c r="Y1571" s="42"/>
      <c r="Z1571" s="27"/>
      <c r="AA1571" s="27"/>
      <c r="AB1571" s="27"/>
      <c r="AC1571" s="9"/>
      <c r="AD1571" s="27"/>
      <c r="AE1571" s="9"/>
      <c r="AF1571" s="9"/>
      <c r="AG1571" s="27"/>
      <c r="AH1571" s="27"/>
      <c r="AI1571" s="27"/>
      <c r="AJ1571" s="42"/>
      <c r="AK1571" s="27"/>
      <c r="AL1571" s="27"/>
      <c r="AM1571" s="27"/>
      <c r="AN1571" s="27"/>
      <c r="AO1571" s="27"/>
      <c r="AP1571" s="27"/>
      <c r="AQ1571" s="27"/>
    </row>
    <row r="1572" spans="1:43" ht="15.75" customHeight="1">
      <c r="A1572" s="27"/>
      <c r="B1572" s="9"/>
      <c r="C1572" s="27"/>
      <c r="D1572" s="9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42"/>
      <c r="Y1572" s="42"/>
      <c r="Z1572" s="27"/>
      <c r="AA1572" s="27"/>
      <c r="AB1572" s="27"/>
      <c r="AC1572" s="9"/>
      <c r="AD1572" s="27"/>
      <c r="AE1572" s="9"/>
      <c r="AF1572" s="9"/>
      <c r="AG1572" s="27"/>
      <c r="AH1572" s="27"/>
      <c r="AI1572" s="27"/>
      <c r="AJ1572" s="42"/>
      <c r="AK1572" s="27"/>
      <c r="AL1572" s="27"/>
      <c r="AM1572" s="27"/>
      <c r="AN1572" s="27"/>
      <c r="AO1572" s="27"/>
      <c r="AP1572" s="27"/>
      <c r="AQ1572" s="27"/>
    </row>
    <row r="1573" spans="1:43" ht="15.75" customHeight="1">
      <c r="A1573" s="27"/>
      <c r="B1573" s="9"/>
      <c r="C1573" s="27"/>
      <c r="D1573" s="9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42"/>
      <c r="Y1573" s="42"/>
      <c r="Z1573" s="27"/>
      <c r="AA1573" s="27"/>
      <c r="AB1573" s="27"/>
      <c r="AC1573" s="9"/>
      <c r="AD1573" s="27"/>
      <c r="AE1573" s="9"/>
      <c r="AF1573" s="9"/>
      <c r="AG1573" s="27"/>
      <c r="AH1573" s="27"/>
      <c r="AI1573" s="27"/>
      <c r="AJ1573" s="42"/>
      <c r="AK1573" s="27"/>
      <c r="AL1573" s="27"/>
      <c r="AM1573" s="27"/>
      <c r="AN1573" s="27"/>
      <c r="AO1573" s="27"/>
      <c r="AP1573" s="27"/>
      <c r="AQ1573" s="27"/>
    </row>
    <row r="1574" spans="1:43" ht="15.75" customHeight="1">
      <c r="A1574" s="27"/>
      <c r="B1574" s="9"/>
      <c r="C1574" s="27"/>
      <c r="D1574" s="9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42"/>
      <c r="Y1574" s="42"/>
      <c r="Z1574" s="27"/>
      <c r="AA1574" s="27"/>
      <c r="AB1574" s="27"/>
      <c r="AC1574" s="9"/>
      <c r="AD1574" s="27"/>
      <c r="AE1574" s="9"/>
      <c r="AF1574" s="9"/>
      <c r="AG1574" s="27"/>
      <c r="AH1574" s="27"/>
      <c r="AI1574" s="27"/>
      <c r="AJ1574" s="42"/>
      <c r="AK1574" s="27"/>
      <c r="AL1574" s="27"/>
      <c r="AM1574" s="27"/>
      <c r="AN1574" s="27"/>
      <c r="AO1574" s="27"/>
      <c r="AP1574" s="27"/>
      <c r="AQ1574" s="27"/>
    </row>
    <row r="1575" spans="1:43" ht="15.75" customHeight="1">
      <c r="A1575" s="27"/>
      <c r="B1575" s="9"/>
      <c r="C1575" s="27"/>
      <c r="D1575" s="9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42"/>
      <c r="Y1575" s="42"/>
      <c r="Z1575" s="27"/>
      <c r="AA1575" s="27"/>
      <c r="AB1575" s="27"/>
      <c r="AC1575" s="9"/>
      <c r="AD1575" s="27"/>
      <c r="AE1575" s="9"/>
      <c r="AF1575" s="9"/>
      <c r="AG1575" s="27"/>
      <c r="AH1575" s="27"/>
      <c r="AI1575" s="27"/>
      <c r="AJ1575" s="42"/>
      <c r="AK1575" s="27"/>
      <c r="AL1575" s="27"/>
      <c r="AM1575" s="27"/>
      <c r="AN1575" s="27"/>
      <c r="AO1575" s="27"/>
      <c r="AP1575" s="27"/>
      <c r="AQ1575" s="27"/>
    </row>
    <row r="1576" spans="1:43" ht="15.75" customHeight="1">
      <c r="A1576" s="27"/>
      <c r="B1576" s="9"/>
      <c r="C1576" s="27"/>
      <c r="D1576" s="9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42"/>
      <c r="Y1576" s="42"/>
      <c r="Z1576" s="27"/>
      <c r="AA1576" s="27"/>
      <c r="AB1576" s="27"/>
      <c r="AC1576" s="9"/>
      <c r="AD1576" s="27"/>
      <c r="AE1576" s="9"/>
      <c r="AF1576" s="9"/>
      <c r="AG1576" s="27"/>
      <c r="AH1576" s="27"/>
      <c r="AI1576" s="27"/>
      <c r="AJ1576" s="42"/>
      <c r="AK1576" s="27"/>
      <c r="AL1576" s="27"/>
      <c r="AM1576" s="27"/>
      <c r="AN1576" s="27"/>
      <c r="AO1576" s="27"/>
      <c r="AP1576" s="27"/>
      <c r="AQ1576" s="27"/>
    </row>
    <row r="1577" spans="1:43" ht="15.75" customHeight="1">
      <c r="A1577" s="27"/>
      <c r="B1577" s="9"/>
      <c r="C1577" s="27"/>
      <c r="D1577" s="9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42"/>
      <c r="Y1577" s="42"/>
      <c r="Z1577" s="27"/>
      <c r="AA1577" s="27"/>
      <c r="AB1577" s="27"/>
      <c r="AC1577" s="9"/>
      <c r="AD1577" s="27"/>
      <c r="AE1577" s="9"/>
      <c r="AF1577" s="9"/>
      <c r="AG1577" s="27"/>
      <c r="AH1577" s="27"/>
      <c r="AI1577" s="27"/>
      <c r="AJ1577" s="42"/>
      <c r="AK1577" s="27"/>
      <c r="AL1577" s="27"/>
      <c r="AM1577" s="27"/>
      <c r="AN1577" s="27"/>
      <c r="AO1577" s="27"/>
      <c r="AP1577" s="27"/>
      <c r="AQ1577" s="27"/>
    </row>
    <row r="1578" spans="1:43" ht="15.75" customHeight="1">
      <c r="A1578" s="27"/>
      <c r="B1578" s="9"/>
      <c r="C1578" s="27"/>
      <c r="D1578" s="9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42"/>
      <c r="Y1578" s="42"/>
      <c r="Z1578" s="27"/>
      <c r="AA1578" s="27"/>
      <c r="AB1578" s="27"/>
      <c r="AC1578" s="9"/>
      <c r="AD1578" s="27"/>
      <c r="AE1578" s="9"/>
      <c r="AF1578" s="9"/>
      <c r="AG1578" s="27"/>
      <c r="AH1578" s="27"/>
      <c r="AI1578" s="27"/>
      <c r="AJ1578" s="42"/>
      <c r="AK1578" s="27"/>
      <c r="AL1578" s="27"/>
      <c r="AM1578" s="27"/>
      <c r="AN1578" s="27"/>
      <c r="AO1578" s="27"/>
      <c r="AP1578" s="27"/>
      <c r="AQ1578" s="27"/>
    </row>
    <row r="1579" spans="1:43" ht="15.75" customHeight="1">
      <c r="A1579" s="27"/>
      <c r="B1579" s="9"/>
      <c r="C1579" s="27"/>
      <c r="D1579" s="9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42"/>
      <c r="Y1579" s="42"/>
      <c r="Z1579" s="27"/>
      <c r="AA1579" s="27"/>
      <c r="AB1579" s="27"/>
      <c r="AC1579" s="9"/>
      <c r="AD1579" s="27"/>
      <c r="AE1579" s="9"/>
      <c r="AF1579" s="9"/>
      <c r="AG1579" s="27"/>
      <c r="AH1579" s="27"/>
      <c r="AI1579" s="27"/>
      <c r="AJ1579" s="42"/>
      <c r="AK1579" s="27"/>
      <c r="AL1579" s="27"/>
      <c r="AM1579" s="27"/>
      <c r="AN1579" s="27"/>
      <c r="AO1579" s="27"/>
      <c r="AP1579" s="27"/>
      <c r="AQ1579" s="27"/>
    </row>
    <row r="1580" spans="1:43" ht="15.75" customHeight="1">
      <c r="A1580" s="27"/>
      <c r="B1580" s="9"/>
      <c r="C1580" s="27"/>
      <c r="D1580" s="9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42"/>
      <c r="Y1580" s="42"/>
      <c r="Z1580" s="27"/>
      <c r="AA1580" s="27"/>
      <c r="AB1580" s="27"/>
      <c r="AC1580" s="9"/>
      <c r="AD1580" s="27"/>
      <c r="AE1580" s="9"/>
      <c r="AF1580" s="9"/>
      <c r="AG1580" s="27"/>
      <c r="AH1580" s="27"/>
      <c r="AI1580" s="27"/>
      <c r="AJ1580" s="42"/>
      <c r="AK1580" s="27"/>
      <c r="AL1580" s="27"/>
      <c r="AM1580" s="27"/>
      <c r="AN1580" s="27"/>
      <c r="AO1580" s="27"/>
      <c r="AP1580" s="27"/>
      <c r="AQ1580" s="27"/>
    </row>
    <row r="1581" spans="1:43" ht="15.75" customHeight="1">
      <c r="A1581" s="27"/>
      <c r="B1581" s="9"/>
      <c r="C1581" s="27"/>
      <c r="D1581" s="9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42"/>
      <c r="Y1581" s="42"/>
      <c r="Z1581" s="27"/>
      <c r="AA1581" s="27"/>
      <c r="AB1581" s="27"/>
      <c r="AC1581" s="9"/>
      <c r="AD1581" s="27"/>
      <c r="AE1581" s="9"/>
      <c r="AF1581" s="9"/>
      <c r="AG1581" s="27"/>
      <c r="AH1581" s="27"/>
      <c r="AI1581" s="27"/>
      <c r="AJ1581" s="42"/>
      <c r="AK1581" s="27"/>
      <c r="AL1581" s="27"/>
      <c r="AM1581" s="27"/>
      <c r="AN1581" s="27"/>
      <c r="AO1581" s="27"/>
      <c r="AP1581" s="27"/>
      <c r="AQ1581" s="27"/>
    </row>
    <row r="1582" spans="1:43" ht="15.75" customHeight="1">
      <c r="A1582" s="27"/>
      <c r="B1582" s="9"/>
      <c r="C1582" s="27"/>
      <c r="D1582" s="9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42"/>
      <c r="Y1582" s="42"/>
      <c r="Z1582" s="27"/>
      <c r="AA1582" s="27"/>
      <c r="AB1582" s="27"/>
      <c r="AC1582" s="9"/>
      <c r="AD1582" s="27"/>
      <c r="AE1582" s="9"/>
      <c r="AF1582" s="9"/>
      <c r="AG1582" s="27"/>
      <c r="AH1582" s="27"/>
      <c r="AI1582" s="27"/>
      <c r="AJ1582" s="42"/>
      <c r="AK1582" s="27"/>
      <c r="AL1582" s="27"/>
      <c r="AM1582" s="27"/>
      <c r="AN1582" s="27"/>
      <c r="AO1582" s="27"/>
      <c r="AP1582" s="27"/>
      <c r="AQ1582" s="27"/>
    </row>
    <row r="1583" spans="1:43" ht="15.75" customHeight="1">
      <c r="A1583" s="27"/>
      <c r="B1583" s="9"/>
      <c r="C1583" s="27"/>
      <c r="D1583" s="9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42"/>
      <c r="Y1583" s="42"/>
      <c r="Z1583" s="27"/>
      <c r="AA1583" s="27"/>
      <c r="AB1583" s="27"/>
      <c r="AC1583" s="9"/>
      <c r="AD1583" s="27"/>
      <c r="AE1583" s="9"/>
      <c r="AF1583" s="9"/>
      <c r="AG1583" s="27"/>
      <c r="AH1583" s="27"/>
      <c r="AI1583" s="27"/>
      <c r="AJ1583" s="42"/>
      <c r="AK1583" s="27"/>
      <c r="AL1583" s="27"/>
      <c r="AM1583" s="27"/>
      <c r="AN1583" s="27"/>
      <c r="AO1583" s="27"/>
      <c r="AP1583" s="27"/>
      <c r="AQ1583" s="27"/>
    </row>
    <row r="1584" spans="1:43" ht="15.75" customHeight="1">
      <c r="A1584" s="27"/>
      <c r="B1584" s="9"/>
      <c r="C1584" s="27"/>
      <c r="D1584" s="9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42"/>
      <c r="Y1584" s="42"/>
      <c r="Z1584" s="27"/>
      <c r="AA1584" s="27"/>
      <c r="AB1584" s="27"/>
      <c r="AC1584" s="9"/>
      <c r="AD1584" s="27"/>
      <c r="AE1584" s="9"/>
      <c r="AF1584" s="9"/>
      <c r="AG1584" s="27"/>
      <c r="AH1584" s="27"/>
      <c r="AI1584" s="27"/>
      <c r="AJ1584" s="42"/>
      <c r="AK1584" s="27"/>
      <c r="AL1584" s="27"/>
      <c r="AM1584" s="27"/>
      <c r="AN1584" s="27"/>
      <c r="AO1584" s="27"/>
      <c r="AP1584" s="27"/>
      <c r="AQ1584" s="27"/>
    </row>
    <row r="1585" spans="1:43" ht="15.75" customHeight="1">
      <c r="A1585" s="27"/>
      <c r="B1585" s="9"/>
      <c r="C1585" s="27"/>
      <c r="D1585" s="9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42"/>
      <c r="Y1585" s="42"/>
      <c r="Z1585" s="27"/>
      <c r="AA1585" s="27"/>
      <c r="AB1585" s="27"/>
      <c r="AC1585" s="9"/>
      <c r="AD1585" s="27"/>
      <c r="AE1585" s="9"/>
      <c r="AF1585" s="9"/>
      <c r="AG1585" s="27"/>
      <c r="AH1585" s="27"/>
      <c r="AI1585" s="27"/>
      <c r="AJ1585" s="42"/>
      <c r="AK1585" s="27"/>
      <c r="AL1585" s="27"/>
      <c r="AM1585" s="27"/>
      <c r="AN1585" s="27"/>
      <c r="AO1585" s="27"/>
      <c r="AP1585" s="27"/>
      <c r="AQ1585" s="27"/>
    </row>
    <row r="1586" spans="1:43" ht="15.75" customHeight="1">
      <c r="A1586" s="27"/>
      <c r="B1586" s="9"/>
      <c r="C1586" s="27"/>
      <c r="D1586" s="9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42"/>
      <c r="Y1586" s="42"/>
      <c r="Z1586" s="27"/>
      <c r="AA1586" s="27"/>
      <c r="AB1586" s="27"/>
      <c r="AC1586" s="9"/>
      <c r="AD1586" s="27"/>
      <c r="AE1586" s="9"/>
      <c r="AF1586" s="9"/>
      <c r="AG1586" s="27"/>
      <c r="AH1586" s="27"/>
      <c r="AI1586" s="27"/>
      <c r="AJ1586" s="42"/>
      <c r="AK1586" s="27"/>
      <c r="AL1586" s="27"/>
      <c r="AM1586" s="27"/>
      <c r="AN1586" s="27"/>
      <c r="AO1586" s="27"/>
      <c r="AP1586" s="27"/>
      <c r="AQ1586" s="27"/>
    </row>
    <row r="1587" spans="1:43" ht="15.75" customHeight="1">
      <c r="A1587" s="27"/>
      <c r="B1587" s="9"/>
      <c r="C1587" s="27"/>
      <c r="D1587" s="9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42"/>
      <c r="Y1587" s="42"/>
      <c r="Z1587" s="27"/>
      <c r="AA1587" s="27"/>
      <c r="AB1587" s="27"/>
      <c r="AC1587" s="9"/>
      <c r="AD1587" s="27"/>
      <c r="AE1587" s="9"/>
      <c r="AF1587" s="9"/>
      <c r="AG1587" s="27"/>
      <c r="AH1587" s="27"/>
      <c r="AI1587" s="27"/>
      <c r="AJ1587" s="42"/>
      <c r="AK1587" s="27"/>
      <c r="AL1587" s="27"/>
      <c r="AM1587" s="27"/>
      <c r="AN1587" s="27"/>
      <c r="AO1587" s="27"/>
      <c r="AP1587" s="27"/>
      <c r="AQ1587" s="27"/>
    </row>
    <row r="1588" spans="1:43" ht="15.75" customHeight="1">
      <c r="A1588" s="27"/>
      <c r="B1588" s="9"/>
      <c r="C1588" s="27"/>
      <c r="D1588" s="9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42"/>
      <c r="Y1588" s="42"/>
      <c r="Z1588" s="27"/>
      <c r="AA1588" s="27"/>
      <c r="AB1588" s="27"/>
      <c r="AC1588" s="9"/>
      <c r="AD1588" s="27"/>
      <c r="AE1588" s="9"/>
      <c r="AF1588" s="9"/>
      <c r="AG1588" s="27"/>
      <c r="AH1588" s="27"/>
      <c r="AI1588" s="27"/>
      <c r="AJ1588" s="42"/>
      <c r="AK1588" s="27"/>
      <c r="AL1588" s="27"/>
      <c r="AM1588" s="27"/>
      <c r="AN1588" s="27"/>
      <c r="AO1588" s="27"/>
      <c r="AP1588" s="27"/>
      <c r="AQ1588" s="27"/>
    </row>
    <row r="1589" spans="1:43" ht="15.75" customHeight="1">
      <c r="A1589" s="27"/>
      <c r="B1589" s="9"/>
      <c r="C1589" s="27"/>
      <c r="D1589" s="9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42"/>
      <c r="Y1589" s="42"/>
      <c r="Z1589" s="27"/>
      <c r="AA1589" s="27"/>
      <c r="AB1589" s="27"/>
      <c r="AC1589" s="9"/>
      <c r="AD1589" s="27"/>
      <c r="AE1589" s="9"/>
      <c r="AF1589" s="9"/>
      <c r="AG1589" s="27"/>
      <c r="AH1589" s="27"/>
      <c r="AI1589" s="27"/>
      <c r="AJ1589" s="42"/>
      <c r="AK1589" s="27"/>
      <c r="AL1589" s="27"/>
      <c r="AM1589" s="27"/>
      <c r="AN1589" s="27"/>
      <c r="AO1589" s="27"/>
      <c r="AP1589" s="27"/>
      <c r="AQ1589" s="27"/>
    </row>
    <row r="1590" spans="1:43" ht="15.75" customHeight="1">
      <c r="A1590" s="27"/>
      <c r="B1590" s="9"/>
      <c r="C1590" s="27"/>
      <c r="D1590" s="9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42"/>
      <c r="Y1590" s="42"/>
      <c r="Z1590" s="27"/>
      <c r="AA1590" s="27"/>
      <c r="AB1590" s="27"/>
      <c r="AC1590" s="9"/>
      <c r="AD1590" s="27"/>
      <c r="AE1590" s="9"/>
      <c r="AF1590" s="9"/>
      <c r="AG1590" s="27"/>
      <c r="AH1590" s="27"/>
      <c r="AI1590" s="27"/>
      <c r="AJ1590" s="42"/>
      <c r="AK1590" s="27"/>
      <c r="AL1590" s="27"/>
      <c r="AM1590" s="27"/>
      <c r="AN1590" s="27"/>
      <c r="AO1590" s="27"/>
      <c r="AP1590" s="27"/>
      <c r="AQ1590" s="27"/>
    </row>
    <row r="1591" spans="1:43" ht="15.75" customHeight="1">
      <c r="A1591" s="27"/>
      <c r="B1591" s="9"/>
      <c r="C1591" s="27"/>
      <c r="D1591" s="9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42"/>
      <c r="Y1591" s="42"/>
      <c r="Z1591" s="27"/>
      <c r="AA1591" s="27"/>
      <c r="AB1591" s="27"/>
      <c r="AC1591" s="9"/>
      <c r="AD1591" s="27"/>
      <c r="AE1591" s="9"/>
      <c r="AF1591" s="9"/>
      <c r="AG1591" s="27"/>
      <c r="AH1591" s="27"/>
      <c r="AI1591" s="27"/>
      <c r="AJ1591" s="42"/>
      <c r="AK1591" s="27"/>
      <c r="AL1591" s="27"/>
      <c r="AM1591" s="27"/>
      <c r="AN1591" s="27"/>
      <c r="AO1591" s="27"/>
      <c r="AP1591" s="27"/>
      <c r="AQ1591" s="27"/>
    </row>
    <row r="1592" spans="1:43" ht="15.75" customHeight="1">
      <c r="A1592" s="27"/>
      <c r="B1592" s="9"/>
      <c r="C1592" s="27"/>
      <c r="D1592" s="9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42"/>
      <c r="Y1592" s="42"/>
      <c r="Z1592" s="27"/>
      <c r="AA1592" s="27"/>
      <c r="AB1592" s="27"/>
      <c r="AC1592" s="9"/>
      <c r="AD1592" s="27"/>
      <c r="AE1592" s="9"/>
      <c r="AF1592" s="9"/>
      <c r="AG1592" s="27"/>
      <c r="AH1592" s="27"/>
      <c r="AI1592" s="27"/>
      <c r="AJ1592" s="42"/>
      <c r="AK1592" s="27"/>
      <c r="AL1592" s="27"/>
      <c r="AM1592" s="27"/>
      <c r="AN1592" s="27"/>
      <c r="AO1592" s="27"/>
      <c r="AP1592" s="27"/>
      <c r="AQ1592" s="27"/>
    </row>
    <row r="1593" spans="1:43" ht="15.75" customHeight="1">
      <c r="A1593" s="27"/>
      <c r="B1593" s="9"/>
      <c r="C1593" s="27"/>
      <c r="D1593" s="9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42"/>
      <c r="Y1593" s="42"/>
      <c r="Z1593" s="27"/>
      <c r="AA1593" s="27"/>
      <c r="AB1593" s="27"/>
      <c r="AC1593" s="9"/>
      <c r="AD1593" s="27"/>
      <c r="AE1593" s="9"/>
      <c r="AF1593" s="9"/>
      <c r="AG1593" s="27"/>
      <c r="AH1593" s="27"/>
      <c r="AI1593" s="27"/>
      <c r="AJ1593" s="42"/>
      <c r="AK1593" s="27"/>
      <c r="AL1593" s="27"/>
      <c r="AM1593" s="27"/>
      <c r="AN1593" s="27"/>
      <c r="AO1593" s="27"/>
      <c r="AP1593" s="27"/>
      <c r="AQ1593" s="27"/>
    </row>
    <row r="1594" spans="1:43" ht="15.75" customHeight="1">
      <c r="A1594" s="27"/>
      <c r="B1594" s="9"/>
      <c r="C1594" s="27"/>
      <c r="D1594" s="9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42"/>
      <c r="Y1594" s="42"/>
      <c r="Z1594" s="27"/>
      <c r="AA1594" s="27"/>
      <c r="AB1594" s="27"/>
      <c r="AC1594" s="9"/>
      <c r="AD1594" s="27"/>
      <c r="AE1594" s="9"/>
      <c r="AF1594" s="9"/>
      <c r="AG1594" s="27"/>
      <c r="AH1594" s="27"/>
      <c r="AI1594" s="27"/>
      <c r="AJ1594" s="42"/>
      <c r="AK1594" s="27"/>
      <c r="AL1594" s="27"/>
      <c r="AM1594" s="27"/>
      <c r="AN1594" s="27"/>
      <c r="AO1594" s="27"/>
      <c r="AP1594" s="27"/>
      <c r="AQ1594" s="27"/>
    </row>
    <row r="1595" spans="1:43" ht="15.75" customHeight="1">
      <c r="A1595" s="27"/>
      <c r="B1595" s="9"/>
      <c r="C1595" s="27"/>
      <c r="D1595" s="9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42"/>
      <c r="Y1595" s="42"/>
      <c r="Z1595" s="27"/>
      <c r="AA1595" s="27"/>
      <c r="AB1595" s="27"/>
      <c r="AC1595" s="9"/>
      <c r="AD1595" s="27"/>
      <c r="AE1595" s="9"/>
      <c r="AF1595" s="9"/>
      <c r="AG1595" s="27"/>
      <c r="AH1595" s="27"/>
      <c r="AI1595" s="27"/>
      <c r="AJ1595" s="42"/>
      <c r="AK1595" s="27"/>
      <c r="AL1595" s="27"/>
      <c r="AM1595" s="27"/>
      <c r="AN1595" s="27"/>
      <c r="AO1595" s="27"/>
      <c r="AP1595" s="27"/>
      <c r="AQ1595" s="27"/>
    </row>
    <row r="1596" spans="1:43" ht="15.75" customHeight="1">
      <c r="A1596" s="27"/>
      <c r="B1596" s="9"/>
      <c r="C1596" s="27"/>
      <c r="D1596" s="9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42"/>
      <c r="Y1596" s="42"/>
      <c r="Z1596" s="27"/>
      <c r="AA1596" s="27"/>
      <c r="AB1596" s="27"/>
      <c r="AC1596" s="9"/>
      <c r="AD1596" s="27"/>
      <c r="AE1596" s="9"/>
      <c r="AF1596" s="9"/>
      <c r="AG1596" s="27"/>
      <c r="AH1596" s="27"/>
      <c r="AI1596" s="27"/>
      <c r="AJ1596" s="42"/>
      <c r="AK1596" s="27"/>
      <c r="AL1596" s="27"/>
      <c r="AM1596" s="27"/>
      <c r="AN1596" s="27"/>
      <c r="AO1596" s="27"/>
      <c r="AP1596" s="27"/>
      <c r="AQ1596" s="27"/>
    </row>
    <row r="1597" spans="1:43" ht="15.75" customHeight="1">
      <c r="A1597" s="27"/>
      <c r="B1597" s="9"/>
      <c r="C1597" s="27"/>
      <c r="D1597" s="9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42"/>
      <c r="Y1597" s="42"/>
      <c r="Z1597" s="27"/>
      <c r="AA1597" s="27"/>
      <c r="AB1597" s="27"/>
      <c r="AC1597" s="9"/>
      <c r="AD1597" s="27"/>
      <c r="AE1597" s="9"/>
      <c r="AF1597" s="9"/>
      <c r="AG1597" s="27"/>
      <c r="AH1597" s="27"/>
      <c r="AI1597" s="27"/>
      <c r="AJ1597" s="42"/>
      <c r="AK1597" s="27"/>
      <c r="AL1597" s="27"/>
      <c r="AM1597" s="27"/>
      <c r="AN1597" s="27"/>
      <c r="AO1597" s="27"/>
      <c r="AP1597" s="27"/>
      <c r="AQ1597" s="27"/>
    </row>
    <row r="1598" spans="1:43" ht="15.75" customHeight="1">
      <c r="A1598" s="27"/>
      <c r="B1598" s="9"/>
      <c r="C1598" s="27"/>
      <c r="D1598" s="9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42"/>
      <c r="Y1598" s="42"/>
      <c r="Z1598" s="27"/>
      <c r="AA1598" s="27"/>
      <c r="AB1598" s="27"/>
      <c r="AC1598" s="9"/>
      <c r="AD1598" s="27"/>
      <c r="AE1598" s="9"/>
      <c r="AF1598" s="9"/>
      <c r="AG1598" s="27"/>
      <c r="AH1598" s="27"/>
      <c r="AI1598" s="27"/>
      <c r="AJ1598" s="42"/>
      <c r="AK1598" s="27"/>
      <c r="AL1598" s="27"/>
      <c r="AM1598" s="27"/>
      <c r="AN1598" s="27"/>
      <c r="AO1598" s="27"/>
      <c r="AP1598" s="27"/>
      <c r="AQ1598" s="27"/>
    </row>
    <row r="1599" spans="1:43" ht="15.75" customHeight="1">
      <c r="A1599" s="27"/>
      <c r="B1599" s="9"/>
      <c r="C1599" s="27"/>
      <c r="D1599" s="9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42"/>
      <c r="Y1599" s="42"/>
      <c r="Z1599" s="27"/>
      <c r="AA1599" s="27"/>
      <c r="AB1599" s="27"/>
      <c r="AC1599" s="9"/>
      <c r="AD1599" s="27"/>
      <c r="AE1599" s="9"/>
      <c r="AF1599" s="9"/>
      <c r="AG1599" s="27"/>
      <c r="AH1599" s="27"/>
      <c r="AI1599" s="27"/>
      <c r="AJ1599" s="42"/>
      <c r="AK1599" s="27"/>
      <c r="AL1599" s="27"/>
      <c r="AM1599" s="27"/>
      <c r="AN1599" s="27"/>
      <c r="AO1599" s="27"/>
      <c r="AP1599" s="27"/>
      <c r="AQ1599" s="27"/>
    </row>
    <row r="1600" spans="1:43" ht="15.75" customHeight="1">
      <c r="A1600" s="27"/>
      <c r="B1600" s="9"/>
      <c r="C1600" s="27"/>
      <c r="D1600" s="9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42"/>
      <c r="Y1600" s="42"/>
      <c r="Z1600" s="27"/>
      <c r="AA1600" s="27"/>
      <c r="AB1600" s="27"/>
      <c r="AC1600" s="9"/>
      <c r="AD1600" s="27"/>
      <c r="AE1600" s="9"/>
      <c r="AF1600" s="9"/>
      <c r="AG1600" s="27"/>
      <c r="AH1600" s="27"/>
      <c r="AI1600" s="27"/>
      <c r="AJ1600" s="42"/>
      <c r="AK1600" s="27"/>
      <c r="AL1600" s="27"/>
      <c r="AM1600" s="27"/>
      <c r="AN1600" s="27"/>
      <c r="AO1600" s="27"/>
      <c r="AP1600" s="27"/>
      <c r="AQ1600" s="27"/>
    </row>
    <row r="1601" spans="1:43" ht="15.75" customHeight="1">
      <c r="A1601" s="27"/>
      <c r="B1601" s="9"/>
      <c r="C1601" s="27"/>
      <c r="D1601" s="9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42"/>
      <c r="Y1601" s="42"/>
      <c r="Z1601" s="27"/>
      <c r="AA1601" s="27"/>
      <c r="AB1601" s="27"/>
      <c r="AC1601" s="9"/>
      <c r="AD1601" s="27"/>
      <c r="AE1601" s="9"/>
      <c r="AF1601" s="9"/>
      <c r="AG1601" s="27"/>
      <c r="AH1601" s="27"/>
      <c r="AI1601" s="27"/>
      <c r="AJ1601" s="42"/>
      <c r="AK1601" s="27"/>
      <c r="AL1601" s="27"/>
      <c r="AM1601" s="27"/>
      <c r="AN1601" s="27"/>
      <c r="AO1601" s="27"/>
      <c r="AP1601" s="27"/>
      <c r="AQ1601" s="27"/>
    </row>
    <row r="1602" spans="1:43" ht="15.75" customHeight="1">
      <c r="A1602" s="27"/>
      <c r="B1602" s="9"/>
      <c r="C1602" s="27"/>
      <c r="D1602" s="9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42"/>
      <c r="Y1602" s="42"/>
      <c r="Z1602" s="27"/>
      <c r="AA1602" s="27"/>
      <c r="AB1602" s="27"/>
      <c r="AC1602" s="9"/>
      <c r="AD1602" s="27"/>
      <c r="AE1602" s="9"/>
      <c r="AF1602" s="9"/>
      <c r="AG1602" s="27"/>
      <c r="AH1602" s="27"/>
      <c r="AI1602" s="27"/>
      <c r="AJ1602" s="42"/>
      <c r="AK1602" s="27"/>
      <c r="AL1602" s="27"/>
      <c r="AM1602" s="27"/>
      <c r="AN1602" s="27"/>
      <c r="AO1602" s="27"/>
      <c r="AP1602" s="27"/>
      <c r="AQ1602" s="27"/>
    </row>
    <row r="1603" spans="1:43" ht="15.75" customHeight="1">
      <c r="A1603" s="27"/>
      <c r="B1603" s="9"/>
      <c r="C1603" s="27"/>
      <c r="D1603" s="9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42"/>
      <c r="Y1603" s="42"/>
      <c r="Z1603" s="27"/>
      <c r="AA1603" s="27"/>
      <c r="AB1603" s="27"/>
      <c r="AC1603" s="9"/>
      <c r="AD1603" s="27"/>
      <c r="AE1603" s="9"/>
      <c r="AF1603" s="9"/>
      <c r="AG1603" s="27"/>
      <c r="AH1603" s="27"/>
      <c r="AI1603" s="27"/>
      <c r="AJ1603" s="42"/>
      <c r="AK1603" s="27"/>
      <c r="AL1603" s="27"/>
      <c r="AM1603" s="27"/>
      <c r="AN1603" s="27"/>
      <c r="AO1603" s="27"/>
      <c r="AP1603" s="27"/>
      <c r="AQ1603" s="27"/>
    </row>
    <row r="1604" spans="1:43" ht="15.75" customHeight="1">
      <c r="A1604" s="27"/>
      <c r="B1604" s="9"/>
      <c r="C1604" s="27"/>
      <c r="D1604" s="9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42"/>
      <c r="Y1604" s="42"/>
      <c r="Z1604" s="27"/>
      <c r="AA1604" s="27"/>
      <c r="AB1604" s="27"/>
      <c r="AC1604" s="9"/>
      <c r="AD1604" s="27"/>
      <c r="AE1604" s="9"/>
      <c r="AF1604" s="9"/>
      <c r="AG1604" s="27"/>
      <c r="AH1604" s="27"/>
      <c r="AI1604" s="27"/>
      <c r="AJ1604" s="42"/>
      <c r="AK1604" s="27"/>
      <c r="AL1604" s="27"/>
      <c r="AM1604" s="27"/>
      <c r="AN1604" s="27"/>
      <c r="AO1604" s="27"/>
      <c r="AP1604" s="27"/>
      <c r="AQ1604" s="27"/>
    </row>
    <row r="1605" spans="1:43" ht="15.75" customHeight="1">
      <c r="A1605" s="27"/>
      <c r="B1605" s="9"/>
      <c r="C1605" s="27"/>
      <c r="D1605" s="9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42"/>
      <c r="Y1605" s="42"/>
      <c r="Z1605" s="27"/>
      <c r="AA1605" s="27"/>
      <c r="AB1605" s="27"/>
      <c r="AC1605" s="9"/>
      <c r="AD1605" s="27"/>
      <c r="AE1605" s="9"/>
      <c r="AF1605" s="9"/>
      <c r="AG1605" s="27"/>
      <c r="AH1605" s="27"/>
      <c r="AI1605" s="27"/>
      <c r="AJ1605" s="42"/>
      <c r="AK1605" s="27"/>
      <c r="AL1605" s="27"/>
      <c r="AM1605" s="27"/>
      <c r="AN1605" s="27"/>
      <c r="AO1605" s="27"/>
      <c r="AP1605" s="27"/>
      <c r="AQ1605" s="27"/>
    </row>
    <row r="1606" spans="1:43" ht="15.75" customHeight="1">
      <c r="A1606" s="27"/>
      <c r="B1606" s="9"/>
      <c r="C1606" s="27"/>
      <c r="D1606" s="9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42"/>
      <c r="Y1606" s="42"/>
      <c r="Z1606" s="27"/>
      <c r="AA1606" s="27"/>
      <c r="AB1606" s="27"/>
      <c r="AC1606" s="9"/>
      <c r="AD1606" s="27"/>
      <c r="AE1606" s="9"/>
      <c r="AF1606" s="9"/>
      <c r="AG1606" s="27"/>
      <c r="AH1606" s="27"/>
      <c r="AI1606" s="27"/>
      <c r="AJ1606" s="42"/>
      <c r="AK1606" s="27"/>
      <c r="AL1606" s="27"/>
      <c r="AM1606" s="27"/>
      <c r="AN1606" s="27"/>
      <c r="AO1606" s="27"/>
      <c r="AP1606" s="27"/>
      <c r="AQ1606" s="27"/>
    </row>
    <row r="1607" spans="1:43" ht="15.75" customHeight="1">
      <c r="A1607" s="27"/>
      <c r="B1607" s="9"/>
      <c r="C1607" s="27"/>
      <c r="D1607" s="9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42"/>
      <c r="Y1607" s="42"/>
      <c r="Z1607" s="27"/>
      <c r="AA1607" s="27"/>
      <c r="AB1607" s="27"/>
      <c r="AC1607" s="9"/>
      <c r="AD1607" s="27"/>
      <c r="AE1607" s="9"/>
      <c r="AF1607" s="9"/>
      <c r="AG1607" s="27"/>
      <c r="AH1607" s="27"/>
      <c r="AI1607" s="27"/>
      <c r="AJ1607" s="42"/>
      <c r="AK1607" s="27"/>
      <c r="AL1607" s="27"/>
      <c r="AM1607" s="27"/>
      <c r="AN1607" s="27"/>
      <c r="AO1607" s="27"/>
      <c r="AP1607" s="27"/>
      <c r="AQ1607" s="27"/>
    </row>
    <row r="1608" spans="1:43" ht="15.75" customHeight="1">
      <c r="A1608" s="27"/>
      <c r="B1608" s="9"/>
      <c r="C1608" s="27"/>
      <c r="D1608" s="9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42"/>
      <c r="Y1608" s="42"/>
      <c r="Z1608" s="27"/>
      <c r="AA1608" s="27"/>
      <c r="AB1608" s="27"/>
      <c r="AC1608" s="9"/>
      <c r="AD1608" s="27"/>
      <c r="AE1608" s="9"/>
      <c r="AF1608" s="9"/>
      <c r="AG1608" s="27"/>
      <c r="AH1608" s="27"/>
      <c r="AI1608" s="27"/>
      <c r="AJ1608" s="42"/>
      <c r="AK1608" s="27"/>
      <c r="AL1608" s="27"/>
      <c r="AM1608" s="27"/>
      <c r="AN1608" s="27"/>
      <c r="AO1608" s="27"/>
      <c r="AP1608" s="27"/>
      <c r="AQ1608" s="27"/>
    </row>
    <row r="1609" spans="1:43" ht="15.75" customHeight="1">
      <c r="A1609" s="27"/>
      <c r="B1609" s="9"/>
      <c r="C1609" s="27"/>
      <c r="D1609" s="9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42"/>
      <c r="Y1609" s="42"/>
      <c r="Z1609" s="27"/>
      <c r="AA1609" s="27"/>
      <c r="AB1609" s="27"/>
      <c r="AC1609" s="9"/>
      <c r="AD1609" s="27"/>
      <c r="AE1609" s="9"/>
      <c r="AF1609" s="9"/>
      <c r="AG1609" s="27"/>
      <c r="AH1609" s="27"/>
      <c r="AI1609" s="27"/>
      <c r="AJ1609" s="42"/>
      <c r="AK1609" s="27"/>
      <c r="AL1609" s="27"/>
      <c r="AM1609" s="27"/>
      <c r="AN1609" s="27"/>
      <c r="AO1609" s="27"/>
      <c r="AP1609" s="27"/>
      <c r="AQ1609" s="27"/>
    </row>
    <row r="1610" spans="1:43" ht="15.75" customHeight="1">
      <c r="A1610" s="27"/>
      <c r="B1610" s="9"/>
      <c r="C1610" s="27"/>
      <c r="D1610" s="9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42"/>
      <c r="Y1610" s="42"/>
      <c r="Z1610" s="27"/>
      <c r="AA1610" s="27"/>
      <c r="AB1610" s="27"/>
      <c r="AC1610" s="9"/>
      <c r="AD1610" s="27"/>
      <c r="AE1610" s="9"/>
      <c r="AF1610" s="9"/>
      <c r="AG1610" s="27"/>
      <c r="AH1610" s="27"/>
      <c r="AI1610" s="27"/>
      <c r="AJ1610" s="42"/>
      <c r="AK1610" s="27"/>
      <c r="AL1610" s="27"/>
      <c r="AM1610" s="27"/>
      <c r="AN1610" s="27"/>
      <c r="AO1610" s="27"/>
      <c r="AP1610" s="27"/>
      <c r="AQ1610" s="27"/>
    </row>
    <row r="1611" spans="1:43" ht="15.75" customHeight="1">
      <c r="A1611" s="27"/>
      <c r="B1611" s="9"/>
      <c r="C1611" s="27"/>
      <c r="D1611" s="9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42"/>
      <c r="Y1611" s="42"/>
      <c r="Z1611" s="27"/>
      <c r="AA1611" s="27"/>
      <c r="AB1611" s="27"/>
      <c r="AC1611" s="9"/>
      <c r="AD1611" s="27"/>
      <c r="AE1611" s="9"/>
      <c r="AF1611" s="9"/>
      <c r="AG1611" s="27"/>
      <c r="AH1611" s="27"/>
      <c r="AI1611" s="27"/>
      <c r="AJ1611" s="42"/>
      <c r="AK1611" s="27"/>
      <c r="AL1611" s="27"/>
      <c r="AM1611" s="27"/>
      <c r="AN1611" s="27"/>
      <c r="AO1611" s="27"/>
      <c r="AP1611" s="27"/>
      <c r="AQ1611" s="27"/>
    </row>
    <row r="1612" spans="1:43" ht="15.75" customHeight="1">
      <c r="A1612" s="27"/>
      <c r="B1612" s="9"/>
      <c r="C1612" s="27"/>
      <c r="D1612" s="9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42"/>
      <c r="Y1612" s="42"/>
      <c r="Z1612" s="27"/>
      <c r="AA1612" s="27"/>
      <c r="AB1612" s="27"/>
      <c r="AC1612" s="9"/>
      <c r="AD1612" s="27"/>
      <c r="AE1612" s="9"/>
      <c r="AF1612" s="9"/>
      <c r="AG1612" s="27"/>
      <c r="AH1612" s="27"/>
      <c r="AI1612" s="27"/>
      <c r="AJ1612" s="42"/>
      <c r="AK1612" s="27"/>
      <c r="AL1612" s="27"/>
      <c r="AM1612" s="27"/>
      <c r="AN1612" s="27"/>
      <c r="AO1612" s="27"/>
      <c r="AP1612" s="27"/>
      <c r="AQ1612" s="27"/>
    </row>
    <row r="1613" spans="1:43" ht="15.75" customHeight="1">
      <c r="A1613" s="27"/>
      <c r="B1613" s="9"/>
      <c r="C1613" s="27"/>
      <c r="D1613" s="9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42"/>
      <c r="Y1613" s="42"/>
      <c r="Z1613" s="27"/>
      <c r="AA1613" s="27"/>
      <c r="AB1613" s="27"/>
      <c r="AC1613" s="9"/>
      <c r="AD1613" s="27"/>
      <c r="AE1613" s="9"/>
      <c r="AF1613" s="9"/>
      <c r="AG1613" s="27"/>
      <c r="AH1613" s="27"/>
      <c r="AI1613" s="27"/>
      <c r="AJ1613" s="42"/>
      <c r="AK1613" s="27"/>
      <c r="AL1613" s="27"/>
      <c r="AM1613" s="27"/>
      <c r="AN1613" s="27"/>
      <c r="AO1613" s="27"/>
      <c r="AP1613" s="27"/>
      <c r="AQ1613" s="27"/>
    </row>
    <row r="1614" spans="1:43" ht="15.75" customHeight="1">
      <c r="A1614" s="27"/>
      <c r="B1614" s="9"/>
      <c r="C1614" s="27"/>
      <c r="D1614" s="9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42"/>
      <c r="Y1614" s="42"/>
      <c r="Z1614" s="27"/>
      <c r="AA1614" s="27"/>
      <c r="AB1614" s="27"/>
      <c r="AC1614" s="9"/>
      <c r="AD1614" s="27"/>
      <c r="AE1614" s="9"/>
      <c r="AF1614" s="9"/>
      <c r="AG1614" s="27"/>
      <c r="AH1614" s="27"/>
      <c r="AI1614" s="27"/>
      <c r="AJ1614" s="42"/>
      <c r="AK1614" s="27"/>
      <c r="AL1614" s="27"/>
      <c r="AM1614" s="27"/>
      <c r="AN1614" s="27"/>
      <c r="AO1614" s="27"/>
      <c r="AP1614" s="27"/>
      <c r="AQ1614" s="27"/>
    </row>
    <row r="1615" spans="1:43" ht="15.75" customHeight="1">
      <c r="A1615" s="27"/>
      <c r="B1615" s="9"/>
      <c r="C1615" s="27"/>
      <c r="D1615" s="9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42"/>
      <c r="Y1615" s="42"/>
      <c r="Z1615" s="27"/>
      <c r="AA1615" s="27"/>
      <c r="AB1615" s="27"/>
      <c r="AC1615" s="9"/>
      <c r="AD1615" s="27"/>
      <c r="AE1615" s="9"/>
      <c r="AF1615" s="9"/>
      <c r="AG1615" s="27"/>
      <c r="AH1615" s="27"/>
      <c r="AI1615" s="27"/>
      <c r="AJ1615" s="42"/>
      <c r="AK1615" s="27"/>
      <c r="AL1615" s="27"/>
      <c r="AM1615" s="27"/>
      <c r="AN1615" s="27"/>
      <c r="AO1615" s="27"/>
      <c r="AP1615" s="27"/>
      <c r="AQ1615" s="27"/>
    </row>
    <row r="1616" spans="1:43" ht="15.75" customHeight="1">
      <c r="A1616" s="27"/>
      <c r="B1616" s="9"/>
      <c r="C1616" s="27"/>
      <c r="D1616" s="9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42"/>
      <c r="Y1616" s="42"/>
      <c r="Z1616" s="27"/>
      <c r="AA1616" s="27"/>
      <c r="AB1616" s="27"/>
      <c r="AC1616" s="9"/>
      <c r="AD1616" s="27"/>
      <c r="AE1616" s="9"/>
      <c r="AF1616" s="9"/>
      <c r="AG1616" s="27"/>
      <c r="AH1616" s="27"/>
      <c r="AI1616" s="27"/>
      <c r="AJ1616" s="42"/>
      <c r="AK1616" s="27"/>
      <c r="AL1616" s="27"/>
      <c r="AM1616" s="27"/>
      <c r="AN1616" s="27"/>
      <c r="AO1616" s="27"/>
      <c r="AP1616" s="27"/>
      <c r="AQ1616" s="27"/>
    </row>
    <row r="1617" spans="1:43" ht="15.75" customHeight="1">
      <c r="A1617" s="27"/>
      <c r="B1617" s="9"/>
      <c r="C1617" s="27"/>
      <c r="D1617" s="9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42"/>
      <c r="Y1617" s="42"/>
      <c r="Z1617" s="27"/>
      <c r="AA1617" s="27"/>
      <c r="AB1617" s="27"/>
      <c r="AC1617" s="9"/>
      <c r="AD1617" s="27"/>
      <c r="AE1617" s="9"/>
      <c r="AF1617" s="9"/>
      <c r="AG1617" s="27"/>
      <c r="AH1617" s="27"/>
      <c r="AI1617" s="27"/>
      <c r="AJ1617" s="42"/>
      <c r="AK1617" s="27"/>
      <c r="AL1617" s="27"/>
      <c r="AM1617" s="27"/>
      <c r="AN1617" s="27"/>
      <c r="AO1617" s="27"/>
      <c r="AP1617" s="27"/>
      <c r="AQ1617" s="27"/>
    </row>
    <row r="1618" spans="1:43" ht="15.75" customHeight="1">
      <c r="A1618" s="27"/>
      <c r="B1618" s="9"/>
      <c r="C1618" s="27"/>
      <c r="D1618" s="9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42"/>
      <c r="Y1618" s="42"/>
      <c r="Z1618" s="27"/>
      <c r="AA1618" s="27"/>
      <c r="AB1618" s="27"/>
      <c r="AC1618" s="9"/>
      <c r="AD1618" s="27"/>
      <c r="AE1618" s="9"/>
      <c r="AF1618" s="9"/>
      <c r="AG1618" s="27"/>
      <c r="AH1618" s="27"/>
      <c r="AI1618" s="27"/>
      <c r="AJ1618" s="42"/>
      <c r="AK1618" s="27"/>
      <c r="AL1618" s="27"/>
      <c r="AM1618" s="27"/>
      <c r="AN1618" s="27"/>
      <c r="AO1618" s="27"/>
      <c r="AP1618" s="27"/>
      <c r="AQ1618" s="27"/>
    </row>
    <row r="1619" spans="1:43" ht="15.75" customHeight="1">
      <c r="A1619" s="27"/>
      <c r="B1619" s="9"/>
      <c r="C1619" s="27"/>
      <c r="D1619" s="9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42"/>
      <c r="Y1619" s="42"/>
      <c r="Z1619" s="27"/>
      <c r="AA1619" s="27"/>
      <c r="AB1619" s="27"/>
      <c r="AC1619" s="9"/>
      <c r="AD1619" s="27"/>
      <c r="AE1619" s="9"/>
      <c r="AF1619" s="9"/>
      <c r="AG1619" s="27"/>
      <c r="AH1619" s="27"/>
      <c r="AI1619" s="27"/>
      <c r="AJ1619" s="42"/>
      <c r="AK1619" s="27"/>
      <c r="AL1619" s="27"/>
      <c r="AM1619" s="27"/>
      <c r="AN1619" s="27"/>
      <c r="AO1619" s="27"/>
      <c r="AP1619" s="27"/>
      <c r="AQ1619" s="27"/>
    </row>
    <row r="1620" spans="1:43" ht="15.75" customHeight="1">
      <c r="A1620" s="27"/>
      <c r="B1620" s="9"/>
      <c r="C1620" s="27"/>
      <c r="D1620" s="9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42"/>
      <c r="Y1620" s="42"/>
      <c r="Z1620" s="27"/>
      <c r="AA1620" s="27"/>
      <c r="AB1620" s="27"/>
      <c r="AC1620" s="9"/>
      <c r="AD1620" s="27"/>
      <c r="AE1620" s="9"/>
      <c r="AF1620" s="9"/>
      <c r="AG1620" s="27"/>
      <c r="AH1620" s="27"/>
      <c r="AI1620" s="27"/>
      <c r="AJ1620" s="42"/>
      <c r="AK1620" s="27"/>
      <c r="AL1620" s="27"/>
      <c r="AM1620" s="27"/>
      <c r="AN1620" s="27"/>
      <c r="AO1620" s="27"/>
      <c r="AP1620" s="27"/>
      <c r="AQ1620" s="27"/>
    </row>
    <row r="1621" spans="1:43" ht="15.75" customHeight="1">
      <c r="A1621" s="27"/>
      <c r="B1621" s="9"/>
      <c r="C1621" s="27"/>
      <c r="D1621" s="9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42"/>
      <c r="Y1621" s="42"/>
      <c r="Z1621" s="27"/>
      <c r="AA1621" s="27"/>
      <c r="AB1621" s="27"/>
      <c r="AC1621" s="9"/>
      <c r="AD1621" s="27"/>
      <c r="AE1621" s="9"/>
      <c r="AF1621" s="9"/>
      <c r="AG1621" s="27"/>
      <c r="AH1621" s="27"/>
      <c r="AI1621" s="27"/>
      <c r="AJ1621" s="42"/>
      <c r="AK1621" s="27"/>
      <c r="AL1621" s="27"/>
      <c r="AM1621" s="27"/>
      <c r="AN1621" s="27"/>
      <c r="AO1621" s="27"/>
      <c r="AP1621" s="27"/>
      <c r="AQ1621" s="27"/>
    </row>
    <row r="1622" spans="1:43" ht="15.75" customHeight="1">
      <c r="A1622" s="27"/>
      <c r="B1622" s="9"/>
      <c r="C1622" s="27"/>
      <c r="D1622" s="9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42"/>
      <c r="Y1622" s="42"/>
      <c r="Z1622" s="27"/>
      <c r="AA1622" s="27"/>
      <c r="AB1622" s="27"/>
      <c r="AC1622" s="9"/>
      <c r="AD1622" s="27"/>
      <c r="AE1622" s="9"/>
      <c r="AF1622" s="9"/>
      <c r="AG1622" s="27"/>
      <c r="AH1622" s="27"/>
      <c r="AI1622" s="27"/>
      <c r="AJ1622" s="42"/>
      <c r="AK1622" s="27"/>
      <c r="AL1622" s="27"/>
      <c r="AM1622" s="27"/>
      <c r="AN1622" s="27"/>
      <c r="AO1622" s="27"/>
      <c r="AP1622" s="27"/>
      <c r="AQ1622" s="27"/>
    </row>
    <row r="1623" spans="1:43" ht="15.75" customHeight="1">
      <c r="A1623" s="27"/>
      <c r="B1623" s="9"/>
      <c r="C1623" s="27"/>
      <c r="D1623" s="9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42"/>
      <c r="Y1623" s="42"/>
      <c r="Z1623" s="27"/>
      <c r="AA1623" s="27"/>
      <c r="AB1623" s="27"/>
      <c r="AC1623" s="9"/>
      <c r="AD1623" s="27"/>
      <c r="AE1623" s="9"/>
      <c r="AF1623" s="9"/>
      <c r="AG1623" s="27"/>
      <c r="AH1623" s="27"/>
      <c r="AI1623" s="27"/>
      <c r="AJ1623" s="42"/>
      <c r="AK1623" s="27"/>
      <c r="AL1623" s="27"/>
      <c r="AM1623" s="27"/>
      <c r="AN1623" s="27"/>
      <c r="AO1623" s="27"/>
      <c r="AP1623" s="27"/>
      <c r="AQ1623" s="27"/>
    </row>
    <row r="1624" spans="1:43" ht="15.75" customHeight="1">
      <c r="A1624" s="27"/>
      <c r="B1624" s="9"/>
      <c r="C1624" s="27"/>
      <c r="D1624" s="9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42"/>
      <c r="Y1624" s="42"/>
      <c r="Z1624" s="27"/>
      <c r="AA1624" s="27"/>
      <c r="AB1624" s="27"/>
      <c r="AC1624" s="9"/>
      <c r="AD1624" s="27"/>
      <c r="AE1624" s="9"/>
      <c r="AF1624" s="9"/>
      <c r="AG1624" s="27"/>
      <c r="AH1624" s="27"/>
      <c r="AI1624" s="27"/>
      <c r="AJ1624" s="42"/>
      <c r="AK1624" s="27"/>
      <c r="AL1624" s="27"/>
      <c r="AM1624" s="27"/>
      <c r="AN1624" s="27"/>
      <c r="AO1624" s="27"/>
      <c r="AP1624" s="27"/>
      <c r="AQ1624" s="27"/>
    </row>
    <row r="1625" spans="1:43" ht="15.75" customHeight="1">
      <c r="A1625" s="27"/>
      <c r="B1625" s="9"/>
      <c r="C1625" s="27"/>
      <c r="D1625" s="9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42"/>
      <c r="Y1625" s="42"/>
      <c r="Z1625" s="27"/>
      <c r="AA1625" s="27"/>
      <c r="AB1625" s="27"/>
      <c r="AC1625" s="9"/>
      <c r="AD1625" s="27"/>
      <c r="AE1625" s="9"/>
      <c r="AF1625" s="9"/>
      <c r="AG1625" s="27"/>
      <c r="AH1625" s="27"/>
      <c r="AI1625" s="27"/>
      <c r="AJ1625" s="42"/>
      <c r="AK1625" s="27"/>
      <c r="AL1625" s="27"/>
      <c r="AM1625" s="27"/>
      <c r="AN1625" s="27"/>
      <c r="AO1625" s="27"/>
      <c r="AP1625" s="27"/>
      <c r="AQ1625" s="27"/>
    </row>
    <row r="1626" spans="1:43" ht="15.75" customHeight="1">
      <c r="A1626" s="27"/>
      <c r="B1626" s="9"/>
      <c r="C1626" s="27"/>
      <c r="D1626" s="9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42"/>
      <c r="Y1626" s="42"/>
      <c r="Z1626" s="27"/>
      <c r="AA1626" s="27"/>
      <c r="AB1626" s="27"/>
      <c r="AC1626" s="9"/>
      <c r="AD1626" s="27"/>
      <c r="AE1626" s="9"/>
      <c r="AF1626" s="9"/>
      <c r="AG1626" s="27"/>
      <c r="AH1626" s="27"/>
      <c r="AI1626" s="27"/>
      <c r="AJ1626" s="42"/>
      <c r="AK1626" s="27"/>
      <c r="AL1626" s="27"/>
      <c r="AM1626" s="27"/>
      <c r="AN1626" s="27"/>
      <c r="AO1626" s="27"/>
      <c r="AP1626" s="27"/>
      <c r="AQ1626" s="27"/>
    </row>
    <row r="1627" spans="1:43" ht="15.75" customHeight="1">
      <c r="A1627" s="27"/>
      <c r="B1627" s="9"/>
      <c r="C1627" s="27"/>
      <c r="D1627" s="9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42"/>
      <c r="Y1627" s="42"/>
      <c r="Z1627" s="27"/>
      <c r="AA1627" s="27"/>
      <c r="AB1627" s="27"/>
      <c r="AC1627" s="9"/>
      <c r="AD1627" s="27"/>
      <c r="AE1627" s="9"/>
      <c r="AF1627" s="9"/>
      <c r="AG1627" s="27"/>
      <c r="AH1627" s="27"/>
      <c r="AI1627" s="27"/>
      <c r="AJ1627" s="42"/>
      <c r="AK1627" s="27"/>
      <c r="AL1627" s="27"/>
      <c r="AM1627" s="27"/>
      <c r="AN1627" s="27"/>
      <c r="AO1627" s="27"/>
      <c r="AP1627" s="27"/>
      <c r="AQ1627" s="27"/>
    </row>
    <row r="1628" spans="1:43" ht="15.75" customHeight="1">
      <c r="A1628" s="27"/>
      <c r="B1628" s="9"/>
      <c r="C1628" s="27"/>
      <c r="D1628" s="9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42"/>
      <c r="Y1628" s="42"/>
      <c r="Z1628" s="27"/>
      <c r="AA1628" s="27"/>
      <c r="AB1628" s="27"/>
      <c r="AC1628" s="9"/>
      <c r="AD1628" s="27"/>
      <c r="AE1628" s="9"/>
      <c r="AF1628" s="9"/>
      <c r="AG1628" s="27"/>
      <c r="AH1628" s="27"/>
      <c r="AI1628" s="27"/>
      <c r="AJ1628" s="42"/>
      <c r="AK1628" s="27"/>
      <c r="AL1628" s="27"/>
      <c r="AM1628" s="27"/>
      <c r="AN1628" s="27"/>
      <c r="AO1628" s="27"/>
      <c r="AP1628" s="27"/>
      <c r="AQ1628" s="27"/>
    </row>
    <row r="1629" spans="1:43" ht="15.75" customHeight="1">
      <c r="A1629" s="27"/>
      <c r="B1629" s="9"/>
      <c r="C1629" s="27"/>
      <c r="D1629" s="9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42"/>
      <c r="Y1629" s="42"/>
      <c r="Z1629" s="27"/>
      <c r="AA1629" s="27"/>
      <c r="AB1629" s="27"/>
      <c r="AC1629" s="9"/>
      <c r="AD1629" s="27"/>
      <c r="AE1629" s="9"/>
      <c r="AF1629" s="9"/>
      <c r="AG1629" s="27"/>
      <c r="AH1629" s="27"/>
      <c r="AI1629" s="27"/>
      <c r="AJ1629" s="42"/>
      <c r="AK1629" s="27"/>
      <c r="AL1629" s="27"/>
      <c r="AM1629" s="27"/>
      <c r="AN1629" s="27"/>
      <c r="AO1629" s="27"/>
      <c r="AP1629" s="27"/>
      <c r="AQ1629" s="27"/>
    </row>
    <row r="1630" spans="1:43" ht="15.75" customHeight="1">
      <c r="A1630" s="27"/>
      <c r="B1630" s="9"/>
      <c r="C1630" s="27"/>
      <c r="D1630" s="9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42"/>
      <c r="Y1630" s="42"/>
      <c r="Z1630" s="27"/>
      <c r="AA1630" s="27"/>
      <c r="AB1630" s="27"/>
      <c r="AC1630" s="9"/>
      <c r="AD1630" s="27"/>
      <c r="AE1630" s="9"/>
      <c r="AF1630" s="9"/>
      <c r="AG1630" s="27"/>
      <c r="AH1630" s="27"/>
      <c r="AI1630" s="27"/>
      <c r="AJ1630" s="42"/>
      <c r="AK1630" s="27"/>
      <c r="AL1630" s="27"/>
      <c r="AM1630" s="27"/>
      <c r="AN1630" s="27"/>
      <c r="AO1630" s="27"/>
      <c r="AP1630" s="27"/>
      <c r="AQ1630" s="27"/>
    </row>
    <row r="1631" spans="1:43" ht="15.75" customHeight="1">
      <c r="A1631" s="27"/>
      <c r="B1631" s="9"/>
      <c r="C1631" s="27"/>
      <c r="D1631" s="9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42"/>
      <c r="Y1631" s="42"/>
      <c r="Z1631" s="27"/>
      <c r="AA1631" s="27"/>
      <c r="AB1631" s="27"/>
      <c r="AC1631" s="9"/>
      <c r="AD1631" s="27"/>
      <c r="AE1631" s="9"/>
      <c r="AF1631" s="9"/>
      <c r="AG1631" s="27"/>
      <c r="AH1631" s="27"/>
      <c r="AI1631" s="27"/>
      <c r="AJ1631" s="42"/>
      <c r="AK1631" s="27"/>
      <c r="AL1631" s="27"/>
      <c r="AM1631" s="27"/>
      <c r="AN1631" s="27"/>
      <c r="AO1631" s="27"/>
      <c r="AP1631" s="27"/>
      <c r="AQ1631" s="27"/>
    </row>
    <row r="1632" spans="1:43" ht="15.75" customHeight="1">
      <c r="A1632" s="27"/>
      <c r="B1632" s="9"/>
      <c r="C1632" s="27"/>
      <c r="D1632" s="9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42"/>
      <c r="Y1632" s="42"/>
      <c r="Z1632" s="27"/>
      <c r="AA1632" s="27"/>
      <c r="AB1632" s="27"/>
      <c r="AC1632" s="9"/>
      <c r="AD1632" s="27"/>
      <c r="AE1632" s="9"/>
      <c r="AF1632" s="9"/>
      <c r="AG1632" s="27"/>
      <c r="AH1632" s="27"/>
      <c r="AI1632" s="27"/>
      <c r="AJ1632" s="42"/>
      <c r="AK1632" s="27"/>
      <c r="AL1632" s="27"/>
      <c r="AM1632" s="27"/>
      <c r="AN1632" s="27"/>
      <c r="AO1632" s="27"/>
      <c r="AP1632" s="27"/>
      <c r="AQ1632" s="27"/>
    </row>
    <row r="1633" spans="1:43" ht="15.75" customHeight="1">
      <c r="A1633" s="27"/>
      <c r="B1633" s="9"/>
      <c r="C1633" s="27"/>
      <c r="D1633" s="9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42"/>
      <c r="Y1633" s="42"/>
      <c r="Z1633" s="27"/>
      <c r="AA1633" s="27"/>
      <c r="AB1633" s="27"/>
      <c r="AC1633" s="9"/>
      <c r="AD1633" s="27"/>
      <c r="AE1633" s="9"/>
      <c r="AF1633" s="9"/>
      <c r="AG1633" s="27"/>
      <c r="AH1633" s="27"/>
      <c r="AI1633" s="27"/>
      <c r="AJ1633" s="42"/>
      <c r="AK1633" s="27"/>
      <c r="AL1633" s="27"/>
      <c r="AM1633" s="27"/>
      <c r="AN1633" s="27"/>
      <c r="AO1633" s="27"/>
      <c r="AP1633" s="27"/>
      <c r="AQ1633" s="27"/>
    </row>
    <row r="1634" spans="1:43" ht="15.75" customHeight="1">
      <c r="A1634" s="27"/>
      <c r="B1634" s="9"/>
      <c r="C1634" s="27"/>
      <c r="D1634" s="9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42"/>
      <c r="Y1634" s="42"/>
      <c r="Z1634" s="27"/>
      <c r="AA1634" s="27"/>
      <c r="AB1634" s="27"/>
      <c r="AC1634" s="9"/>
      <c r="AD1634" s="27"/>
      <c r="AE1634" s="9"/>
      <c r="AF1634" s="9"/>
      <c r="AG1634" s="27"/>
      <c r="AH1634" s="27"/>
      <c r="AI1634" s="27"/>
      <c r="AJ1634" s="42"/>
      <c r="AK1634" s="27"/>
      <c r="AL1634" s="27"/>
      <c r="AM1634" s="27"/>
      <c r="AN1634" s="27"/>
      <c r="AO1634" s="27"/>
      <c r="AP1634" s="27"/>
      <c r="AQ1634" s="27"/>
    </row>
    <row r="1635" spans="1:43" ht="15.75" customHeight="1">
      <c r="A1635" s="27"/>
      <c r="B1635" s="9"/>
      <c r="C1635" s="27"/>
      <c r="D1635" s="9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42"/>
      <c r="Y1635" s="42"/>
      <c r="Z1635" s="27"/>
      <c r="AA1635" s="27"/>
      <c r="AB1635" s="27"/>
      <c r="AC1635" s="9"/>
      <c r="AD1635" s="27"/>
      <c r="AE1635" s="9"/>
      <c r="AF1635" s="9"/>
      <c r="AG1635" s="27"/>
      <c r="AH1635" s="27"/>
      <c r="AI1635" s="27"/>
      <c r="AJ1635" s="42"/>
      <c r="AK1635" s="27"/>
      <c r="AL1635" s="27"/>
      <c r="AM1635" s="27"/>
      <c r="AN1635" s="27"/>
      <c r="AO1635" s="27"/>
      <c r="AP1635" s="27"/>
      <c r="AQ1635" s="27"/>
    </row>
    <row r="1636" spans="1:43" ht="15.75" customHeight="1">
      <c r="A1636" s="27"/>
      <c r="B1636" s="9"/>
      <c r="C1636" s="27"/>
      <c r="D1636" s="9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42"/>
      <c r="Y1636" s="42"/>
      <c r="Z1636" s="27"/>
      <c r="AA1636" s="27"/>
      <c r="AB1636" s="27"/>
      <c r="AC1636" s="9"/>
      <c r="AD1636" s="27"/>
      <c r="AE1636" s="9"/>
      <c r="AF1636" s="9"/>
      <c r="AG1636" s="27"/>
      <c r="AH1636" s="27"/>
      <c r="AI1636" s="27"/>
      <c r="AJ1636" s="42"/>
      <c r="AK1636" s="27"/>
      <c r="AL1636" s="27"/>
      <c r="AM1636" s="27"/>
      <c r="AN1636" s="27"/>
      <c r="AO1636" s="27"/>
      <c r="AP1636" s="27"/>
      <c r="AQ1636" s="27"/>
    </row>
    <row r="1637" spans="1:43" ht="15.75" customHeight="1">
      <c r="A1637" s="27"/>
      <c r="B1637" s="9"/>
      <c r="C1637" s="27"/>
      <c r="D1637" s="9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42"/>
      <c r="Y1637" s="42"/>
      <c r="Z1637" s="27"/>
      <c r="AA1637" s="27"/>
      <c r="AB1637" s="27"/>
      <c r="AC1637" s="9"/>
      <c r="AD1637" s="27"/>
      <c r="AE1637" s="9"/>
      <c r="AF1637" s="9"/>
      <c r="AG1637" s="27"/>
      <c r="AH1637" s="27"/>
      <c r="AI1637" s="27"/>
      <c r="AJ1637" s="42"/>
      <c r="AK1637" s="27"/>
      <c r="AL1637" s="27"/>
      <c r="AM1637" s="27"/>
      <c r="AN1637" s="27"/>
      <c r="AO1637" s="27"/>
      <c r="AP1637" s="27"/>
      <c r="AQ1637" s="27"/>
    </row>
    <row r="1638" spans="1:43" ht="15.75" customHeight="1">
      <c r="A1638" s="27"/>
      <c r="B1638" s="9"/>
      <c r="C1638" s="27"/>
      <c r="D1638" s="9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42"/>
      <c r="Y1638" s="42"/>
      <c r="Z1638" s="27"/>
      <c r="AA1638" s="27"/>
      <c r="AB1638" s="27"/>
      <c r="AC1638" s="9"/>
      <c r="AD1638" s="27"/>
      <c r="AE1638" s="9"/>
      <c r="AF1638" s="9"/>
      <c r="AG1638" s="27"/>
      <c r="AH1638" s="27"/>
      <c r="AI1638" s="27"/>
      <c r="AJ1638" s="42"/>
      <c r="AK1638" s="27"/>
      <c r="AL1638" s="27"/>
      <c r="AM1638" s="27"/>
      <c r="AN1638" s="27"/>
      <c r="AO1638" s="27"/>
      <c r="AP1638" s="27"/>
      <c r="AQ1638" s="27"/>
    </row>
    <row r="1639" spans="1:43" ht="15.75" customHeight="1">
      <c r="A1639" s="27"/>
      <c r="B1639" s="9"/>
      <c r="C1639" s="27"/>
      <c r="D1639" s="9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42"/>
      <c r="Y1639" s="42"/>
      <c r="Z1639" s="27"/>
      <c r="AA1639" s="27"/>
      <c r="AB1639" s="27"/>
      <c r="AC1639" s="9"/>
      <c r="AD1639" s="27"/>
      <c r="AE1639" s="9"/>
      <c r="AF1639" s="9"/>
      <c r="AG1639" s="27"/>
      <c r="AH1639" s="27"/>
      <c r="AI1639" s="27"/>
      <c r="AJ1639" s="42"/>
      <c r="AK1639" s="27"/>
      <c r="AL1639" s="27"/>
      <c r="AM1639" s="27"/>
      <c r="AN1639" s="27"/>
      <c r="AO1639" s="27"/>
      <c r="AP1639" s="27"/>
      <c r="AQ1639" s="27"/>
    </row>
    <row r="1640" spans="1:43" ht="15.75" customHeight="1">
      <c r="A1640" s="27"/>
      <c r="B1640" s="9"/>
      <c r="C1640" s="27"/>
      <c r="D1640" s="9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42"/>
      <c r="Y1640" s="42"/>
      <c r="Z1640" s="27"/>
      <c r="AA1640" s="27"/>
      <c r="AB1640" s="27"/>
      <c r="AC1640" s="9"/>
      <c r="AD1640" s="27"/>
      <c r="AE1640" s="9"/>
      <c r="AF1640" s="9"/>
      <c r="AG1640" s="27"/>
      <c r="AH1640" s="27"/>
      <c r="AI1640" s="27"/>
      <c r="AJ1640" s="42"/>
      <c r="AK1640" s="27"/>
      <c r="AL1640" s="27"/>
      <c r="AM1640" s="27"/>
      <c r="AN1640" s="27"/>
      <c r="AO1640" s="27"/>
      <c r="AP1640" s="27"/>
      <c r="AQ1640" s="27"/>
    </row>
    <row r="1641" spans="1:43" ht="15.75" customHeight="1">
      <c r="A1641" s="27"/>
      <c r="B1641" s="9"/>
      <c r="C1641" s="27"/>
      <c r="D1641" s="9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42"/>
      <c r="Y1641" s="42"/>
      <c r="Z1641" s="27"/>
      <c r="AA1641" s="27"/>
      <c r="AB1641" s="27"/>
      <c r="AC1641" s="9"/>
      <c r="AD1641" s="27"/>
      <c r="AE1641" s="9"/>
      <c r="AF1641" s="9"/>
      <c r="AG1641" s="27"/>
      <c r="AH1641" s="27"/>
      <c r="AI1641" s="27"/>
      <c r="AJ1641" s="42"/>
      <c r="AK1641" s="27"/>
      <c r="AL1641" s="27"/>
      <c r="AM1641" s="27"/>
      <c r="AN1641" s="27"/>
      <c r="AO1641" s="27"/>
      <c r="AP1641" s="27"/>
      <c r="AQ1641" s="27"/>
    </row>
    <row r="1642" spans="1:43" ht="15.75" customHeight="1">
      <c r="A1642" s="27"/>
      <c r="B1642" s="9"/>
      <c r="C1642" s="27"/>
      <c r="D1642" s="9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42"/>
      <c r="Y1642" s="42"/>
      <c r="Z1642" s="27"/>
      <c r="AA1642" s="27"/>
      <c r="AB1642" s="27"/>
      <c r="AC1642" s="9"/>
      <c r="AD1642" s="27"/>
      <c r="AE1642" s="9"/>
      <c r="AF1642" s="9"/>
      <c r="AG1642" s="27"/>
      <c r="AH1642" s="27"/>
      <c r="AI1642" s="27"/>
      <c r="AJ1642" s="42"/>
      <c r="AK1642" s="27"/>
      <c r="AL1642" s="27"/>
      <c r="AM1642" s="27"/>
      <c r="AN1642" s="27"/>
      <c r="AO1642" s="27"/>
      <c r="AP1642" s="27"/>
      <c r="AQ1642" s="27"/>
    </row>
    <row r="1643" spans="1:43" ht="15.75" customHeight="1">
      <c r="A1643" s="27"/>
      <c r="B1643" s="9"/>
      <c r="C1643" s="27"/>
      <c r="D1643" s="9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42"/>
      <c r="Y1643" s="42"/>
      <c r="Z1643" s="27"/>
      <c r="AA1643" s="27"/>
      <c r="AB1643" s="27"/>
      <c r="AC1643" s="9"/>
      <c r="AD1643" s="27"/>
      <c r="AE1643" s="9"/>
      <c r="AF1643" s="9"/>
      <c r="AG1643" s="27"/>
      <c r="AH1643" s="27"/>
      <c r="AI1643" s="27"/>
      <c r="AJ1643" s="42"/>
      <c r="AK1643" s="27"/>
      <c r="AL1643" s="27"/>
      <c r="AM1643" s="27"/>
      <c r="AN1643" s="27"/>
      <c r="AO1643" s="27"/>
      <c r="AP1643" s="27"/>
      <c r="AQ1643" s="27"/>
    </row>
    <row r="1644" spans="1:43" ht="15.75" customHeight="1">
      <c r="A1644" s="27"/>
      <c r="B1644" s="9"/>
      <c r="C1644" s="27"/>
      <c r="D1644" s="9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42"/>
      <c r="Y1644" s="42"/>
      <c r="Z1644" s="27"/>
      <c r="AA1644" s="27"/>
      <c r="AB1644" s="27"/>
      <c r="AC1644" s="9"/>
      <c r="AD1644" s="27"/>
      <c r="AE1644" s="9"/>
      <c r="AF1644" s="9"/>
      <c r="AG1644" s="27"/>
      <c r="AH1644" s="27"/>
      <c r="AI1644" s="27"/>
      <c r="AJ1644" s="42"/>
      <c r="AK1644" s="27"/>
      <c r="AL1644" s="27"/>
      <c r="AM1644" s="27"/>
      <c r="AN1644" s="27"/>
      <c r="AO1644" s="27"/>
      <c r="AP1644" s="27"/>
      <c r="AQ1644" s="27"/>
    </row>
    <row r="1645" spans="1:43" ht="15.75" customHeight="1">
      <c r="A1645" s="27"/>
      <c r="B1645" s="9"/>
      <c r="C1645" s="27"/>
      <c r="D1645" s="9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42"/>
      <c r="Y1645" s="42"/>
      <c r="Z1645" s="27"/>
      <c r="AA1645" s="27"/>
      <c r="AB1645" s="27"/>
      <c r="AC1645" s="9"/>
      <c r="AD1645" s="27"/>
      <c r="AE1645" s="9"/>
      <c r="AF1645" s="9"/>
      <c r="AG1645" s="27"/>
      <c r="AH1645" s="27"/>
      <c r="AI1645" s="27"/>
      <c r="AJ1645" s="42"/>
      <c r="AK1645" s="27"/>
      <c r="AL1645" s="27"/>
      <c r="AM1645" s="27"/>
      <c r="AN1645" s="27"/>
      <c r="AO1645" s="27"/>
      <c r="AP1645" s="27"/>
      <c r="AQ1645" s="27"/>
    </row>
    <row r="1646" spans="1:43" ht="15.75" customHeight="1">
      <c r="A1646" s="27"/>
      <c r="B1646" s="9"/>
      <c r="C1646" s="27"/>
      <c r="D1646" s="9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42"/>
      <c r="Y1646" s="42"/>
      <c r="Z1646" s="27"/>
      <c r="AA1646" s="27"/>
      <c r="AB1646" s="27"/>
      <c r="AC1646" s="9"/>
      <c r="AD1646" s="27"/>
      <c r="AE1646" s="9"/>
      <c r="AF1646" s="9"/>
      <c r="AG1646" s="27"/>
      <c r="AH1646" s="27"/>
      <c r="AI1646" s="27"/>
      <c r="AJ1646" s="42"/>
      <c r="AK1646" s="27"/>
      <c r="AL1646" s="27"/>
      <c r="AM1646" s="27"/>
      <c r="AN1646" s="27"/>
      <c r="AO1646" s="27"/>
      <c r="AP1646" s="27"/>
      <c r="AQ1646" s="27"/>
    </row>
    <row r="1647" spans="1:43" ht="15.75" customHeight="1">
      <c r="A1647" s="27"/>
      <c r="B1647" s="9"/>
      <c r="C1647" s="27"/>
      <c r="D1647" s="9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42"/>
      <c r="Y1647" s="42"/>
      <c r="Z1647" s="27"/>
      <c r="AA1647" s="27"/>
      <c r="AB1647" s="27"/>
      <c r="AC1647" s="9"/>
      <c r="AD1647" s="27"/>
      <c r="AE1647" s="9"/>
      <c r="AF1647" s="9"/>
      <c r="AG1647" s="27"/>
      <c r="AH1647" s="27"/>
      <c r="AI1647" s="27"/>
      <c r="AJ1647" s="42"/>
      <c r="AK1647" s="27"/>
      <c r="AL1647" s="27"/>
      <c r="AM1647" s="27"/>
      <c r="AN1647" s="27"/>
      <c r="AO1647" s="27"/>
      <c r="AP1647" s="27"/>
      <c r="AQ1647" s="27"/>
    </row>
    <row r="1648" spans="1:43" ht="15.75" customHeight="1">
      <c r="A1648" s="27"/>
      <c r="B1648" s="9"/>
      <c r="C1648" s="27"/>
      <c r="D1648" s="9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42"/>
      <c r="Y1648" s="42"/>
      <c r="Z1648" s="27"/>
      <c r="AA1648" s="27"/>
      <c r="AB1648" s="27"/>
      <c r="AC1648" s="9"/>
      <c r="AD1648" s="27"/>
      <c r="AE1648" s="9"/>
      <c r="AF1648" s="9"/>
      <c r="AG1648" s="27"/>
      <c r="AH1648" s="27"/>
      <c r="AI1648" s="27"/>
      <c r="AJ1648" s="42"/>
      <c r="AK1648" s="27"/>
      <c r="AL1648" s="27"/>
      <c r="AM1648" s="27"/>
      <c r="AN1648" s="27"/>
      <c r="AO1648" s="27"/>
      <c r="AP1648" s="27"/>
      <c r="AQ1648" s="27"/>
    </row>
    <row r="1649" spans="1:43" ht="15.75" customHeight="1">
      <c r="A1649" s="27"/>
      <c r="B1649" s="9"/>
      <c r="C1649" s="27"/>
      <c r="D1649" s="9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42"/>
      <c r="Y1649" s="42"/>
      <c r="Z1649" s="27"/>
      <c r="AA1649" s="27"/>
      <c r="AB1649" s="27"/>
      <c r="AC1649" s="9"/>
      <c r="AD1649" s="27"/>
      <c r="AE1649" s="9"/>
      <c r="AF1649" s="9"/>
      <c r="AG1649" s="27"/>
      <c r="AH1649" s="27"/>
      <c r="AI1649" s="27"/>
      <c r="AJ1649" s="42"/>
      <c r="AK1649" s="27"/>
      <c r="AL1649" s="27"/>
      <c r="AM1649" s="27"/>
      <c r="AN1649" s="27"/>
      <c r="AO1649" s="27"/>
      <c r="AP1649" s="27"/>
      <c r="AQ1649" s="27"/>
    </row>
    <row r="1650" spans="1:43" ht="15.75" customHeight="1">
      <c r="A1650" s="27"/>
      <c r="B1650" s="9"/>
      <c r="C1650" s="27"/>
      <c r="D1650" s="9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42"/>
      <c r="Y1650" s="42"/>
      <c r="Z1650" s="27"/>
      <c r="AA1650" s="27"/>
      <c r="AB1650" s="27"/>
      <c r="AC1650" s="9"/>
      <c r="AD1650" s="27"/>
      <c r="AE1650" s="9"/>
      <c r="AF1650" s="9"/>
      <c r="AG1650" s="27"/>
      <c r="AH1650" s="27"/>
      <c r="AI1650" s="27"/>
      <c r="AJ1650" s="42"/>
      <c r="AK1650" s="27"/>
      <c r="AL1650" s="27"/>
      <c r="AM1650" s="27"/>
      <c r="AN1650" s="27"/>
      <c r="AO1650" s="27"/>
      <c r="AP1650" s="27"/>
      <c r="AQ1650" s="27"/>
    </row>
    <row r="1651" spans="1:43" ht="15.75" customHeight="1">
      <c r="A1651" s="27"/>
      <c r="B1651" s="9"/>
      <c r="C1651" s="27"/>
      <c r="D1651" s="9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42"/>
      <c r="Y1651" s="42"/>
      <c r="Z1651" s="27"/>
      <c r="AA1651" s="27"/>
      <c r="AB1651" s="27"/>
      <c r="AC1651" s="9"/>
      <c r="AD1651" s="27"/>
      <c r="AE1651" s="9"/>
      <c r="AF1651" s="9"/>
      <c r="AG1651" s="27"/>
      <c r="AH1651" s="27"/>
      <c r="AI1651" s="27"/>
      <c r="AJ1651" s="42"/>
      <c r="AK1651" s="27"/>
      <c r="AL1651" s="27"/>
      <c r="AM1651" s="27"/>
      <c r="AN1651" s="27"/>
      <c r="AO1651" s="27"/>
      <c r="AP1651" s="27"/>
      <c r="AQ1651" s="27"/>
    </row>
    <row r="1652" spans="1:43" ht="15.75" customHeight="1">
      <c r="A1652" s="27"/>
      <c r="B1652" s="9"/>
      <c r="C1652" s="27"/>
      <c r="D1652" s="9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42"/>
      <c r="Y1652" s="42"/>
      <c r="Z1652" s="27"/>
      <c r="AA1652" s="27"/>
      <c r="AB1652" s="27"/>
      <c r="AC1652" s="9"/>
      <c r="AD1652" s="27"/>
      <c r="AE1652" s="9"/>
      <c r="AF1652" s="9"/>
      <c r="AG1652" s="27"/>
      <c r="AH1652" s="27"/>
      <c r="AI1652" s="27"/>
      <c r="AJ1652" s="42"/>
      <c r="AK1652" s="27"/>
      <c r="AL1652" s="27"/>
      <c r="AM1652" s="27"/>
      <c r="AN1652" s="27"/>
      <c r="AO1652" s="27"/>
      <c r="AP1652" s="27"/>
      <c r="AQ1652" s="27"/>
    </row>
    <row r="1653" spans="1:43" ht="15.75" customHeight="1">
      <c r="A1653" s="27"/>
      <c r="B1653" s="9"/>
      <c r="C1653" s="27"/>
      <c r="D1653" s="9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42"/>
      <c r="Y1653" s="42"/>
      <c r="Z1653" s="27"/>
      <c r="AA1653" s="27"/>
      <c r="AB1653" s="27"/>
      <c r="AC1653" s="9"/>
      <c r="AD1653" s="27"/>
      <c r="AE1653" s="9"/>
      <c r="AF1653" s="9"/>
      <c r="AG1653" s="27"/>
      <c r="AH1653" s="27"/>
      <c r="AI1653" s="27"/>
      <c r="AJ1653" s="42"/>
      <c r="AK1653" s="27"/>
      <c r="AL1653" s="27"/>
      <c r="AM1653" s="27"/>
      <c r="AN1653" s="27"/>
      <c r="AO1653" s="27"/>
      <c r="AP1653" s="27"/>
      <c r="AQ1653" s="27"/>
    </row>
    <row r="1654" spans="1:43" ht="15.75" customHeight="1">
      <c r="A1654" s="27"/>
      <c r="B1654" s="9"/>
      <c r="C1654" s="27"/>
      <c r="D1654" s="9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42"/>
      <c r="Y1654" s="42"/>
      <c r="Z1654" s="27"/>
      <c r="AA1654" s="27"/>
      <c r="AB1654" s="27"/>
      <c r="AC1654" s="9"/>
      <c r="AD1654" s="27"/>
      <c r="AE1654" s="9"/>
      <c r="AF1654" s="9"/>
      <c r="AG1654" s="27"/>
      <c r="AH1654" s="27"/>
      <c r="AI1654" s="27"/>
      <c r="AJ1654" s="42"/>
      <c r="AK1654" s="27"/>
      <c r="AL1654" s="27"/>
      <c r="AM1654" s="27"/>
      <c r="AN1654" s="27"/>
      <c r="AO1654" s="27"/>
      <c r="AP1654" s="27"/>
      <c r="AQ1654" s="27"/>
    </row>
    <row r="1655" spans="1:43" ht="15.75" customHeight="1">
      <c r="A1655" s="27"/>
      <c r="B1655" s="9"/>
      <c r="C1655" s="27"/>
      <c r="D1655" s="9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42"/>
      <c r="Y1655" s="42"/>
      <c r="Z1655" s="27"/>
      <c r="AA1655" s="27"/>
      <c r="AB1655" s="27"/>
      <c r="AC1655" s="9"/>
      <c r="AD1655" s="27"/>
      <c r="AE1655" s="9"/>
      <c r="AF1655" s="9"/>
      <c r="AG1655" s="27"/>
      <c r="AH1655" s="27"/>
      <c r="AI1655" s="27"/>
      <c r="AJ1655" s="42"/>
      <c r="AK1655" s="27"/>
      <c r="AL1655" s="27"/>
      <c r="AM1655" s="27"/>
      <c r="AN1655" s="27"/>
      <c r="AO1655" s="27"/>
      <c r="AP1655" s="27"/>
      <c r="AQ1655" s="27"/>
    </row>
    <row r="1656" spans="1:43" ht="15.75" customHeight="1">
      <c r="A1656" s="27"/>
      <c r="B1656" s="9"/>
      <c r="C1656" s="27"/>
      <c r="D1656" s="9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42"/>
      <c r="Y1656" s="42"/>
      <c r="Z1656" s="27"/>
      <c r="AA1656" s="27"/>
      <c r="AB1656" s="27"/>
      <c r="AC1656" s="9"/>
      <c r="AD1656" s="27"/>
      <c r="AE1656" s="9"/>
      <c r="AF1656" s="9"/>
      <c r="AG1656" s="27"/>
      <c r="AH1656" s="27"/>
      <c r="AI1656" s="27"/>
      <c r="AJ1656" s="42"/>
      <c r="AK1656" s="27"/>
      <c r="AL1656" s="27"/>
      <c r="AM1656" s="27"/>
      <c r="AN1656" s="27"/>
      <c r="AO1656" s="27"/>
      <c r="AP1656" s="27"/>
      <c r="AQ1656" s="27"/>
    </row>
    <row r="1657" spans="1:43" ht="15.75" customHeight="1">
      <c r="A1657" s="27"/>
      <c r="B1657" s="9"/>
      <c r="C1657" s="27"/>
      <c r="D1657" s="9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42"/>
      <c r="Y1657" s="42"/>
      <c r="Z1657" s="27"/>
      <c r="AA1657" s="27"/>
      <c r="AB1657" s="27"/>
      <c r="AC1657" s="9"/>
      <c r="AD1657" s="27"/>
      <c r="AE1657" s="9"/>
      <c r="AF1657" s="9"/>
      <c r="AG1657" s="27"/>
      <c r="AH1657" s="27"/>
      <c r="AI1657" s="27"/>
      <c r="AJ1657" s="42"/>
      <c r="AK1657" s="27"/>
      <c r="AL1657" s="27"/>
      <c r="AM1657" s="27"/>
      <c r="AN1657" s="27"/>
      <c r="AO1657" s="27"/>
      <c r="AP1657" s="27"/>
      <c r="AQ1657" s="27"/>
    </row>
    <row r="1658" spans="1:43" ht="15.75" customHeight="1">
      <c r="A1658" s="27"/>
      <c r="B1658" s="9"/>
      <c r="C1658" s="27"/>
      <c r="D1658" s="9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42"/>
      <c r="Y1658" s="42"/>
      <c r="Z1658" s="27"/>
      <c r="AA1658" s="27"/>
      <c r="AB1658" s="27"/>
      <c r="AC1658" s="9"/>
      <c r="AD1658" s="27"/>
      <c r="AE1658" s="9"/>
      <c r="AF1658" s="9"/>
      <c r="AG1658" s="27"/>
      <c r="AH1658" s="27"/>
      <c r="AI1658" s="27"/>
      <c r="AJ1658" s="42"/>
      <c r="AK1658" s="27"/>
      <c r="AL1658" s="27"/>
      <c r="AM1658" s="27"/>
      <c r="AN1658" s="27"/>
      <c r="AO1658" s="27"/>
      <c r="AP1658" s="27"/>
      <c r="AQ1658" s="27"/>
    </row>
    <row r="1659" spans="1:43" ht="15.75" customHeight="1">
      <c r="A1659" s="27"/>
      <c r="B1659" s="9"/>
      <c r="C1659" s="27"/>
      <c r="D1659" s="9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42"/>
      <c r="Y1659" s="42"/>
      <c r="Z1659" s="27"/>
      <c r="AA1659" s="27"/>
      <c r="AB1659" s="27"/>
      <c r="AC1659" s="9"/>
      <c r="AD1659" s="27"/>
      <c r="AE1659" s="9"/>
      <c r="AF1659" s="9"/>
      <c r="AG1659" s="27"/>
      <c r="AH1659" s="27"/>
      <c r="AI1659" s="27"/>
      <c r="AJ1659" s="42"/>
      <c r="AK1659" s="27"/>
      <c r="AL1659" s="27"/>
      <c r="AM1659" s="27"/>
      <c r="AN1659" s="27"/>
      <c r="AO1659" s="27"/>
      <c r="AP1659" s="27"/>
      <c r="AQ1659" s="27"/>
    </row>
    <row r="1660" spans="1:43" ht="15.75" customHeight="1">
      <c r="A1660" s="27"/>
      <c r="B1660" s="9"/>
      <c r="C1660" s="27"/>
      <c r="D1660" s="9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42"/>
      <c r="Y1660" s="42"/>
      <c r="Z1660" s="27"/>
      <c r="AA1660" s="27"/>
      <c r="AB1660" s="27"/>
      <c r="AC1660" s="9"/>
      <c r="AD1660" s="27"/>
      <c r="AE1660" s="9"/>
      <c r="AF1660" s="9"/>
      <c r="AG1660" s="27"/>
      <c r="AH1660" s="27"/>
      <c r="AI1660" s="27"/>
      <c r="AJ1660" s="42"/>
      <c r="AK1660" s="27"/>
      <c r="AL1660" s="27"/>
      <c r="AM1660" s="27"/>
      <c r="AN1660" s="27"/>
      <c r="AO1660" s="27"/>
      <c r="AP1660" s="27"/>
      <c r="AQ1660" s="27"/>
    </row>
    <row r="1661" spans="1:43" ht="15.75" customHeight="1">
      <c r="A1661" s="27"/>
      <c r="B1661" s="9"/>
      <c r="C1661" s="27"/>
      <c r="D1661" s="9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42"/>
      <c r="Y1661" s="42"/>
      <c r="Z1661" s="27"/>
      <c r="AA1661" s="27"/>
      <c r="AB1661" s="27"/>
      <c r="AC1661" s="9"/>
      <c r="AD1661" s="27"/>
      <c r="AE1661" s="9"/>
      <c r="AF1661" s="9"/>
      <c r="AG1661" s="27"/>
      <c r="AH1661" s="27"/>
      <c r="AI1661" s="27"/>
      <c r="AJ1661" s="42"/>
      <c r="AK1661" s="27"/>
      <c r="AL1661" s="27"/>
      <c r="AM1661" s="27"/>
      <c r="AN1661" s="27"/>
      <c r="AO1661" s="27"/>
      <c r="AP1661" s="27"/>
      <c r="AQ1661" s="27"/>
    </row>
    <row r="1662" spans="1:43" ht="15.75" customHeight="1">
      <c r="A1662" s="27"/>
      <c r="B1662" s="9"/>
      <c r="C1662" s="27"/>
      <c r="D1662" s="9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42"/>
      <c r="Y1662" s="42"/>
      <c r="Z1662" s="27"/>
      <c r="AA1662" s="27"/>
      <c r="AB1662" s="27"/>
      <c r="AC1662" s="9"/>
      <c r="AD1662" s="27"/>
      <c r="AE1662" s="9"/>
      <c r="AF1662" s="9"/>
      <c r="AG1662" s="27"/>
      <c r="AH1662" s="27"/>
      <c r="AI1662" s="27"/>
      <c r="AJ1662" s="42"/>
      <c r="AK1662" s="27"/>
      <c r="AL1662" s="27"/>
      <c r="AM1662" s="27"/>
      <c r="AN1662" s="27"/>
      <c r="AO1662" s="27"/>
      <c r="AP1662" s="27"/>
      <c r="AQ1662" s="27"/>
    </row>
    <row r="1663" spans="1:43" ht="15.75" customHeight="1">
      <c r="A1663" s="27"/>
      <c r="B1663" s="9"/>
      <c r="C1663" s="27"/>
      <c r="D1663" s="9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42"/>
      <c r="Y1663" s="42"/>
      <c r="Z1663" s="27"/>
      <c r="AA1663" s="27"/>
      <c r="AB1663" s="27"/>
      <c r="AC1663" s="9"/>
      <c r="AD1663" s="27"/>
      <c r="AE1663" s="9"/>
      <c r="AF1663" s="9"/>
      <c r="AG1663" s="27"/>
      <c r="AH1663" s="27"/>
      <c r="AI1663" s="27"/>
      <c r="AJ1663" s="42"/>
      <c r="AK1663" s="27"/>
      <c r="AL1663" s="27"/>
      <c r="AM1663" s="27"/>
      <c r="AN1663" s="27"/>
      <c r="AO1663" s="27"/>
      <c r="AP1663" s="27"/>
      <c r="AQ1663" s="27"/>
    </row>
    <row r="1664" spans="1:43" ht="15.75" customHeight="1">
      <c r="A1664" s="27"/>
      <c r="B1664" s="9"/>
      <c r="C1664" s="27"/>
      <c r="D1664" s="9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42"/>
      <c r="Y1664" s="42"/>
      <c r="Z1664" s="27"/>
      <c r="AA1664" s="27"/>
      <c r="AB1664" s="27"/>
      <c r="AC1664" s="9"/>
      <c r="AD1664" s="27"/>
      <c r="AE1664" s="9"/>
      <c r="AF1664" s="9"/>
      <c r="AG1664" s="27"/>
      <c r="AH1664" s="27"/>
      <c r="AI1664" s="27"/>
      <c r="AJ1664" s="42"/>
      <c r="AK1664" s="27"/>
      <c r="AL1664" s="27"/>
      <c r="AM1664" s="27"/>
      <c r="AN1664" s="27"/>
      <c r="AO1664" s="27"/>
      <c r="AP1664" s="27"/>
      <c r="AQ1664" s="27"/>
    </row>
    <row r="1665" spans="1:43" ht="15.75" customHeight="1">
      <c r="A1665" s="27"/>
      <c r="B1665" s="9"/>
      <c r="C1665" s="27"/>
      <c r="D1665" s="9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42"/>
      <c r="Y1665" s="42"/>
      <c r="Z1665" s="27"/>
      <c r="AA1665" s="27"/>
      <c r="AB1665" s="27"/>
      <c r="AC1665" s="9"/>
      <c r="AD1665" s="27"/>
      <c r="AE1665" s="9"/>
      <c r="AF1665" s="9"/>
      <c r="AG1665" s="27"/>
      <c r="AH1665" s="27"/>
      <c r="AI1665" s="27"/>
      <c r="AJ1665" s="42"/>
      <c r="AK1665" s="27"/>
      <c r="AL1665" s="27"/>
      <c r="AM1665" s="27"/>
      <c r="AN1665" s="27"/>
      <c r="AO1665" s="27"/>
      <c r="AP1665" s="27"/>
      <c r="AQ1665" s="27"/>
    </row>
    <row r="1666" spans="1:43" ht="15.75" customHeight="1">
      <c r="A1666" s="27"/>
      <c r="B1666" s="9"/>
      <c r="C1666" s="27"/>
      <c r="D1666" s="9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42"/>
      <c r="Y1666" s="42"/>
      <c r="Z1666" s="27"/>
      <c r="AA1666" s="27"/>
      <c r="AB1666" s="27"/>
      <c r="AC1666" s="9"/>
      <c r="AD1666" s="27"/>
      <c r="AE1666" s="9"/>
      <c r="AF1666" s="9"/>
      <c r="AG1666" s="27"/>
      <c r="AH1666" s="27"/>
      <c r="AI1666" s="27"/>
      <c r="AJ1666" s="42"/>
      <c r="AK1666" s="27"/>
      <c r="AL1666" s="27"/>
      <c r="AM1666" s="27"/>
      <c r="AN1666" s="27"/>
      <c r="AO1666" s="27"/>
      <c r="AP1666" s="27"/>
      <c r="AQ1666" s="27"/>
    </row>
    <row r="1667" spans="1:43" ht="15.75" customHeight="1">
      <c r="A1667" s="27"/>
      <c r="B1667" s="9"/>
      <c r="C1667" s="27"/>
      <c r="D1667" s="9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42"/>
      <c r="Y1667" s="42"/>
      <c r="Z1667" s="27"/>
      <c r="AA1667" s="27"/>
      <c r="AB1667" s="27"/>
      <c r="AC1667" s="9"/>
      <c r="AD1667" s="27"/>
      <c r="AE1667" s="9"/>
      <c r="AF1667" s="9"/>
      <c r="AG1667" s="27"/>
      <c r="AH1667" s="27"/>
      <c r="AI1667" s="27"/>
      <c r="AJ1667" s="42"/>
      <c r="AK1667" s="27"/>
      <c r="AL1667" s="27"/>
      <c r="AM1667" s="27"/>
      <c r="AN1667" s="27"/>
      <c r="AO1667" s="27"/>
      <c r="AP1667" s="27"/>
      <c r="AQ1667" s="27"/>
    </row>
    <row r="1668" spans="1:43" ht="15.75" customHeight="1">
      <c r="A1668" s="27"/>
      <c r="B1668" s="9"/>
      <c r="C1668" s="27"/>
      <c r="D1668" s="9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42"/>
      <c r="Y1668" s="42"/>
      <c r="Z1668" s="27"/>
      <c r="AA1668" s="27"/>
      <c r="AB1668" s="27"/>
      <c r="AC1668" s="9"/>
      <c r="AD1668" s="27"/>
      <c r="AE1668" s="9"/>
      <c r="AF1668" s="9"/>
      <c r="AG1668" s="27"/>
      <c r="AH1668" s="27"/>
      <c r="AI1668" s="27"/>
      <c r="AJ1668" s="42"/>
      <c r="AK1668" s="27"/>
      <c r="AL1668" s="27"/>
      <c r="AM1668" s="27"/>
      <c r="AN1668" s="27"/>
      <c r="AO1668" s="27"/>
      <c r="AP1668" s="27"/>
      <c r="AQ1668" s="27"/>
    </row>
    <row r="1669" spans="1:43" ht="15.75" customHeight="1">
      <c r="A1669" s="27"/>
      <c r="B1669" s="9"/>
      <c r="C1669" s="27"/>
      <c r="D1669" s="9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42"/>
      <c r="Y1669" s="42"/>
      <c r="Z1669" s="27"/>
      <c r="AA1669" s="27"/>
      <c r="AB1669" s="27"/>
      <c r="AC1669" s="9"/>
      <c r="AD1669" s="27"/>
      <c r="AE1669" s="9"/>
      <c r="AF1669" s="9"/>
      <c r="AG1669" s="27"/>
      <c r="AH1669" s="27"/>
      <c r="AI1669" s="27"/>
      <c r="AJ1669" s="42"/>
      <c r="AK1669" s="27"/>
      <c r="AL1669" s="27"/>
      <c r="AM1669" s="27"/>
      <c r="AN1669" s="27"/>
      <c r="AO1669" s="27"/>
      <c r="AP1669" s="27"/>
      <c r="AQ1669" s="27"/>
    </row>
    <row r="1670" spans="1:43" ht="15.75" customHeight="1">
      <c r="A1670" s="27"/>
      <c r="B1670" s="9"/>
      <c r="C1670" s="27"/>
      <c r="D1670" s="9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42"/>
      <c r="Y1670" s="42"/>
      <c r="Z1670" s="27"/>
      <c r="AA1670" s="27"/>
      <c r="AB1670" s="27"/>
      <c r="AC1670" s="9"/>
      <c r="AD1670" s="27"/>
      <c r="AE1670" s="9"/>
      <c r="AF1670" s="9"/>
      <c r="AG1670" s="27"/>
      <c r="AH1670" s="27"/>
      <c r="AI1670" s="27"/>
      <c r="AJ1670" s="42"/>
      <c r="AK1670" s="27"/>
      <c r="AL1670" s="27"/>
      <c r="AM1670" s="27"/>
      <c r="AN1670" s="27"/>
      <c r="AO1670" s="27"/>
      <c r="AP1670" s="27"/>
      <c r="AQ1670" s="27"/>
    </row>
    <row r="1671" spans="1:43" ht="15.75" customHeight="1">
      <c r="A1671" s="27"/>
      <c r="B1671" s="9"/>
      <c r="C1671" s="27"/>
      <c r="D1671" s="9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42"/>
      <c r="Y1671" s="42"/>
      <c r="Z1671" s="27"/>
      <c r="AA1671" s="27"/>
      <c r="AB1671" s="27"/>
      <c r="AC1671" s="9"/>
      <c r="AD1671" s="27"/>
      <c r="AE1671" s="9"/>
      <c r="AF1671" s="9"/>
      <c r="AG1671" s="27"/>
      <c r="AH1671" s="27"/>
      <c r="AI1671" s="27"/>
      <c r="AJ1671" s="42"/>
      <c r="AK1671" s="27"/>
      <c r="AL1671" s="27"/>
      <c r="AM1671" s="27"/>
      <c r="AN1671" s="27"/>
      <c r="AO1671" s="27"/>
      <c r="AP1671" s="27"/>
      <c r="AQ1671" s="27"/>
    </row>
    <row r="1672" spans="1:43" ht="15.75" customHeight="1">
      <c r="A1672" s="27"/>
      <c r="B1672" s="9"/>
      <c r="C1672" s="27"/>
      <c r="D1672" s="9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42"/>
      <c r="Y1672" s="42"/>
      <c r="Z1672" s="27"/>
      <c r="AA1672" s="27"/>
      <c r="AB1672" s="27"/>
      <c r="AC1672" s="9"/>
      <c r="AD1672" s="27"/>
      <c r="AE1672" s="9"/>
      <c r="AF1672" s="9"/>
      <c r="AG1672" s="27"/>
      <c r="AH1672" s="27"/>
      <c r="AI1672" s="27"/>
      <c r="AJ1672" s="42"/>
      <c r="AK1672" s="27"/>
      <c r="AL1672" s="27"/>
      <c r="AM1672" s="27"/>
      <c r="AN1672" s="27"/>
      <c r="AO1672" s="27"/>
      <c r="AP1672" s="27"/>
      <c r="AQ1672" s="27"/>
    </row>
    <row r="1673" spans="1:43" ht="15.75" customHeight="1">
      <c r="A1673" s="27"/>
      <c r="B1673" s="9"/>
      <c r="C1673" s="27"/>
      <c r="D1673" s="9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42"/>
      <c r="Y1673" s="42"/>
      <c r="Z1673" s="27"/>
      <c r="AA1673" s="27"/>
      <c r="AB1673" s="27"/>
      <c r="AC1673" s="9"/>
      <c r="AD1673" s="27"/>
      <c r="AE1673" s="9"/>
      <c r="AF1673" s="9"/>
      <c r="AG1673" s="27"/>
      <c r="AH1673" s="27"/>
      <c r="AI1673" s="27"/>
      <c r="AJ1673" s="42"/>
      <c r="AK1673" s="27"/>
      <c r="AL1673" s="27"/>
      <c r="AM1673" s="27"/>
      <c r="AN1673" s="27"/>
      <c r="AO1673" s="27"/>
      <c r="AP1673" s="27"/>
      <c r="AQ1673" s="27"/>
    </row>
    <row r="1674" spans="1:43" ht="15.75" customHeight="1">
      <c r="A1674" s="27"/>
      <c r="B1674" s="9"/>
      <c r="C1674" s="27"/>
      <c r="D1674" s="9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42"/>
      <c r="Y1674" s="42"/>
      <c r="Z1674" s="27"/>
      <c r="AA1674" s="27"/>
      <c r="AB1674" s="27"/>
      <c r="AC1674" s="9"/>
      <c r="AD1674" s="27"/>
      <c r="AE1674" s="9"/>
      <c r="AF1674" s="9"/>
      <c r="AG1674" s="27"/>
      <c r="AH1674" s="27"/>
      <c r="AI1674" s="27"/>
      <c r="AJ1674" s="42"/>
      <c r="AK1674" s="27"/>
      <c r="AL1674" s="27"/>
      <c r="AM1674" s="27"/>
      <c r="AN1674" s="27"/>
      <c r="AO1674" s="27"/>
      <c r="AP1674" s="27"/>
      <c r="AQ1674" s="27"/>
    </row>
    <row r="1675" spans="1:43" ht="15.75" customHeight="1">
      <c r="A1675" s="27"/>
      <c r="B1675" s="9"/>
      <c r="C1675" s="27"/>
      <c r="D1675" s="9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42"/>
      <c r="Y1675" s="42"/>
      <c r="Z1675" s="27"/>
      <c r="AA1675" s="27"/>
      <c r="AB1675" s="27"/>
      <c r="AC1675" s="9"/>
      <c r="AD1675" s="27"/>
      <c r="AE1675" s="9"/>
      <c r="AF1675" s="9"/>
      <c r="AG1675" s="27"/>
      <c r="AH1675" s="27"/>
      <c r="AI1675" s="27"/>
      <c r="AJ1675" s="42"/>
      <c r="AK1675" s="27"/>
      <c r="AL1675" s="27"/>
      <c r="AM1675" s="27"/>
      <c r="AN1675" s="27"/>
      <c r="AO1675" s="27"/>
      <c r="AP1675" s="27"/>
      <c r="AQ1675" s="27"/>
    </row>
  </sheetData>
  <mergeCells count="4">
    <mergeCell ref="A2:AL2"/>
    <mergeCell ref="A3:AL3"/>
    <mergeCell ref="A4:AL4"/>
    <mergeCell ref="B5:AL5"/>
  </mergeCells>
  <conditionalFormatting sqref="AN846:AQ1675">
    <cfRule type="expression" dxfId="1830" priority="2">
      <formula>$N$5:$N$20001="CONTRATADO"</formula>
    </cfRule>
  </conditionalFormatting>
  <conditionalFormatting sqref="AN846:AQ1675">
    <cfRule type="expression" dxfId="1829" priority="3">
      <formula>$N$5:$N$20001="DESCLASSIFICADO"</formula>
    </cfRule>
  </conditionalFormatting>
  <conditionalFormatting sqref="AN846:AQ1675">
    <cfRule type="expression" dxfId="1828" priority="4">
      <formula>$N$5:$N$20001="REMANEJADO"</formula>
    </cfRule>
  </conditionalFormatting>
  <conditionalFormatting sqref="AN846:AQ1675">
    <cfRule type="expression" dxfId="1827" priority="5">
      <formula>$N$5:$N$20001="1ª CONVOCAÇÃO"</formula>
    </cfRule>
  </conditionalFormatting>
  <conditionalFormatting sqref="AN846:AQ1675">
    <cfRule type="expression" dxfId="1826" priority="6">
      <formula>$AM$6:$AM$20806="CONTRATADO"</formula>
    </cfRule>
  </conditionalFormatting>
  <conditionalFormatting sqref="AN846:AQ1675">
    <cfRule type="expression" dxfId="1825" priority="7">
      <formula>$N$5:$N$20806="2ª CONVOCAÇÃO"</formula>
    </cfRule>
  </conditionalFormatting>
  <conditionalFormatting sqref="AN846:AQ1675">
    <cfRule type="expression" dxfId="1824" priority="8">
      <formula>$N$5:$N$20806="NÃO ATENDE/AGUARDANDO RETORNO"</formula>
    </cfRule>
  </conditionalFormatting>
  <conditionalFormatting sqref="AN846:AQ1675">
    <cfRule type="expression" dxfId="1823" priority="9">
      <formula>$N$6:$N$20806="CONTRATADO"</formula>
    </cfRule>
  </conditionalFormatting>
  <conditionalFormatting sqref="AN176:AQ184">
    <cfRule type="expression" dxfId="1822" priority="10">
      <formula>$N$5:$N$20001="CONTRATADO"</formula>
    </cfRule>
  </conditionalFormatting>
  <conditionalFormatting sqref="AN176:AQ184">
    <cfRule type="expression" dxfId="1821" priority="11">
      <formula>$N$5:$N$20001="DESCLASSIFICADO"</formula>
    </cfRule>
  </conditionalFormatting>
  <conditionalFormatting sqref="AN176:AQ184">
    <cfRule type="expression" dxfId="1820" priority="12">
      <formula>$N$5:$N$20001="REMANEJADO"</formula>
    </cfRule>
  </conditionalFormatting>
  <conditionalFormatting sqref="AN176:AQ184">
    <cfRule type="expression" dxfId="1819" priority="13">
      <formula>$N$5:$N$20001="1ª CONVOCAÇÃO"</formula>
    </cfRule>
  </conditionalFormatting>
  <conditionalFormatting sqref="AN176:AQ184">
    <cfRule type="expression" dxfId="1818" priority="14">
      <formula>$AM$6:$AM$20806="CONTRATADO"</formula>
    </cfRule>
  </conditionalFormatting>
  <conditionalFormatting sqref="AN176:AQ184">
    <cfRule type="expression" dxfId="1817" priority="15">
      <formula>$N$5:$N$20806="2ª CONVOCAÇÃO"</formula>
    </cfRule>
  </conditionalFormatting>
  <conditionalFormatting sqref="AN176:AQ184">
    <cfRule type="expression" dxfId="1816" priority="16">
      <formula>$N$5:$N$20806="NÃO ATENDE/AGUARDANDO RETORNO"</formula>
    </cfRule>
  </conditionalFormatting>
  <conditionalFormatting sqref="AN176:AQ184">
    <cfRule type="expression" dxfId="1815" priority="17">
      <formula>$N$6:$N$20806="CONTRATADO"</formula>
    </cfRule>
  </conditionalFormatting>
  <conditionalFormatting sqref="AN1:AQ6">
    <cfRule type="expression" dxfId="1814" priority="18">
      <formula>$N$5:$N$20001="CONTRATADO"</formula>
    </cfRule>
  </conditionalFormatting>
  <conditionalFormatting sqref="AN1:AQ6">
    <cfRule type="expression" dxfId="1813" priority="19">
      <formula>$N$5:$N$20001="DESCLASSIFICADO"</formula>
    </cfRule>
  </conditionalFormatting>
  <conditionalFormatting sqref="AN1:AQ6">
    <cfRule type="expression" dxfId="1812" priority="20">
      <formula>$N$5:$N$20001="REMANEJADO"</formula>
    </cfRule>
  </conditionalFormatting>
  <conditionalFormatting sqref="AN1:AQ6">
    <cfRule type="expression" dxfId="1811" priority="21">
      <formula>$N$5:$N$20001="1ª CONVOCAÇÃO"</formula>
    </cfRule>
  </conditionalFormatting>
  <conditionalFormatting sqref="AN1:AQ6">
    <cfRule type="expression" dxfId="1810" priority="22">
      <formula>$AM$6:$AM$20806="CONTRATADO"</formula>
    </cfRule>
  </conditionalFormatting>
  <conditionalFormatting sqref="AN1:AQ6">
    <cfRule type="expression" dxfId="1809" priority="23">
      <formula>$N$5:$N$20806="2ª CONVOCAÇÃO"</formula>
    </cfRule>
  </conditionalFormatting>
  <conditionalFormatting sqref="AN1:AQ6">
    <cfRule type="expression" dxfId="1808" priority="24">
      <formula>$N$5:$N$20806="NÃO ATENDE/AGUARDANDO RETORNO"</formula>
    </cfRule>
  </conditionalFormatting>
  <conditionalFormatting sqref="AN5:AQ5">
    <cfRule type="expression" dxfId="1807" priority="25">
      <formula>#REF!="NÃO ATENDE/AGUARDANDO RETORNO"</formula>
    </cfRule>
  </conditionalFormatting>
  <conditionalFormatting sqref="AN1:AQ6">
    <cfRule type="expression" dxfId="1806" priority="26">
      <formula>$N$6:$N$20806="CONTRATADO"</formula>
    </cfRule>
  </conditionalFormatting>
  <conditionalFormatting sqref="A1:AQ1675">
    <cfRule type="expression" dxfId="1805" priority="27">
      <formula>$AM$7:$AM$20831="CONTRATADO"</formula>
    </cfRule>
  </conditionalFormatting>
  <conditionalFormatting sqref="A1:AQ1675">
    <cfRule type="expression" dxfId="1804" priority="28">
      <formula>$AM$7:$AM$20831="DESCLASSIFICADO"</formula>
    </cfRule>
  </conditionalFormatting>
  <conditionalFormatting sqref="A1:AQ1675">
    <cfRule type="expression" dxfId="1803" priority="29">
      <formula>$AM$7:$AM$20831="REMANEJADO"</formula>
    </cfRule>
  </conditionalFormatting>
  <conditionalFormatting sqref="A1:AQ1675">
    <cfRule type="expression" dxfId="1802" priority="30">
      <formula>$AM$7:$AM$20831="1ª CONVOCAÇÃO"</formula>
    </cfRule>
  </conditionalFormatting>
  <conditionalFormatting sqref="A1:AQ1675">
    <cfRule type="expression" dxfId="1801" priority="31">
      <formula>$AM$7:$AM$20831="2ª CONVOCAÇÃO"</formula>
    </cfRule>
  </conditionalFormatting>
  <conditionalFormatting sqref="A1:AQ1675">
    <cfRule type="expression" dxfId="1800" priority="32">
      <formula>$AM$7:$AM$20831="NÃO ATENDE/AGUARDANDO RETORNO"</formula>
    </cfRule>
  </conditionalFormatting>
  <dataValidations count="1">
    <dataValidation type="list" allowBlank="1" showErrorMessage="1" sqref="AM7:AQ175 AM176:AM846 AN185:AQ845 AM847:AM1675">
      <formula1>"DISPONÍVEL,CONTRATADO,DESCLASSIFICADO,NÃO ATENDE/AGUARDANDO RETORNO,REMANEJADO,1ª CONVOCAÇÃO,2ª CONVOCAÇÃO"</formula1>
      <formula2>0</formula2>
    </dataValidation>
  </dataValidations>
  <printOptions horizontalCentered="1" gridLines="1"/>
  <pageMargins left="0.7" right="0.7" top="0.75" bottom="0.75" header="0.511811023622047" footer="0.511811023622047"/>
  <pageSetup paperSize="9" fitToHeight="0" pageOrder="overThenDown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sqref="A1:E3"/>
    </sheetView>
  </sheetViews>
  <sheetFormatPr defaultColWidth="14.42578125" defaultRowHeight="15"/>
  <cols>
    <col min="2" max="2" width="45" style="48" bestFit="1" customWidth="1"/>
    <col min="3" max="3" width="16.28515625" bestFit="1" customWidth="1"/>
    <col min="4" max="4" width="10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1154</v>
      </c>
      <c r="C5" s="45" t="s">
        <v>80</v>
      </c>
      <c r="D5" s="45" t="s">
        <v>1163</v>
      </c>
      <c r="E5" s="45" t="s">
        <v>69</v>
      </c>
    </row>
    <row r="6" spans="1:5" ht="15.75" customHeight="1">
      <c r="A6" s="45">
        <v>1</v>
      </c>
      <c r="B6" s="51" t="s">
        <v>1164</v>
      </c>
      <c r="C6" s="45" t="s">
        <v>64</v>
      </c>
      <c r="D6" s="45" t="s">
        <v>1163</v>
      </c>
      <c r="E6" s="45" t="s">
        <v>5198</v>
      </c>
    </row>
    <row r="7" spans="1:5" ht="15.75" customHeight="1">
      <c r="A7" s="45">
        <v>2</v>
      </c>
      <c r="B7" s="51" t="s">
        <v>1175</v>
      </c>
      <c r="C7" s="45" t="s">
        <v>64</v>
      </c>
      <c r="D7" s="45" t="s">
        <v>1163</v>
      </c>
      <c r="E7" s="45" t="s">
        <v>325</v>
      </c>
    </row>
    <row r="8" spans="1:5" ht="15.75" customHeight="1">
      <c r="A8" s="45">
        <v>3</v>
      </c>
      <c r="B8" s="51" t="s">
        <v>1184</v>
      </c>
      <c r="C8" s="45" t="s">
        <v>64</v>
      </c>
      <c r="D8" s="45" t="s">
        <v>1163</v>
      </c>
      <c r="E8" s="45" t="s">
        <v>325</v>
      </c>
    </row>
    <row r="9" spans="1:5" ht="15.75" customHeight="1">
      <c r="A9" s="45">
        <v>4</v>
      </c>
      <c r="B9" s="51" t="s">
        <v>1190</v>
      </c>
      <c r="C9" s="45" t="s">
        <v>64</v>
      </c>
      <c r="D9" s="45" t="s">
        <v>1163</v>
      </c>
      <c r="E9" s="45" t="s">
        <v>325</v>
      </c>
    </row>
  </sheetData>
  <mergeCells count="1">
    <mergeCell ref="A1:E3"/>
  </mergeCells>
  <conditionalFormatting sqref="A1:E4">
    <cfRule type="expression" dxfId="1432" priority="3">
      <formula>$E$5:$E$20001="CONTRATADO"</formula>
    </cfRule>
  </conditionalFormatting>
  <conditionalFormatting sqref="A1:E4">
    <cfRule type="expression" dxfId="1431" priority="4">
      <formula>$E$5:$E$20001="DESCLASSIFICADO"</formula>
    </cfRule>
  </conditionalFormatting>
  <conditionalFormatting sqref="A1:E4">
    <cfRule type="expression" dxfId="1430" priority="5">
      <formula>$E$5:$E$20001="REMANEJADO"</formula>
    </cfRule>
  </conditionalFormatting>
  <conditionalFormatting sqref="A1:E4">
    <cfRule type="expression" dxfId="1429" priority="6">
      <formula>$E$5:$E$20001="1ª CONVOCAÇÃO"</formula>
    </cfRule>
  </conditionalFormatting>
  <conditionalFormatting sqref="A1:E4">
    <cfRule type="expression" dxfId="1428" priority="7">
      <formula>$E$5:$E$20001="2ª CONVOCAÇÃO"</formula>
    </cfRule>
  </conditionalFormatting>
  <conditionalFormatting sqref="A1:E4">
    <cfRule type="expression" dxfId="1427" priority="8">
      <formula>$E$5:$E$20001="NÃO ATENDE/AGUARDANDO RETORNO"</formula>
    </cfRule>
  </conditionalFormatting>
  <conditionalFormatting sqref="A1:E4">
    <cfRule type="expression" dxfId="1426" priority="17">
      <formula>$E$5:$E$20806="REMANEJADO"</formula>
    </cfRule>
  </conditionalFormatting>
  <conditionalFormatting sqref="A1:E4">
    <cfRule type="expression" dxfId="1425" priority="19">
      <formula>$E$5:$E$20806="2ª CONVOCAÇÃO"</formula>
    </cfRule>
  </conditionalFormatting>
  <conditionalFormatting sqref="A1:E4">
    <cfRule type="expression" dxfId="1424" priority="20">
      <formula>$E$5:$E$20806="NÃO ATENDE/AGUARDANDO RETORNO"</formula>
    </cfRule>
  </conditionalFormatting>
  <conditionalFormatting sqref="A1:E4">
    <cfRule type="expression" dxfId="1423" priority="21">
      <formula>$E$6:$E$20806="CONTRATADO"</formula>
    </cfRule>
  </conditionalFormatting>
  <conditionalFormatting sqref="A1:E4">
    <cfRule type="expression" dxfId="1422" priority="4132">
      <formula>$Z$6:$Z$20806="REMANEJADO"</formula>
    </cfRule>
  </conditionalFormatting>
  <conditionalFormatting sqref="A1:E4">
    <cfRule type="expression" dxfId="1421" priority="4136">
      <formula>$Z$6:$Z$20001="DESCLASSIFICADO"</formula>
    </cfRule>
  </conditionalFormatting>
  <conditionalFormatting sqref="A1:E4">
    <cfRule type="expression" dxfId="1420" priority="4140">
      <formula>$Z$6:$Z$20001="REMANEJADO"</formula>
    </cfRule>
  </conditionalFormatting>
  <conditionalFormatting sqref="A1:E4">
    <cfRule type="expression" dxfId="1419" priority="4144">
      <formula>$Z$6:$Z$20001="1ª CONVOCAÇÃO"</formula>
    </cfRule>
  </conditionalFormatting>
  <conditionalFormatting sqref="A1:E4">
    <cfRule type="expression" dxfId="1418" priority="4148">
      <formula>$Z$6:$Z$20001="2ª CONVOCAÇÃO"</formula>
    </cfRule>
  </conditionalFormatting>
  <conditionalFormatting sqref="A1:E4">
    <cfRule type="expression" dxfId="1417" priority="4152">
      <formula>$Z$6:$Z$20001="NÃO ATENDE/AGUARDANDO RETORNO"</formula>
    </cfRule>
  </conditionalFormatting>
  <conditionalFormatting sqref="A1:E4">
    <cfRule type="expression" dxfId="1416" priority="4156">
      <formula>$Z$6:$Z$20806="CONTRATADO"</formula>
    </cfRule>
  </conditionalFormatting>
  <conditionalFormatting sqref="A1:E4">
    <cfRule type="expression" dxfId="1415" priority="4160">
      <formula>$Z$6:$Z$20806="DESCLASSIFICADO"</formula>
    </cfRule>
  </conditionalFormatting>
  <conditionalFormatting sqref="A1:E4">
    <cfRule type="expression" dxfId="1414" priority="4164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Normal="100" workbookViewId="0">
      <selection sqref="A1:E3"/>
    </sheetView>
  </sheetViews>
  <sheetFormatPr defaultColWidth="14.42578125" defaultRowHeight="15"/>
  <cols>
    <col min="2" max="2" width="36" style="48" bestFit="1" customWidth="1"/>
    <col min="3" max="3" width="18.42578125" customWidth="1"/>
    <col min="4" max="4" width="39.28515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50" t="s">
        <v>1196</v>
      </c>
      <c r="C5" s="30" t="s">
        <v>80</v>
      </c>
      <c r="D5" s="30" t="s">
        <v>1205</v>
      </c>
      <c r="E5" s="21" t="s">
        <v>69</v>
      </c>
    </row>
    <row r="6" spans="1:5" ht="15.75" customHeight="1">
      <c r="A6" s="45">
        <v>2</v>
      </c>
      <c r="B6" s="51" t="s">
        <v>1206</v>
      </c>
      <c r="C6" s="45" t="s">
        <v>80</v>
      </c>
      <c r="D6" s="45" t="s">
        <v>1205</v>
      </c>
      <c r="E6" s="21" t="s">
        <v>69</v>
      </c>
    </row>
    <row r="7" spans="1:5" ht="15.75" customHeight="1">
      <c r="A7" s="45">
        <v>1</v>
      </c>
      <c r="B7" s="51" t="s">
        <v>1214</v>
      </c>
      <c r="C7" s="45" t="s">
        <v>64</v>
      </c>
      <c r="D7" s="45" t="s">
        <v>1205</v>
      </c>
      <c r="E7" s="21" t="s">
        <v>325</v>
      </c>
    </row>
    <row r="8" spans="1:5" ht="15.75" customHeight="1">
      <c r="A8" s="45">
        <v>2</v>
      </c>
      <c r="B8" s="51" t="s">
        <v>1222</v>
      </c>
      <c r="C8" s="45" t="s">
        <v>64</v>
      </c>
      <c r="D8" s="45" t="s">
        <v>1205</v>
      </c>
      <c r="E8" s="21" t="s">
        <v>7</v>
      </c>
    </row>
    <row r="9" spans="1:5" ht="15.75" customHeight="1">
      <c r="A9" s="45">
        <v>3</v>
      </c>
      <c r="B9" s="51" t="s">
        <v>1230</v>
      </c>
      <c r="C9" s="45" t="s">
        <v>64</v>
      </c>
      <c r="D9" s="45" t="s">
        <v>1205</v>
      </c>
      <c r="E9" s="21" t="s">
        <v>7</v>
      </c>
    </row>
    <row r="10" spans="1:5" ht="15.75" customHeight="1">
      <c r="A10" s="45">
        <v>4</v>
      </c>
      <c r="B10" s="51" t="s">
        <v>1240</v>
      </c>
      <c r="C10" s="45" t="s">
        <v>64</v>
      </c>
      <c r="D10" s="45" t="s">
        <v>1205</v>
      </c>
      <c r="E10" s="21" t="s">
        <v>5</v>
      </c>
    </row>
  </sheetData>
  <mergeCells count="1">
    <mergeCell ref="A1:E3"/>
  </mergeCells>
  <conditionalFormatting sqref="A1:D5 E1:E10">
    <cfRule type="expression" dxfId="1413" priority="4168">
      <formula>$E$5:$E$20000="CONTRATADO"</formula>
    </cfRule>
  </conditionalFormatting>
  <conditionalFormatting sqref="E6:E10 A1:E5">
    <cfRule type="expression" dxfId="1412" priority="4171">
      <formula>$E$5:$E$20000="DESCLASSIFICADO"</formula>
    </cfRule>
  </conditionalFormatting>
  <conditionalFormatting sqref="E6:E10 A1:E5">
    <cfRule type="expression" dxfId="1411" priority="4174">
      <formula>$E$5:$E$20000="REMANEJADO"</formula>
    </cfRule>
  </conditionalFormatting>
  <conditionalFormatting sqref="E6:E10 A1:E5">
    <cfRule type="expression" dxfId="1410" priority="4177">
      <formula>$E$5:$E$20000="1ª CONVOCAÇÃO"</formula>
    </cfRule>
  </conditionalFormatting>
  <conditionalFormatting sqref="E6:E10 A1:E5">
    <cfRule type="expression" dxfId="1409" priority="4180">
      <formula>$E$5:$E$20000="2ª CONVOCAÇÃO"</formula>
    </cfRule>
  </conditionalFormatting>
  <conditionalFormatting sqref="E6:E10 A1:E5">
    <cfRule type="expression" dxfId="1408" priority="4183">
      <formula>$E$5:$E$20000="NÃO ATENDE/AGUARDANDO RETORNO"</formula>
    </cfRule>
  </conditionalFormatting>
  <conditionalFormatting sqref="E6:E10 A1:E5">
    <cfRule type="expression" dxfId="1407" priority="4208">
      <formula>$E$5:$E$20805="REMANEJADO"</formula>
    </cfRule>
  </conditionalFormatting>
  <conditionalFormatting sqref="E6:E10 A1:E5">
    <cfRule type="expression" dxfId="1406" priority="4214">
      <formula>$E$5:$E$20805="2ª CONVOCAÇÃO"</formula>
    </cfRule>
  </conditionalFormatting>
  <conditionalFormatting sqref="E6:E10 A1:E5">
    <cfRule type="expression" dxfId="1405" priority="4217">
      <formula>$E$5:$E$20805="NÃO ATENDE/AGUARDANDO RETORNO"</formula>
    </cfRule>
  </conditionalFormatting>
  <conditionalFormatting sqref="E6:E10 A1:E5">
    <cfRule type="expression" dxfId="1404" priority="4220">
      <formula>$E$6:$E$20805="CONTRATADO"</formula>
    </cfRule>
  </conditionalFormatting>
  <conditionalFormatting sqref="E6:E10 A1:E5">
    <cfRule type="expression" dxfId="1403" priority="4389">
      <formula>$Z$6:$Z$20806="REMANEJADO"</formula>
    </cfRule>
  </conditionalFormatting>
  <conditionalFormatting sqref="E6:E10 A1:E5">
    <cfRule type="expression" dxfId="1402" priority="4393">
      <formula>$Z$6:$Z$20001="DESCLASSIFICADO"</formula>
    </cfRule>
  </conditionalFormatting>
  <conditionalFormatting sqref="E6:E10 A1:E5">
    <cfRule type="expression" dxfId="1401" priority="4397">
      <formula>$Z$6:$Z$20001="REMANEJADO"</formula>
    </cfRule>
  </conditionalFormatting>
  <conditionalFormatting sqref="E6:E10 A1:E5">
    <cfRule type="expression" dxfId="1400" priority="4401">
      <formula>$Z$6:$Z$20001="1ª CONVOCAÇÃO"</formula>
    </cfRule>
  </conditionalFormatting>
  <conditionalFormatting sqref="E6:E10 A1:E5">
    <cfRule type="expression" dxfId="1399" priority="4405">
      <formula>$Z$6:$Z$20001="2ª CONVOCAÇÃO"</formula>
    </cfRule>
  </conditionalFormatting>
  <conditionalFormatting sqref="E6:E10 A1:E5">
    <cfRule type="expression" dxfId="1398" priority="4409">
      <formula>$Z$6:$Z$20001="NÃO ATENDE/AGUARDANDO RETORNO"</formula>
    </cfRule>
  </conditionalFormatting>
  <conditionalFormatting sqref="E6:E10 A1:E5">
    <cfRule type="expression" dxfId="1397" priority="4413">
      <formula>$Z$6:$Z$20806="CONTRATADO"</formula>
    </cfRule>
  </conditionalFormatting>
  <conditionalFormatting sqref="E6:E10 A1:E5">
    <cfRule type="expression" dxfId="1396" priority="4417">
      <formula>$Z$6:$Z$20806="DESCLASSIFICADO"</formula>
    </cfRule>
  </conditionalFormatting>
  <conditionalFormatting sqref="E6:E10 A1:E5">
    <cfRule type="expression" dxfId="1395" priority="4421">
      <formula>$Z$6:$Z$20806="1ª CONVOCAÇÃO"</formula>
    </cfRule>
  </conditionalFormatting>
  <dataValidations count="1">
    <dataValidation type="list" allowBlank="1" showErrorMessage="1" sqref="E5:E10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4.85546875" bestFit="1" customWidth="1"/>
    <col min="3" max="3" width="19.85546875" bestFit="1" customWidth="1"/>
    <col min="4" max="4" width="17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1248</v>
      </c>
      <c r="C5" s="30" t="s">
        <v>266</v>
      </c>
      <c r="D5" s="30" t="s">
        <v>1257</v>
      </c>
      <c r="E5" s="21" t="s">
        <v>69</v>
      </c>
    </row>
  </sheetData>
  <mergeCells count="1">
    <mergeCell ref="A1:E3"/>
  </mergeCells>
  <conditionalFormatting sqref="A1:E5">
    <cfRule type="expression" dxfId="1394" priority="4722">
      <formula>$E$5:$E$20001="CONTRATADO"</formula>
    </cfRule>
  </conditionalFormatting>
  <conditionalFormatting sqref="A1:E5">
    <cfRule type="expression" dxfId="1393" priority="4724">
      <formula>$E$5:$E$20001="DESCLASSIFICADO"</formula>
    </cfRule>
  </conditionalFormatting>
  <conditionalFormatting sqref="A1:E5">
    <cfRule type="expression" dxfId="1392" priority="4726">
      <formula>$E$5:$E$20001="REMANEJADO"</formula>
    </cfRule>
  </conditionalFormatting>
  <conditionalFormatting sqref="A1:E5">
    <cfRule type="expression" dxfId="1391" priority="4728">
      <formula>$E$5:$E$20001="1ª CONVOCAÇÃO"</formula>
    </cfRule>
  </conditionalFormatting>
  <conditionalFormatting sqref="A1:E5">
    <cfRule type="expression" dxfId="1390" priority="4730">
      <formula>$E$5:$E$20001="2ª CONVOCAÇÃO"</formula>
    </cfRule>
  </conditionalFormatting>
  <conditionalFormatting sqref="A1:E5">
    <cfRule type="expression" dxfId="1389" priority="4732">
      <formula>$E$5:$E$20001="NÃO ATENDE/AGUARDANDO RETORNO"</formula>
    </cfRule>
  </conditionalFormatting>
  <conditionalFormatting sqref="A1:E5">
    <cfRule type="expression" dxfId="1388" priority="4748">
      <formula>$E$5:$E$20806="REMANEJADO"</formula>
    </cfRule>
  </conditionalFormatting>
  <conditionalFormatting sqref="A1:E5">
    <cfRule type="expression" dxfId="1387" priority="4752">
      <formula>$E$5:$E$20806="2ª CONVOCAÇÃO"</formula>
    </cfRule>
  </conditionalFormatting>
  <conditionalFormatting sqref="A1:E5">
    <cfRule type="expression" dxfId="1386" priority="4754">
      <formula>$E$5:$E$20806="NÃO ATENDE/AGUARDANDO RETORNO"</formula>
    </cfRule>
  </conditionalFormatting>
  <conditionalFormatting sqref="A1:E5">
    <cfRule type="expression" dxfId="1385" priority="4756">
      <formula>$E$6:$E$20806="CONTRATADO"</formula>
    </cfRule>
  </conditionalFormatting>
  <conditionalFormatting sqref="A1:E5">
    <cfRule type="expression" dxfId="1384" priority="4845">
      <formula>$Z$6:$Z$20806="REMANEJADO"</formula>
    </cfRule>
  </conditionalFormatting>
  <conditionalFormatting sqref="A1:E5">
    <cfRule type="expression" dxfId="1383" priority="4847">
      <formula>$Z$6:$Z$20001="DESCLASSIFICADO"</formula>
    </cfRule>
  </conditionalFormatting>
  <conditionalFormatting sqref="A1:E5">
    <cfRule type="expression" dxfId="1382" priority="4849">
      <formula>$Z$6:$Z$20001="REMANEJADO"</formula>
    </cfRule>
  </conditionalFormatting>
  <conditionalFormatting sqref="A1:E5">
    <cfRule type="expression" dxfId="1381" priority="4851">
      <formula>$Z$6:$Z$20001="1ª CONVOCAÇÃO"</formula>
    </cfRule>
  </conditionalFormatting>
  <conditionalFormatting sqref="A1:E5">
    <cfRule type="expression" dxfId="1380" priority="4853">
      <formula>$Z$6:$Z$20001="2ª CONVOCAÇÃO"</formula>
    </cfRule>
  </conditionalFormatting>
  <conditionalFormatting sqref="A1:E5">
    <cfRule type="expression" dxfId="1379" priority="4855">
      <formula>$Z$6:$Z$20001="NÃO ATENDE/AGUARDANDO RETORNO"</formula>
    </cfRule>
  </conditionalFormatting>
  <conditionalFormatting sqref="A1:E5">
    <cfRule type="expression" dxfId="1378" priority="4857">
      <formula>$Z$6:$Z$20806="CONTRATADO"</formula>
    </cfRule>
  </conditionalFormatting>
  <conditionalFormatting sqref="A1:E5">
    <cfRule type="expression" dxfId="1377" priority="4859">
      <formula>$Z$6:$Z$20806="DESCLASSIFICADO"</formula>
    </cfRule>
  </conditionalFormatting>
  <conditionalFormatting sqref="A1:E5">
    <cfRule type="expression" dxfId="1376" priority="4861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F3"/>
    </sheetView>
  </sheetViews>
  <sheetFormatPr defaultColWidth="14.42578125" defaultRowHeight="15"/>
  <cols>
    <col min="2" max="2" width="36.5703125" bestFit="1" customWidth="1"/>
    <col min="3" max="3" width="8" bestFit="1" customWidth="1"/>
    <col min="4" max="4" width="29" customWidth="1"/>
    <col min="5" max="5" width="10" bestFit="1" customWidth="1"/>
    <col min="6" max="6" width="16.5703125" bestFit="1" customWidth="1"/>
  </cols>
  <sheetData>
    <row r="1" spans="1:6" ht="18.75" customHeight="1">
      <c r="A1" s="52" t="s">
        <v>6690</v>
      </c>
      <c r="B1" s="52"/>
      <c r="C1" s="52"/>
      <c r="D1" s="52"/>
      <c r="E1" s="52"/>
      <c r="F1" s="52"/>
    </row>
    <row r="2" spans="1:6" ht="18.75" customHeight="1">
      <c r="A2" s="52"/>
      <c r="B2" s="52"/>
      <c r="C2" s="52"/>
      <c r="D2" s="52"/>
      <c r="E2" s="52"/>
      <c r="F2" s="52"/>
    </row>
    <row r="3" spans="1:6" ht="18.75" customHeight="1">
      <c r="A3" s="52"/>
      <c r="B3" s="52"/>
      <c r="C3" s="52"/>
      <c r="D3" s="52"/>
      <c r="E3" s="52"/>
      <c r="F3" s="52"/>
    </row>
    <row r="4" spans="1:6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45</v>
      </c>
      <c r="F4" s="18" t="s">
        <v>6691</v>
      </c>
    </row>
    <row r="5" spans="1:6" ht="15.75" customHeight="1">
      <c r="A5" s="28">
        <v>1</v>
      </c>
      <c r="B5" s="29" t="s">
        <v>1258</v>
      </c>
      <c r="C5" s="30" t="s">
        <v>64</v>
      </c>
      <c r="D5" s="30" t="s">
        <v>1265</v>
      </c>
      <c r="E5" s="28">
        <v>6</v>
      </c>
      <c r="F5" s="21" t="s">
        <v>69</v>
      </c>
    </row>
    <row r="6" spans="1:6" ht="15.75" customHeight="1">
      <c r="A6" s="28">
        <v>2</v>
      </c>
      <c r="B6" s="29" t="s">
        <v>1266</v>
      </c>
      <c r="C6" s="30" t="s">
        <v>64</v>
      </c>
      <c r="D6" s="30" t="s">
        <v>1265</v>
      </c>
      <c r="E6" s="28">
        <v>5</v>
      </c>
      <c r="F6" s="21" t="s">
        <v>69</v>
      </c>
    </row>
    <row r="7" spans="1:6" ht="15.75" customHeight="1">
      <c r="A7" s="28">
        <v>3</v>
      </c>
      <c r="B7" s="29" t="s">
        <v>1272</v>
      </c>
      <c r="C7" s="30" t="s">
        <v>64</v>
      </c>
      <c r="D7" s="30" t="s">
        <v>1265</v>
      </c>
      <c r="E7" s="28">
        <v>5</v>
      </c>
      <c r="F7" s="21" t="s">
        <v>69</v>
      </c>
    </row>
    <row r="8" spans="1:6" ht="15.75" customHeight="1">
      <c r="A8" s="28">
        <v>4</v>
      </c>
      <c r="B8" s="29" t="s">
        <v>1277</v>
      </c>
      <c r="C8" s="30" t="s">
        <v>64</v>
      </c>
      <c r="D8" s="30" t="s">
        <v>1265</v>
      </c>
      <c r="E8" s="28">
        <v>6</v>
      </c>
      <c r="F8" s="21" t="s">
        <v>69</v>
      </c>
    </row>
  </sheetData>
  <mergeCells count="1">
    <mergeCell ref="A1:F3"/>
  </mergeCells>
  <conditionalFormatting sqref="A1:F8">
    <cfRule type="expression" dxfId="1375" priority="5125">
      <formula>$F$5:$F$20001="CONTRATADO"</formula>
    </cfRule>
  </conditionalFormatting>
  <conditionalFormatting sqref="A1:F8">
    <cfRule type="expression" dxfId="1374" priority="5127">
      <formula>$F$5:$F$20001="DESCLASSIFICADO"</formula>
    </cfRule>
  </conditionalFormatting>
  <conditionalFormatting sqref="A1:F8">
    <cfRule type="expression" dxfId="1373" priority="5129">
      <formula>$F$5:$F$20001="REMANEJADO"</formula>
    </cfRule>
  </conditionalFormatting>
  <conditionalFormatting sqref="A1:F8">
    <cfRule type="expression" dxfId="1372" priority="5131">
      <formula>$F$5:$F$20001="1ª CONVOCAÇÃO"</formula>
    </cfRule>
  </conditionalFormatting>
  <conditionalFormatting sqref="A1:F8">
    <cfRule type="expression" dxfId="1371" priority="5133">
      <formula>$F$5:$F$20001="2ª CONVOCAÇÃO"</formula>
    </cfRule>
  </conditionalFormatting>
  <conditionalFormatting sqref="A1:F8">
    <cfRule type="expression" dxfId="1370" priority="5135">
      <formula>$F$5:$F$20001="NÃO ATENDE/AGUARDANDO RETORNO"</formula>
    </cfRule>
  </conditionalFormatting>
  <conditionalFormatting sqref="A1:F8">
    <cfRule type="expression" dxfId="1369" priority="5151">
      <formula>$F$5:$F$20806="REMANEJADO"</formula>
    </cfRule>
  </conditionalFormatting>
  <conditionalFormatting sqref="A1:F8">
    <cfRule type="expression" dxfId="1368" priority="5155">
      <formula>$F$5:$F$20806="2ª CONVOCAÇÃO"</formula>
    </cfRule>
  </conditionalFormatting>
  <conditionalFormatting sqref="A1:F8">
    <cfRule type="expression" dxfId="1367" priority="5157">
      <formula>$F$5:$F$20806="NÃO ATENDE/AGUARDANDO RETORNO"</formula>
    </cfRule>
  </conditionalFormatting>
  <conditionalFormatting sqref="A1:F8">
    <cfRule type="expression" dxfId="1366" priority="5159">
      <formula>$F$6:$F$20806="CONTRATADO"</formula>
    </cfRule>
  </conditionalFormatting>
  <conditionalFormatting sqref="A1:F8">
    <cfRule type="expression" dxfId="1365" priority="5248">
      <formula>$AA$6:$AA$20806="REMANEJADO"</formula>
    </cfRule>
  </conditionalFormatting>
  <conditionalFormatting sqref="A1:F8">
    <cfRule type="expression" dxfId="1364" priority="5250">
      <formula>$AA$6:$AA$20001="DESCLASSIFICADO"</formula>
    </cfRule>
  </conditionalFormatting>
  <conditionalFormatting sqref="A1:F8">
    <cfRule type="expression" dxfId="1363" priority="5252">
      <formula>$AA$6:$AA$20001="REMANEJADO"</formula>
    </cfRule>
  </conditionalFormatting>
  <conditionalFormatting sqref="A1:F8">
    <cfRule type="expression" dxfId="1362" priority="5254">
      <formula>$AA$6:$AA$20001="1ª CONVOCAÇÃO"</formula>
    </cfRule>
  </conditionalFormatting>
  <conditionalFormatting sqref="A1:F8">
    <cfRule type="expression" dxfId="1361" priority="5256">
      <formula>$AA$6:$AA$20001="2ª CONVOCAÇÃO"</formula>
    </cfRule>
  </conditionalFormatting>
  <conditionalFormatting sqref="A1:F8">
    <cfRule type="expression" dxfId="1360" priority="5258">
      <formula>$AA$6:$AA$20001="NÃO ATENDE/AGUARDANDO RETORNO"</formula>
    </cfRule>
  </conditionalFormatting>
  <conditionalFormatting sqref="A1:F8">
    <cfRule type="expression" dxfId="1359" priority="5260">
      <formula>$AA$6:$AA$20806="CONTRATADO"</formula>
    </cfRule>
  </conditionalFormatting>
  <conditionalFormatting sqref="A1:F8">
    <cfRule type="expression" dxfId="1358" priority="5262">
      <formula>$AA$6:$AA$20806="DESCLASSIFICADO"</formula>
    </cfRule>
  </conditionalFormatting>
  <conditionalFormatting sqref="A1:F8">
    <cfRule type="expression" dxfId="1357" priority="5264">
      <formula>$AA$6:$AA$20806="1ª CONVOCAÇÃO"</formula>
    </cfRule>
  </conditionalFormatting>
  <dataValidations count="1">
    <dataValidation type="list" allowBlank="1" showErrorMessage="1" sqref="F5:F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sqref="A1:E3"/>
    </sheetView>
  </sheetViews>
  <sheetFormatPr defaultColWidth="14.42578125" defaultRowHeight="15"/>
  <cols>
    <col min="2" max="2" width="32" bestFit="1" customWidth="1"/>
    <col min="3" max="3" width="8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0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1284</v>
      </c>
      <c r="C5" s="30" t="s">
        <v>64</v>
      </c>
      <c r="D5" s="30" t="s">
        <v>1293</v>
      </c>
      <c r="E5" s="21" t="s">
        <v>69</v>
      </c>
    </row>
    <row r="6" spans="1:5" ht="15.75" customHeight="1">
      <c r="A6" s="28">
        <v>2</v>
      </c>
      <c r="B6" s="29" t="s">
        <v>1294</v>
      </c>
      <c r="C6" s="30" t="s">
        <v>64</v>
      </c>
      <c r="D6" s="30" t="s">
        <v>1293</v>
      </c>
      <c r="E6" s="21" t="s">
        <v>69</v>
      </c>
    </row>
  </sheetData>
  <mergeCells count="1">
    <mergeCell ref="A1:E3"/>
  </mergeCells>
  <conditionalFormatting sqref="A1:E6">
    <cfRule type="expression" dxfId="1356" priority="2">
      <formula>#REF!="REMANEJADO"</formula>
    </cfRule>
  </conditionalFormatting>
  <conditionalFormatting sqref="A1:E6">
    <cfRule type="expression" dxfId="1355" priority="3">
      <formula>#REF!="CONTRATADO"</formula>
    </cfRule>
  </conditionalFormatting>
  <conditionalFormatting sqref="A1:E6">
    <cfRule type="expression" dxfId="1354" priority="4">
      <formula>#REF!="DESCLASSIFICADO"</formula>
    </cfRule>
  </conditionalFormatting>
  <conditionalFormatting sqref="A1:E6">
    <cfRule type="expression" dxfId="1353" priority="5">
      <formula>#REF!="REMANEJADO"</formula>
    </cfRule>
  </conditionalFormatting>
  <conditionalFormatting sqref="A1:E6">
    <cfRule type="expression" dxfId="1352" priority="6">
      <formula>#REF!="1ª CONVOCAÇÃO"</formula>
    </cfRule>
  </conditionalFormatting>
  <conditionalFormatting sqref="A1:E6">
    <cfRule type="expression" dxfId="1351" priority="7">
      <formula>#REF!="2ª CONVOCAÇÃO"</formula>
    </cfRule>
  </conditionalFormatting>
  <conditionalFormatting sqref="A1:E6">
    <cfRule type="expression" dxfId="1350" priority="8">
      <formula>#REF!="NÃO ATENDE/AGUARDANDO RETORNO"</formula>
    </cfRule>
  </conditionalFormatting>
  <conditionalFormatting sqref="A1:E6">
    <cfRule type="expression" dxfId="1349" priority="9">
      <formula>#REF!="CONTRATADO"</formula>
    </cfRule>
  </conditionalFormatting>
  <conditionalFormatting sqref="A1:E6">
    <cfRule type="expression" dxfId="1348" priority="10">
      <formula>#REF!="DESCLASSIFICADO"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sqref="A1:E3"/>
    </sheetView>
  </sheetViews>
  <sheetFormatPr defaultColWidth="14.42578125" defaultRowHeight="15"/>
  <cols>
    <col min="2" max="2" width="27" bestFit="1" customWidth="1"/>
    <col min="3" max="3" width="8" bestFit="1" customWidth="1"/>
    <col min="4" max="4" width="18.42578125" bestFit="1" customWidth="1"/>
    <col min="5" max="5" width="16.5703125" bestFit="1" customWidth="1"/>
    <col min="6" max="9" width="32.85546875" hidden="1" customWidth="1"/>
  </cols>
  <sheetData>
    <row r="1" spans="1:9" ht="18.75" customHeight="1">
      <c r="A1" s="52" t="s">
        <v>6690</v>
      </c>
      <c r="B1" s="52"/>
      <c r="C1" s="52"/>
      <c r="D1" s="52"/>
      <c r="E1" s="52"/>
    </row>
    <row r="2" spans="1:9" ht="18.75" customHeight="1">
      <c r="A2" s="52"/>
      <c r="B2" s="52"/>
      <c r="C2" s="52"/>
      <c r="D2" s="52"/>
      <c r="E2" s="52"/>
    </row>
    <row r="3" spans="1:9" ht="39.75" customHeight="1">
      <c r="A3" s="52"/>
      <c r="B3" s="52"/>
      <c r="C3" s="52"/>
      <c r="D3" s="52"/>
      <c r="E3" s="52"/>
    </row>
    <row r="4" spans="1:9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  <c r="F4" s="18" t="s">
        <v>5</v>
      </c>
      <c r="G4" s="18" t="s">
        <v>6</v>
      </c>
      <c r="H4" s="18" t="s">
        <v>7</v>
      </c>
      <c r="I4" s="18" t="s">
        <v>8</v>
      </c>
    </row>
    <row r="5" spans="1:9" ht="15.75" customHeight="1">
      <c r="A5" s="28">
        <v>1</v>
      </c>
      <c r="B5" s="29" t="s">
        <v>1302</v>
      </c>
      <c r="C5" s="30" t="s">
        <v>64</v>
      </c>
      <c r="D5" s="30" t="s">
        <v>1311</v>
      </c>
      <c r="E5" s="21" t="s">
        <v>69</v>
      </c>
      <c r="F5" s="21"/>
      <c r="G5" s="21"/>
      <c r="H5" s="21"/>
      <c r="I5" s="21"/>
    </row>
    <row r="6" spans="1:9" ht="15.75" customHeight="1">
      <c r="A6" s="28">
        <v>2</v>
      </c>
      <c r="B6" s="29" t="s">
        <v>1312</v>
      </c>
      <c r="C6" s="30" t="s">
        <v>64</v>
      </c>
      <c r="D6" s="30" t="s">
        <v>1311</v>
      </c>
      <c r="E6" s="21" t="s">
        <v>69</v>
      </c>
      <c r="F6" s="21"/>
      <c r="G6" s="21"/>
      <c r="H6" s="21"/>
      <c r="I6" s="21"/>
    </row>
  </sheetData>
  <mergeCells count="1">
    <mergeCell ref="A1:E3"/>
  </mergeCells>
  <conditionalFormatting sqref="A1:I6">
    <cfRule type="expression" dxfId="1347" priority="5563">
      <formula>$AD$6:$AD$20806="REMANEJADO"</formula>
    </cfRule>
  </conditionalFormatting>
  <conditionalFormatting sqref="A1:I6">
    <cfRule type="expression" dxfId="1346" priority="5565">
      <formula>$E$5:$E$20001="CONTRATADO"</formula>
    </cfRule>
  </conditionalFormatting>
  <conditionalFormatting sqref="A1:I6">
    <cfRule type="expression" dxfId="1345" priority="5567">
      <formula>$E$5:$E$20001="DESCLASSIFICADO"</formula>
    </cfRule>
  </conditionalFormatting>
  <conditionalFormatting sqref="A1:I6">
    <cfRule type="expression" dxfId="1344" priority="5569">
      <formula>$E$5:$E$20001="REMANEJADO"</formula>
    </cfRule>
  </conditionalFormatting>
  <conditionalFormatting sqref="A1:I6">
    <cfRule type="expression" dxfId="1343" priority="5571">
      <formula>$E$5:$E$20001="1ª CONVOCAÇÃO"</formula>
    </cfRule>
  </conditionalFormatting>
  <conditionalFormatting sqref="A1:I6">
    <cfRule type="expression" dxfId="1342" priority="5573">
      <formula>$E$5:$E$20001="2ª CONVOCAÇÃO"</formula>
    </cfRule>
  </conditionalFormatting>
  <conditionalFormatting sqref="A1:I6">
    <cfRule type="expression" dxfId="1341" priority="5575">
      <formula>$E$5:$E$20001="NÃO ATENDE/AGUARDANDO RETORNO"</formula>
    </cfRule>
  </conditionalFormatting>
  <conditionalFormatting sqref="A1:I6">
    <cfRule type="expression" dxfId="1340" priority="5577">
      <formula>$AD$6:$AD$20001="DESCLASSIFICADO"</formula>
    </cfRule>
  </conditionalFormatting>
  <conditionalFormatting sqref="A1:I6">
    <cfRule type="expression" dxfId="1339" priority="5579">
      <formula>$AD$6:$AD$20001="REMANEJADO"</formula>
    </cfRule>
  </conditionalFormatting>
  <conditionalFormatting sqref="A1:I6">
    <cfRule type="expression" dxfId="1338" priority="5581">
      <formula>$AD$6:$AD$20001="1ª CONVOCAÇÃO"</formula>
    </cfRule>
  </conditionalFormatting>
  <conditionalFormatting sqref="A1:I6">
    <cfRule type="expression" dxfId="1337" priority="5583">
      <formula>$AD$6:$AD$20001="2ª CONVOCAÇÃO"</formula>
    </cfRule>
  </conditionalFormatting>
  <conditionalFormatting sqref="A1:I6">
    <cfRule type="expression" dxfId="1336" priority="5585">
      <formula>$AD$6:$AD$20001="NÃO ATENDE/AGUARDANDO RETORNO"</formula>
    </cfRule>
  </conditionalFormatting>
  <conditionalFormatting sqref="A1:I6">
    <cfRule type="expression" dxfId="1335" priority="5587">
      <formula>$AD$6:$AD$20806="CONTRATADO"</formula>
    </cfRule>
  </conditionalFormatting>
  <conditionalFormatting sqref="A1:I6">
    <cfRule type="expression" dxfId="1334" priority="5589">
      <formula>$AD$6:$AD$20806="DESCLASSIFICADO"</formula>
    </cfRule>
  </conditionalFormatting>
  <conditionalFormatting sqref="A1:I6">
    <cfRule type="expression" dxfId="1333" priority="5591">
      <formula>$E$5:$E$20806="REMANEJADO"</formula>
    </cfRule>
  </conditionalFormatting>
  <conditionalFormatting sqref="A1:I6">
    <cfRule type="expression" dxfId="1332" priority="5593">
      <formula>$AD$6:$AD$20806="1ª CONVOCAÇÃO"</formula>
    </cfRule>
  </conditionalFormatting>
  <conditionalFormatting sqref="A1:I6">
    <cfRule type="expression" dxfId="1331" priority="5595">
      <formula>$E$5:$E$20806="2ª CONVOCAÇÃO"</formula>
    </cfRule>
  </conditionalFormatting>
  <conditionalFormatting sqref="A1:I6">
    <cfRule type="expression" dxfId="1330" priority="5597">
      <formula>$E$5:$E$20806="NÃO ATENDE/AGUARDANDO RETORNO"</formula>
    </cfRule>
  </conditionalFormatting>
  <conditionalFormatting sqref="A1:I6">
    <cfRule type="expression" dxfId="1329" priority="5599">
      <formula>$E$6:$E$20806="CONTRATADO"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C4" sqref="C4"/>
    </sheetView>
  </sheetViews>
  <sheetFormatPr defaultColWidth="14.42578125" defaultRowHeight="15"/>
  <cols>
    <col min="2" max="2" width="23.5703125" style="48" bestFit="1" customWidth="1"/>
    <col min="3" max="3" width="8" bestFit="1" customWidth="1"/>
    <col min="4" max="4" width="11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42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1320</v>
      </c>
      <c r="C5" s="45" t="s">
        <v>64</v>
      </c>
      <c r="D5" s="45" t="s">
        <v>1330</v>
      </c>
      <c r="E5" s="21" t="s">
        <v>325</v>
      </c>
    </row>
  </sheetData>
  <mergeCells count="1">
    <mergeCell ref="A1:E3"/>
  </mergeCells>
  <conditionalFormatting sqref="A1:D4 E1:E5">
    <cfRule type="expression" dxfId="1328" priority="5603">
      <formula>$E$5:$E$20001="CONTRATADO"</formula>
    </cfRule>
  </conditionalFormatting>
  <conditionalFormatting sqref="E5 A1:E4">
    <cfRule type="expression" dxfId="1327" priority="5606">
      <formula>$E$5:$E$20001="DESCLASSIFICADO"</formula>
    </cfRule>
  </conditionalFormatting>
  <conditionalFormatting sqref="E5 A1:E4">
    <cfRule type="expression" dxfId="1326" priority="5609">
      <formula>$E$5:$E$20001="REMANEJADO"</formula>
    </cfRule>
  </conditionalFormatting>
  <conditionalFormatting sqref="E5 A1:E4">
    <cfRule type="expression" dxfId="1325" priority="5612">
      <formula>$E$5:$E$20001="1ª CONVOCAÇÃO"</formula>
    </cfRule>
  </conditionalFormatting>
  <conditionalFormatting sqref="E5 A1:E4">
    <cfRule type="expression" dxfId="1324" priority="5615">
      <formula>$E$5:$E$20001="2ª CONVOCAÇÃO"</formula>
    </cfRule>
  </conditionalFormatting>
  <conditionalFormatting sqref="E5 A1:E4">
    <cfRule type="expression" dxfId="1323" priority="5618">
      <formula>$E$5:$E$20001="NÃO ATENDE/AGUARDANDO RETORNO"</formula>
    </cfRule>
  </conditionalFormatting>
  <conditionalFormatting sqref="E5 A1:E4">
    <cfRule type="expression" dxfId="1322" priority="5643">
      <formula>$E$5:$E$20806="REMANEJADO"</formula>
    </cfRule>
  </conditionalFormatting>
  <conditionalFormatting sqref="E5 A1:E4">
    <cfRule type="expression" dxfId="1321" priority="5649">
      <formula>$E$5:$E$20806="2ª CONVOCAÇÃO"</formula>
    </cfRule>
  </conditionalFormatting>
  <conditionalFormatting sqref="E5 A1:E4">
    <cfRule type="expression" dxfId="1320" priority="5652">
      <formula>$E$5:$E$20806="NÃO ATENDE/AGUARDANDO RETORNO"</formula>
    </cfRule>
  </conditionalFormatting>
  <conditionalFormatting sqref="E5 A1:E4">
    <cfRule type="expression" dxfId="1319" priority="5655">
      <formula>$E$6:$E$20806="CONTRATADO"</formula>
    </cfRule>
  </conditionalFormatting>
  <conditionalFormatting sqref="E5 A1:E4">
    <cfRule type="expression" dxfId="1318" priority="5824">
      <formula>$Z$6:$Z$20806="REMANEJADO"</formula>
    </cfRule>
  </conditionalFormatting>
  <conditionalFormatting sqref="E5 A1:E4">
    <cfRule type="expression" dxfId="1317" priority="5828">
      <formula>$Z$6:$Z$20001="DESCLASSIFICADO"</formula>
    </cfRule>
  </conditionalFormatting>
  <conditionalFormatting sqref="E5 A1:E4">
    <cfRule type="expression" dxfId="1316" priority="5832">
      <formula>$Z$6:$Z$20001="REMANEJADO"</formula>
    </cfRule>
  </conditionalFormatting>
  <conditionalFormatting sqref="E5 A1:E4">
    <cfRule type="expression" dxfId="1315" priority="5836">
      <formula>$Z$6:$Z$20001="1ª CONVOCAÇÃO"</formula>
    </cfRule>
  </conditionalFormatting>
  <conditionalFormatting sqref="E5 A1:E4">
    <cfRule type="expression" dxfId="1314" priority="5840">
      <formula>$Z$6:$Z$20001="2ª CONVOCAÇÃO"</formula>
    </cfRule>
  </conditionalFormatting>
  <conditionalFormatting sqref="E5 A1:E4">
    <cfRule type="expression" dxfId="1313" priority="5844">
      <formula>$Z$6:$Z$20001="NÃO ATENDE/AGUARDANDO RETORNO"</formula>
    </cfRule>
  </conditionalFormatting>
  <conditionalFormatting sqref="E5 A1:E4">
    <cfRule type="expression" dxfId="1312" priority="5848">
      <formula>$Z$6:$Z$20806="CONTRATADO"</formula>
    </cfRule>
  </conditionalFormatting>
  <conditionalFormatting sqref="E5 A1:E4">
    <cfRule type="expression" dxfId="1311" priority="5852">
      <formula>$Z$6:$Z$20806="DESCLASSIFICADO"</formula>
    </cfRule>
  </conditionalFormatting>
  <conditionalFormatting sqref="E5 A1:E4">
    <cfRule type="expression" dxfId="1310" priority="5856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C9" sqref="C9"/>
    </sheetView>
  </sheetViews>
  <sheetFormatPr defaultColWidth="14.42578125" defaultRowHeight="15"/>
  <cols>
    <col min="2" max="2" width="37" style="48" bestFit="1" customWidth="1"/>
    <col min="3" max="3" width="11.5703125" customWidth="1"/>
    <col min="4" max="4" width="12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6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1331</v>
      </c>
      <c r="C5" s="45" t="s">
        <v>64</v>
      </c>
      <c r="D5" s="45" t="s">
        <v>1338</v>
      </c>
      <c r="E5" s="21" t="s">
        <v>5198</v>
      </c>
    </row>
  </sheetData>
  <mergeCells count="1">
    <mergeCell ref="A1:E3"/>
  </mergeCells>
  <conditionalFormatting sqref="A1:D4 E1:E5">
    <cfRule type="expression" dxfId="1309" priority="5860">
      <formula>$E$5:$E$20001="CONTRATADO"</formula>
    </cfRule>
  </conditionalFormatting>
  <conditionalFormatting sqref="E5 A1:E4">
    <cfRule type="expression" dxfId="1308" priority="5863">
      <formula>$E$5:$E$20001="DESCLASSIFICADO"</formula>
    </cfRule>
  </conditionalFormatting>
  <conditionalFormatting sqref="E5 A1:E4">
    <cfRule type="expression" dxfId="1307" priority="5866">
      <formula>$E$5:$E$20001="REMANEJADO"</formula>
    </cfRule>
  </conditionalFormatting>
  <conditionalFormatting sqref="E5 A1:E4">
    <cfRule type="expression" dxfId="1306" priority="5869">
      <formula>$E$5:$E$20001="1ª CONVOCAÇÃO"</formula>
    </cfRule>
  </conditionalFormatting>
  <conditionalFormatting sqref="E5 A1:E4">
    <cfRule type="expression" dxfId="1305" priority="5872">
      <formula>$E$5:$E$20001="2ª CONVOCAÇÃO"</formula>
    </cfRule>
  </conditionalFormatting>
  <conditionalFormatting sqref="E5 A1:E4">
    <cfRule type="expression" dxfId="1304" priority="5875">
      <formula>$E$5:$E$20001="NÃO ATENDE/AGUARDANDO RETORNO"</formula>
    </cfRule>
  </conditionalFormatting>
  <conditionalFormatting sqref="E5 A1:E4">
    <cfRule type="expression" dxfId="1303" priority="5900">
      <formula>$E$5:$E$20806="REMANEJADO"</formula>
    </cfRule>
  </conditionalFormatting>
  <conditionalFormatting sqref="E5 A1:E4">
    <cfRule type="expression" dxfId="1302" priority="5906">
      <formula>$E$5:$E$20806="2ª CONVOCAÇÃO"</formula>
    </cfRule>
  </conditionalFormatting>
  <conditionalFormatting sqref="E5 A1:E4">
    <cfRule type="expression" dxfId="1301" priority="5909">
      <formula>$E$5:$E$20806="NÃO ATENDE/AGUARDANDO RETORNO"</formula>
    </cfRule>
  </conditionalFormatting>
  <conditionalFormatting sqref="E5 A1:E4">
    <cfRule type="expression" dxfId="1300" priority="5912">
      <formula>$E$6:$E$20806="CONTRATADO"</formula>
    </cfRule>
  </conditionalFormatting>
  <conditionalFormatting sqref="E5 A1:E4">
    <cfRule type="expression" dxfId="1299" priority="6081">
      <formula>$Z$6:$Z$20806="REMANEJADO"</formula>
    </cfRule>
  </conditionalFormatting>
  <conditionalFormatting sqref="E5 A1:E4">
    <cfRule type="expression" dxfId="1298" priority="6085">
      <formula>$Z$6:$Z$20001="DESCLASSIFICADO"</formula>
    </cfRule>
  </conditionalFormatting>
  <conditionalFormatting sqref="E5 A1:E4">
    <cfRule type="expression" dxfId="1297" priority="6089">
      <formula>$Z$6:$Z$20001="REMANEJADO"</formula>
    </cfRule>
  </conditionalFormatting>
  <conditionalFormatting sqref="E5 A1:E4">
    <cfRule type="expression" dxfId="1296" priority="6093">
      <formula>$Z$6:$Z$20001="1ª CONVOCAÇÃO"</formula>
    </cfRule>
  </conditionalFormatting>
  <conditionalFormatting sqref="E5 A1:E4">
    <cfRule type="expression" dxfId="1295" priority="6097">
      <formula>$Z$6:$Z$20001="2ª CONVOCAÇÃO"</formula>
    </cfRule>
  </conditionalFormatting>
  <conditionalFormatting sqref="E5 A1:E4">
    <cfRule type="expression" dxfId="1294" priority="6101">
      <formula>$Z$6:$Z$20001="NÃO ATENDE/AGUARDANDO RETORNO"</formula>
    </cfRule>
  </conditionalFormatting>
  <conditionalFormatting sqref="E5 A1:E4">
    <cfRule type="expression" dxfId="1293" priority="6105">
      <formula>$Z$6:$Z$20806="CONTRATADO"</formula>
    </cfRule>
  </conditionalFormatting>
  <conditionalFormatting sqref="E5 A1:E4">
    <cfRule type="expression" dxfId="1292" priority="6109">
      <formula>$Z$6:$Z$20806="DESCLASSIFICADO"</formula>
    </cfRule>
  </conditionalFormatting>
  <conditionalFormatting sqref="E5 A1:E4">
    <cfRule type="expression" dxfId="1291" priority="6113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6"/>
  <sheetViews>
    <sheetView zoomScaleNormal="100" workbookViewId="0">
      <selection sqref="A1:E3"/>
    </sheetView>
  </sheetViews>
  <sheetFormatPr defaultColWidth="14.42578125" defaultRowHeight="15"/>
  <cols>
    <col min="1" max="1" width="15.28515625" customWidth="1"/>
    <col min="2" max="2" width="34.5703125" style="48" bestFit="1" customWidth="1"/>
    <col min="3" max="3" width="9.28515625" customWidth="1"/>
    <col min="4" max="4" width="10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3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1339</v>
      </c>
      <c r="C5" s="45" t="s">
        <v>64</v>
      </c>
      <c r="D5" s="45" t="s">
        <v>1348</v>
      </c>
      <c r="E5" s="21" t="s">
        <v>5198</v>
      </c>
    </row>
    <row r="6" spans="1:5" ht="15.75" customHeight="1">
      <c r="A6" s="45">
        <v>2</v>
      </c>
      <c r="B6" s="51" t="s">
        <v>1349</v>
      </c>
      <c r="C6" s="45" t="s">
        <v>64</v>
      </c>
      <c r="D6" s="45" t="s">
        <v>1348</v>
      </c>
      <c r="E6" s="21" t="s">
        <v>5</v>
      </c>
    </row>
  </sheetData>
  <mergeCells count="1">
    <mergeCell ref="A1:E3"/>
  </mergeCells>
  <conditionalFormatting sqref="E5:E6 A1:E4">
    <cfRule type="expression" dxfId="1290" priority="6117">
      <formula>$E$5:$E$20001="CONTRATADO"</formula>
    </cfRule>
  </conditionalFormatting>
  <conditionalFormatting sqref="E5:E6 A1:E4">
    <cfRule type="expression" dxfId="1289" priority="6120">
      <formula>$E$5:$E$20001="DESCLASSIFICADO"</formula>
    </cfRule>
  </conditionalFormatting>
  <conditionalFormatting sqref="E5:E6 A1:E4">
    <cfRule type="expression" dxfId="1288" priority="6123">
      <formula>$E$5:$E$20001="REMANEJADO"</formula>
    </cfRule>
  </conditionalFormatting>
  <conditionalFormatting sqref="E5:E6 A1:E4">
    <cfRule type="expression" dxfId="1287" priority="6126">
      <formula>$E$5:$E$20001="1ª CONVOCAÇÃO"</formula>
    </cfRule>
  </conditionalFormatting>
  <conditionalFormatting sqref="E5:E6 A1:E4">
    <cfRule type="expression" dxfId="1286" priority="6129">
      <formula>$E$5:$E$20001="2ª CONVOCAÇÃO"</formula>
    </cfRule>
  </conditionalFormatting>
  <conditionalFormatting sqref="E5:E6 A1:E4">
    <cfRule type="expression" dxfId="1285" priority="6132">
      <formula>$E$5:$E$20001="NÃO ATENDE/AGUARDANDO RETORNO"</formula>
    </cfRule>
  </conditionalFormatting>
  <conditionalFormatting sqref="E5:E6 A1:E4">
    <cfRule type="expression" dxfId="1284" priority="6156">
      <formula>$E$5:$E$20806="REMANEJADO"</formula>
    </cfRule>
  </conditionalFormatting>
  <conditionalFormatting sqref="E5:E6 A1:E4">
    <cfRule type="expression" dxfId="1283" priority="6162">
      <formula>$E$5:$E$20806="2ª CONVOCAÇÃO"</formula>
    </cfRule>
  </conditionalFormatting>
  <conditionalFormatting sqref="E5:E6 A1:E4">
    <cfRule type="expression" dxfId="1282" priority="6165">
      <formula>$E$5:$E$20806="NÃO ATENDE/AGUARDANDO RETORNO"</formula>
    </cfRule>
  </conditionalFormatting>
  <conditionalFormatting sqref="E5:E6 A1:E4">
    <cfRule type="expression" dxfId="1281" priority="6168">
      <formula>$E$6:$E$20806="CONTRATADO"</formula>
    </cfRule>
  </conditionalFormatting>
  <conditionalFormatting sqref="E5:E6 A1:E4">
    <cfRule type="expression" dxfId="1280" priority="6343">
      <formula>$Z$6:$Z$20806="REMANEJADO"</formula>
    </cfRule>
  </conditionalFormatting>
  <conditionalFormatting sqref="E5:E6 A1:E4">
    <cfRule type="expression" dxfId="1279" priority="6347">
      <formula>$Z$6:$Z$20001="DESCLASSIFICADO"</formula>
    </cfRule>
  </conditionalFormatting>
  <conditionalFormatting sqref="E5:E6 A1:E4">
    <cfRule type="expression" dxfId="1278" priority="6351">
      <formula>$Z$6:$Z$20001="REMANEJADO"</formula>
    </cfRule>
  </conditionalFormatting>
  <conditionalFormatting sqref="E5:E6 A1:E4">
    <cfRule type="expression" dxfId="1277" priority="6355">
      <formula>$Z$6:$Z$20001="1ª CONVOCAÇÃO"</formula>
    </cfRule>
  </conditionalFormatting>
  <conditionalFormatting sqref="E5:E6 A1:E4">
    <cfRule type="expression" dxfId="1276" priority="6359">
      <formula>$Z$6:$Z$20001="2ª CONVOCAÇÃO"</formula>
    </cfRule>
  </conditionalFormatting>
  <conditionalFormatting sqref="E5:E6 A1:E4">
    <cfRule type="expression" dxfId="1275" priority="6363">
      <formula>$Z$6:$Z$20001="NÃO ATENDE/AGUARDANDO RETORNO"</formula>
    </cfRule>
  </conditionalFormatting>
  <conditionalFormatting sqref="E5:E6 A1:E4">
    <cfRule type="expression" dxfId="1274" priority="6367">
      <formula>$Z$6:$Z$20806="CONTRATADO"</formula>
    </cfRule>
  </conditionalFormatting>
  <conditionalFormatting sqref="E5:E6 A1:E4">
    <cfRule type="expression" dxfId="1273" priority="6371">
      <formula>$Z$6:$Z$20806="DESCLASSIFICADO"</formula>
    </cfRule>
  </conditionalFormatting>
  <conditionalFormatting sqref="E5:E6 A1:E4">
    <cfRule type="expression" dxfId="1272" priority="6375">
      <formula>$Z$6:$Z$20806="1ª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0.7109375" bestFit="1" customWidth="1"/>
    <col min="3" max="3" width="8" bestFit="1" customWidth="1"/>
    <col min="4" max="4" width="19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29.2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1355</v>
      </c>
      <c r="C5" s="30" t="s">
        <v>64</v>
      </c>
      <c r="D5" s="30" t="s">
        <v>1363</v>
      </c>
      <c r="E5" s="21" t="s">
        <v>69</v>
      </c>
    </row>
  </sheetData>
  <mergeCells count="1">
    <mergeCell ref="A1:E3"/>
  </mergeCells>
  <conditionalFormatting sqref="A1:E5">
    <cfRule type="expression" dxfId="1271" priority="6779">
      <formula>$E$5:$E$20001="CONTRATADO"</formula>
    </cfRule>
  </conditionalFormatting>
  <conditionalFormatting sqref="A1:E5">
    <cfRule type="expression" dxfId="1270" priority="6781">
      <formula>$E$5:$E$20001="DESCLASSIFICADO"</formula>
    </cfRule>
  </conditionalFormatting>
  <conditionalFormatting sqref="A1:E5">
    <cfRule type="expression" dxfId="1269" priority="6783">
      <formula>$E$5:$E$20001="REMANEJADO"</formula>
    </cfRule>
  </conditionalFormatting>
  <conditionalFormatting sqref="A1:E5">
    <cfRule type="expression" dxfId="1268" priority="6785">
      <formula>$E$5:$E$20001="1ª CONVOCAÇÃO"</formula>
    </cfRule>
  </conditionalFormatting>
  <conditionalFormatting sqref="A1:E5">
    <cfRule type="expression" dxfId="1267" priority="6787">
      <formula>$E$5:$E$20001="2ª CONVOCAÇÃO"</formula>
    </cfRule>
  </conditionalFormatting>
  <conditionalFormatting sqref="A1:E5">
    <cfRule type="expression" dxfId="1266" priority="6789">
      <formula>$E$5:$E$20001="NÃO ATENDE/AGUARDANDO RETORNO"</formula>
    </cfRule>
  </conditionalFormatting>
  <conditionalFormatting sqref="A1:E5">
    <cfRule type="expression" dxfId="1265" priority="6791">
      <formula>$E$5:$E$20806="REMANEJADO"</formula>
    </cfRule>
  </conditionalFormatting>
  <conditionalFormatting sqref="A1:E5">
    <cfRule type="expression" dxfId="1264" priority="6793">
      <formula>$E$5:$E$20806="2ª CONVOCAÇÃO"</formula>
    </cfRule>
  </conditionalFormatting>
  <conditionalFormatting sqref="A1:E5">
    <cfRule type="expression" dxfId="1263" priority="6795">
      <formula>$E$5:$E$20806="NÃO ATENDE/AGUARDANDO RETORNO"</formula>
    </cfRule>
  </conditionalFormatting>
  <conditionalFormatting sqref="A1:E5">
    <cfRule type="expression" dxfId="1262" priority="6797">
      <formula>$E$6:$E$20806="CONTRATADO"</formula>
    </cfRule>
  </conditionalFormatting>
  <conditionalFormatting sqref="A1:E5">
    <cfRule type="expression" dxfId="1261" priority="6799">
      <formula>$Z$6:$Z$20806="REMANEJADO"</formula>
    </cfRule>
  </conditionalFormatting>
  <conditionalFormatting sqref="A1:E5">
    <cfRule type="expression" dxfId="1260" priority="6801">
      <formula>$Z$6:$Z$20001="DESCLASSIFICADO"</formula>
    </cfRule>
  </conditionalFormatting>
  <conditionalFormatting sqref="A1:E5">
    <cfRule type="expression" dxfId="1259" priority="6803">
      <formula>$Z$6:$Z$20001="REMANEJADO"</formula>
    </cfRule>
  </conditionalFormatting>
  <conditionalFormatting sqref="A1:E5">
    <cfRule type="expression" dxfId="1258" priority="6805">
      <formula>$Z$6:$Z$20001="1ª CONVOCAÇÃO"</formula>
    </cfRule>
  </conditionalFormatting>
  <conditionalFormatting sqref="A1:E5">
    <cfRule type="expression" dxfId="1257" priority="6807">
      <formula>$Z$6:$Z$20001="2ª CONVOCAÇÃO"</formula>
    </cfRule>
  </conditionalFormatting>
  <conditionalFormatting sqref="A1:E5">
    <cfRule type="expression" dxfId="1256" priority="6809">
      <formula>$Z$6:$Z$20001="NÃO ATENDE/AGUARDANDO RETORNO"</formula>
    </cfRule>
  </conditionalFormatting>
  <conditionalFormatting sqref="A1:E5">
    <cfRule type="expression" dxfId="1255" priority="6811">
      <formula>$Z$6:$Z$20806="CONTRATADO"</formula>
    </cfRule>
  </conditionalFormatting>
  <conditionalFormatting sqref="A1:E5">
    <cfRule type="expression" dxfId="1254" priority="6813">
      <formula>$Z$6:$Z$20806="DESCLASSIFICADO"</formula>
    </cfRule>
  </conditionalFormatting>
  <conditionalFormatting sqref="A1:E5">
    <cfRule type="expression" dxfId="1253" priority="6815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/>
  </sheetViews>
  <sheetFormatPr defaultColWidth="14.42578125" defaultRowHeight="15"/>
  <cols>
    <col min="1" max="1" width="15.5703125" customWidth="1"/>
    <col min="2" max="2" width="37.7109375" customWidth="1"/>
    <col min="3" max="4" width="14.42578125" hidden="1"/>
    <col min="5" max="5" width="53.85546875" hidden="1" customWidth="1"/>
    <col min="6" max="7" width="14.42578125" hidden="1"/>
    <col min="8" max="8" width="13.85546875" hidden="1" customWidth="1"/>
    <col min="9" max="9" width="21" customWidth="1"/>
    <col min="10" max="11" width="14.42578125" hidden="1"/>
    <col min="12" max="12" width="29" customWidth="1"/>
    <col min="13" max="13" width="14.42578125" hidden="1"/>
    <col min="14" max="14" width="38.85546875" customWidth="1"/>
    <col min="15" max="18" width="33.5703125" hidden="1" customWidth="1"/>
  </cols>
  <sheetData>
    <row r="1" spans="1:18" ht="18.7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14"/>
      <c r="P1" s="14"/>
      <c r="Q1" s="14"/>
      <c r="R1" s="14"/>
    </row>
    <row r="2" spans="1:18" ht="18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  <c r="R2" s="14"/>
    </row>
    <row r="3" spans="1:18" ht="18.7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  <c r="O3" s="14"/>
      <c r="P3" s="14"/>
      <c r="Q3" s="14"/>
      <c r="R3" s="14"/>
    </row>
    <row r="4" spans="1:18" ht="32.25" customHeigh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24</v>
      </c>
      <c r="F4" s="18" t="s">
        <v>25</v>
      </c>
      <c r="G4" s="18" t="s">
        <v>26</v>
      </c>
      <c r="H4" s="18" t="s">
        <v>30</v>
      </c>
      <c r="I4" s="18" t="s">
        <v>31</v>
      </c>
      <c r="J4" s="18" t="s">
        <v>35</v>
      </c>
      <c r="K4" s="18" t="s">
        <v>36</v>
      </c>
      <c r="L4" s="18" t="s">
        <v>41</v>
      </c>
      <c r="M4" s="18" t="s">
        <v>45</v>
      </c>
      <c r="N4" s="19" t="s">
        <v>0</v>
      </c>
      <c r="O4" s="43" t="s">
        <v>5</v>
      </c>
      <c r="P4" s="43" t="s">
        <v>6</v>
      </c>
      <c r="Q4" s="43" t="s">
        <v>7</v>
      </c>
      <c r="R4" s="43" t="s">
        <v>8</v>
      </c>
    </row>
    <row r="5" spans="1:18" ht="15.75" customHeight="1">
      <c r="A5" s="28">
        <v>1</v>
      </c>
      <c r="B5" s="29" t="s">
        <v>423</v>
      </c>
      <c r="C5" s="30"/>
      <c r="D5" s="31" t="s">
        <v>424</v>
      </c>
      <c r="E5" s="30" t="s">
        <v>428</v>
      </c>
      <c r="F5" s="28"/>
      <c r="G5" s="30" t="s">
        <v>429</v>
      </c>
      <c r="H5" s="30" t="s">
        <v>63</v>
      </c>
      <c r="I5" s="30" t="s">
        <v>64</v>
      </c>
      <c r="J5" s="28" t="s">
        <v>66</v>
      </c>
      <c r="K5" s="28" t="s">
        <v>67</v>
      </c>
      <c r="L5" s="30" t="s">
        <v>256</v>
      </c>
      <c r="M5" s="28">
        <v>8</v>
      </c>
      <c r="N5" s="21" t="s">
        <v>325</v>
      </c>
      <c r="O5" s="21"/>
      <c r="P5" s="21"/>
      <c r="Q5" s="21"/>
      <c r="R5" s="21"/>
    </row>
    <row r="6" spans="1:18" ht="15.75" customHeight="1">
      <c r="A6" s="28">
        <v>2</v>
      </c>
      <c r="B6" s="29" t="s">
        <v>485</v>
      </c>
      <c r="C6" s="30" t="s">
        <v>486</v>
      </c>
      <c r="D6" s="31" t="s">
        <v>487</v>
      </c>
      <c r="E6" s="30" t="s">
        <v>491</v>
      </c>
      <c r="F6" s="28"/>
      <c r="G6" s="30" t="s">
        <v>492</v>
      </c>
      <c r="H6" s="30" t="s">
        <v>63</v>
      </c>
      <c r="I6" s="30" t="s">
        <v>64</v>
      </c>
      <c r="J6" s="28" t="s">
        <v>134</v>
      </c>
      <c r="K6" s="28" t="s">
        <v>67</v>
      </c>
      <c r="L6" s="30" t="s">
        <v>256</v>
      </c>
      <c r="M6" s="28">
        <v>5</v>
      </c>
      <c r="N6" s="44" t="s">
        <v>69</v>
      </c>
      <c r="O6" s="21"/>
      <c r="P6" s="21"/>
      <c r="Q6" s="21"/>
      <c r="R6" s="21"/>
    </row>
    <row r="7" spans="1:18" ht="15.75" customHeight="1">
      <c r="A7" s="28">
        <v>1</v>
      </c>
      <c r="B7" s="29" t="s">
        <v>606</v>
      </c>
      <c r="C7" s="30" t="s">
        <v>607</v>
      </c>
      <c r="D7" s="31" t="s">
        <v>608</v>
      </c>
      <c r="E7" s="30" t="s">
        <v>610</v>
      </c>
      <c r="F7" s="28"/>
      <c r="G7" s="30" t="s">
        <v>611</v>
      </c>
      <c r="H7" s="30" t="s">
        <v>63</v>
      </c>
      <c r="I7" s="30" t="s">
        <v>204</v>
      </c>
      <c r="J7" s="28" t="s">
        <v>66</v>
      </c>
      <c r="K7" s="28" t="s">
        <v>67</v>
      </c>
      <c r="L7" s="30" t="s">
        <v>256</v>
      </c>
      <c r="M7" s="28">
        <v>7</v>
      </c>
      <c r="N7" s="44" t="s">
        <v>69</v>
      </c>
      <c r="O7" s="21"/>
      <c r="P7" s="21"/>
      <c r="Q7" s="21"/>
      <c r="R7" s="21"/>
    </row>
    <row r="8" spans="1:18" ht="15.75" customHeight="1">
      <c r="A8" s="28">
        <v>1</v>
      </c>
      <c r="B8" s="29" t="s">
        <v>699</v>
      </c>
      <c r="C8" s="30" t="s">
        <v>700</v>
      </c>
      <c r="D8" s="31" t="s">
        <v>701</v>
      </c>
      <c r="E8" s="30" t="s">
        <v>705</v>
      </c>
      <c r="F8" s="28" t="s">
        <v>706</v>
      </c>
      <c r="G8" s="30" t="s">
        <v>707</v>
      </c>
      <c r="H8" s="30" t="s">
        <v>63</v>
      </c>
      <c r="I8" s="30" t="s">
        <v>64</v>
      </c>
      <c r="J8" s="28" t="s">
        <v>134</v>
      </c>
      <c r="K8" s="28" t="s">
        <v>67</v>
      </c>
      <c r="L8" s="30" t="s">
        <v>662</v>
      </c>
      <c r="M8" s="28">
        <v>8</v>
      </c>
      <c r="N8" s="21" t="s">
        <v>325</v>
      </c>
      <c r="O8" s="21"/>
      <c r="P8" s="21"/>
      <c r="Q8" s="21"/>
      <c r="R8" s="21"/>
    </row>
    <row r="9" spans="1:18" ht="15.75" customHeight="1">
      <c r="A9" s="28">
        <v>1</v>
      </c>
      <c r="B9" s="29" t="s">
        <v>868</v>
      </c>
      <c r="C9" s="30" t="s">
        <v>869</v>
      </c>
      <c r="D9" s="31" t="s">
        <v>870</v>
      </c>
      <c r="E9" s="30" t="s">
        <v>874</v>
      </c>
      <c r="F9" s="28" t="s">
        <v>875</v>
      </c>
      <c r="G9" s="30" t="s">
        <v>876</v>
      </c>
      <c r="H9" s="30" t="s">
        <v>63</v>
      </c>
      <c r="I9" s="30" t="s">
        <v>64</v>
      </c>
      <c r="J9" s="28" t="s">
        <v>66</v>
      </c>
      <c r="K9" s="28" t="s">
        <v>67</v>
      </c>
      <c r="L9" s="30" t="s">
        <v>803</v>
      </c>
      <c r="M9" s="28">
        <v>7</v>
      </c>
      <c r="N9" s="44" t="s">
        <v>69</v>
      </c>
      <c r="O9" s="21"/>
      <c r="P9" s="21"/>
      <c r="Q9" s="21"/>
      <c r="R9" s="21"/>
    </row>
    <row r="10" spans="1:18" ht="15.75" customHeight="1">
      <c r="A10" s="28">
        <v>1</v>
      </c>
      <c r="B10" s="29" t="s">
        <v>1006</v>
      </c>
      <c r="C10" s="30"/>
      <c r="D10" s="31" t="s">
        <v>1007</v>
      </c>
      <c r="E10" s="30" t="s">
        <v>1011</v>
      </c>
      <c r="F10" s="28" t="s">
        <v>412</v>
      </c>
      <c r="G10" s="30" t="s">
        <v>1012</v>
      </c>
      <c r="H10" s="30" t="s">
        <v>63</v>
      </c>
      <c r="I10" s="30" t="s">
        <v>64</v>
      </c>
      <c r="J10" s="28" t="s">
        <v>134</v>
      </c>
      <c r="K10" s="28" t="s">
        <v>67</v>
      </c>
      <c r="L10" s="30" t="s">
        <v>1014</v>
      </c>
      <c r="M10" s="28">
        <v>8</v>
      </c>
      <c r="N10" s="44" t="s">
        <v>69</v>
      </c>
      <c r="O10" s="21"/>
      <c r="P10" s="21"/>
      <c r="Q10" s="21"/>
      <c r="R10" s="21"/>
    </row>
    <row r="11" spans="1:18" ht="15.75" customHeight="1">
      <c r="A11" s="28">
        <v>1</v>
      </c>
      <c r="B11" s="29" t="s">
        <v>1109</v>
      </c>
      <c r="C11" s="30"/>
      <c r="D11" s="31" t="s">
        <v>1110</v>
      </c>
      <c r="E11" s="30" t="s">
        <v>1115</v>
      </c>
      <c r="F11" s="28" t="s">
        <v>1116</v>
      </c>
      <c r="G11" s="30" t="s">
        <v>1117</v>
      </c>
      <c r="H11" s="30" t="s">
        <v>63</v>
      </c>
      <c r="I11" s="30" t="s">
        <v>64</v>
      </c>
      <c r="J11" s="28" t="s">
        <v>66</v>
      </c>
      <c r="K11" s="28" t="s">
        <v>67</v>
      </c>
      <c r="L11" s="30" t="s">
        <v>1101</v>
      </c>
      <c r="M11" s="28">
        <v>5</v>
      </c>
      <c r="N11" s="44" t="s">
        <v>69</v>
      </c>
      <c r="O11" s="21"/>
      <c r="P11" s="21"/>
      <c r="Q11" s="21"/>
      <c r="R11" s="21"/>
    </row>
    <row r="12" spans="1:18" ht="15.75" customHeight="1">
      <c r="A12" s="28">
        <v>1</v>
      </c>
      <c r="B12" s="29" t="s">
        <v>1175</v>
      </c>
      <c r="C12" s="30" t="s">
        <v>1176</v>
      </c>
      <c r="D12" s="31" t="s">
        <v>1177</v>
      </c>
      <c r="E12" s="30" t="s">
        <v>1180</v>
      </c>
      <c r="F12" s="28" t="s">
        <v>1181</v>
      </c>
      <c r="G12" s="30" t="s">
        <v>1182</v>
      </c>
      <c r="H12" s="30" t="s">
        <v>63</v>
      </c>
      <c r="I12" s="30" t="s">
        <v>64</v>
      </c>
      <c r="J12" s="28" t="s">
        <v>66</v>
      </c>
      <c r="K12" s="28" t="s">
        <v>67</v>
      </c>
      <c r="L12" s="30" t="s">
        <v>1163</v>
      </c>
      <c r="M12" s="28">
        <v>5</v>
      </c>
      <c r="N12" s="44" t="s">
        <v>325</v>
      </c>
      <c r="O12" s="21"/>
      <c r="P12" s="21"/>
      <c r="Q12" s="21"/>
      <c r="R12" s="21"/>
    </row>
    <row r="13" spans="1:18" ht="15.75" customHeight="1">
      <c r="A13" s="28">
        <v>1</v>
      </c>
      <c r="B13" s="29" t="s">
        <v>1899</v>
      </c>
      <c r="C13" s="30" t="s">
        <v>1900</v>
      </c>
      <c r="D13" s="31" t="s">
        <v>1901</v>
      </c>
      <c r="E13" s="30" t="s">
        <v>1905</v>
      </c>
      <c r="F13" s="28"/>
      <c r="G13" s="30" t="s">
        <v>1906</v>
      </c>
      <c r="H13" s="30" t="s">
        <v>63</v>
      </c>
      <c r="I13" s="30" t="s">
        <v>64</v>
      </c>
      <c r="J13" s="28" t="s">
        <v>134</v>
      </c>
      <c r="K13" s="28" t="s">
        <v>67</v>
      </c>
      <c r="L13" s="30" t="s">
        <v>1579</v>
      </c>
      <c r="M13" s="28">
        <v>5</v>
      </c>
      <c r="N13" s="44" t="s">
        <v>6686</v>
      </c>
      <c r="O13" s="21"/>
      <c r="P13" s="21"/>
      <c r="Q13" s="21"/>
      <c r="R13" s="21"/>
    </row>
    <row r="14" spans="1:18" ht="15.75" customHeight="1">
      <c r="A14" s="28">
        <v>2</v>
      </c>
      <c r="B14" s="29" t="s">
        <v>2456</v>
      </c>
      <c r="C14" s="30" t="s">
        <v>2457</v>
      </c>
      <c r="D14" s="31" t="s">
        <v>2458</v>
      </c>
      <c r="E14" s="30" t="s">
        <v>2461</v>
      </c>
      <c r="F14" s="28" t="s">
        <v>2462</v>
      </c>
      <c r="G14" s="30" t="s">
        <v>2463</v>
      </c>
      <c r="H14" s="30" t="s">
        <v>63</v>
      </c>
      <c r="I14" s="30" t="s">
        <v>64</v>
      </c>
      <c r="J14" s="28" t="s">
        <v>66</v>
      </c>
      <c r="K14" s="28" t="s">
        <v>67</v>
      </c>
      <c r="L14" s="30" t="s">
        <v>1579</v>
      </c>
      <c r="M14" s="28">
        <v>5</v>
      </c>
      <c r="N14" s="44" t="s">
        <v>6686</v>
      </c>
      <c r="O14" s="21"/>
      <c r="P14" s="21"/>
      <c r="Q14" s="21"/>
      <c r="R14" s="21"/>
    </row>
    <row r="15" spans="1:18" ht="15.75" customHeight="1">
      <c r="A15" s="28">
        <v>3</v>
      </c>
      <c r="B15" s="29" t="s">
        <v>3123</v>
      </c>
      <c r="C15" s="30"/>
      <c r="D15" s="31" t="s">
        <v>3124</v>
      </c>
      <c r="E15" s="30" t="s">
        <v>3128</v>
      </c>
      <c r="F15" s="28"/>
      <c r="G15" s="30" t="s">
        <v>3129</v>
      </c>
      <c r="H15" s="30" t="s">
        <v>63</v>
      </c>
      <c r="I15" s="30" t="s">
        <v>64</v>
      </c>
      <c r="J15" s="28" t="s">
        <v>66</v>
      </c>
      <c r="K15" s="28" t="s">
        <v>67</v>
      </c>
      <c r="L15" s="30" t="s">
        <v>1579</v>
      </c>
      <c r="M15" s="28">
        <v>7</v>
      </c>
      <c r="N15" s="44" t="s">
        <v>6686</v>
      </c>
      <c r="O15" s="21"/>
      <c r="P15" s="21"/>
      <c r="Q15" s="21"/>
      <c r="R15" s="21"/>
    </row>
    <row r="16" spans="1:18" ht="15.75" customHeight="1">
      <c r="A16" s="28">
        <v>1</v>
      </c>
      <c r="B16" s="29" t="s">
        <v>3321</v>
      </c>
      <c r="C16" s="30" t="s">
        <v>3322</v>
      </c>
      <c r="D16" s="31" t="s">
        <v>3323</v>
      </c>
      <c r="E16" s="30" t="s">
        <v>3327</v>
      </c>
      <c r="F16" s="28" t="s">
        <v>3328</v>
      </c>
      <c r="G16" s="30" t="s">
        <v>3329</v>
      </c>
      <c r="H16" s="30" t="s">
        <v>63</v>
      </c>
      <c r="I16" s="30" t="s">
        <v>3302</v>
      </c>
      <c r="J16" s="28" t="s">
        <v>66</v>
      </c>
      <c r="K16" s="28" t="s">
        <v>67</v>
      </c>
      <c r="L16" s="30" t="s">
        <v>1579</v>
      </c>
      <c r="M16" s="28">
        <v>9</v>
      </c>
      <c r="N16" s="44" t="s">
        <v>6687</v>
      </c>
      <c r="O16" s="21"/>
      <c r="P16" s="21"/>
      <c r="Q16" s="21"/>
      <c r="R16" s="21"/>
    </row>
    <row r="17" spans="1:18" ht="15.75" customHeight="1">
      <c r="A17" s="28">
        <v>1</v>
      </c>
      <c r="B17" s="29" t="s">
        <v>3347</v>
      </c>
      <c r="C17" s="30" t="s">
        <v>3348</v>
      </c>
      <c r="D17" s="31" t="s">
        <v>3349</v>
      </c>
      <c r="E17" s="30" t="s">
        <v>3352</v>
      </c>
      <c r="F17" s="28" t="s">
        <v>3353</v>
      </c>
      <c r="G17" s="30" t="s">
        <v>3354</v>
      </c>
      <c r="H17" s="30" t="s">
        <v>63</v>
      </c>
      <c r="I17" s="30" t="s">
        <v>3339</v>
      </c>
      <c r="J17" s="28" t="s">
        <v>802</v>
      </c>
      <c r="K17" s="28" t="s">
        <v>67</v>
      </c>
      <c r="L17" s="30" t="s">
        <v>1579</v>
      </c>
      <c r="M17" s="28">
        <v>6</v>
      </c>
      <c r="N17" s="44" t="s">
        <v>69</v>
      </c>
      <c r="O17" s="21"/>
      <c r="P17" s="21"/>
      <c r="Q17" s="21"/>
      <c r="R17" s="21"/>
    </row>
    <row r="18" spans="1:18" ht="15.75" customHeight="1">
      <c r="A18" s="28">
        <v>1</v>
      </c>
      <c r="B18" s="29" t="s">
        <v>3475</v>
      </c>
      <c r="C18" s="30"/>
      <c r="D18" s="31" t="s">
        <v>3476</v>
      </c>
      <c r="E18" s="30" t="s">
        <v>3479</v>
      </c>
      <c r="F18" s="28" t="s">
        <v>3480</v>
      </c>
      <c r="G18" s="30" t="s">
        <v>3481</v>
      </c>
      <c r="H18" s="30" t="s">
        <v>63</v>
      </c>
      <c r="I18" s="30" t="s">
        <v>3409</v>
      </c>
      <c r="J18" s="28" t="s">
        <v>134</v>
      </c>
      <c r="K18" s="28" t="s">
        <v>67</v>
      </c>
      <c r="L18" s="30" t="s">
        <v>1579</v>
      </c>
      <c r="M18" s="28">
        <v>4</v>
      </c>
      <c r="N18" s="44" t="s">
        <v>69</v>
      </c>
      <c r="O18" s="21"/>
      <c r="P18" s="21"/>
      <c r="Q18" s="21"/>
      <c r="R18" s="21"/>
    </row>
    <row r="19" spans="1:18" ht="15.75" customHeight="1">
      <c r="A19" s="28">
        <v>1</v>
      </c>
      <c r="B19" s="29" t="s">
        <v>3732</v>
      </c>
      <c r="C19" s="30" t="s">
        <v>3733</v>
      </c>
      <c r="D19" s="31" t="s">
        <v>3734</v>
      </c>
      <c r="E19" s="30" t="s">
        <v>3737</v>
      </c>
      <c r="F19" s="28"/>
      <c r="G19" s="30" t="s">
        <v>3738</v>
      </c>
      <c r="H19" s="30" t="s">
        <v>63</v>
      </c>
      <c r="I19" s="30" t="s">
        <v>548</v>
      </c>
      <c r="J19" s="28" t="s">
        <v>66</v>
      </c>
      <c r="K19" s="28" t="s">
        <v>67</v>
      </c>
      <c r="L19" s="30" t="s">
        <v>1579</v>
      </c>
      <c r="M19" s="28">
        <v>3</v>
      </c>
      <c r="N19" s="44" t="s">
        <v>69</v>
      </c>
      <c r="O19" s="21"/>
      <c r="P19" s="21"/>
      <c r="Q19" s="21"/>
      <c r="R19" s="21"/>
    </row>
    <row r="20" spans="1:18" ht="15.75" customHeight="1">
      <c r="A20" s="28">
        <v>1</v>
      </c>
      <c r="B20" s="29" t="s">
        <v>4106</v>
      </c>
      <c r="C20" s="30" t="s">
        <v>4107</v>
      </c>
      <c r="D20" s="31" t="s">
        <v>4108</v>
      </c>
      <c r="E20" s="30" t="s">
        <v>4112</v>
      </c>
      <c r="F20" s="28"/>
      <c r="G20" s="30" t="s">
        <v>4113</v>
      </c>
      <c r="H20" s="30" t="s">
        <v>63</v>
      </c>
      <c r="I20" s="30" t="s">
        <v>204</v>
      </c>
      <c r="J20" s="28" t="s">
        <v>134</v>
      </c>
      <c r="K20" s="28" t="s">
        <v>67</v>
      </c>
      <c r="L20" s="30" t="s">
        <v>1579</v>
      </c>
      <c r="M20" s="28">
        <v>7</v>
      </c>
      <c r="N20" s="44" t="s">
        <v>69</v>
      </c>
      <c r="O20" s="21"/>
      <c r="P20" s="21"/>
      <c r="Q20" s="21"/>
      <c r="R20" s="21"/>
    </row>
    <row r="21" spans="1:18" ht="15.75" customHeight="1">
      <c r="A21" s="28">
        <v>2</v>
      </c>
      <c r="B21" s="29" t="s">
        <v>4121</v>
      </c>
      <c r="C21" s="30" t="s">
        <v>4122</v>
      </c>
      <c r="D21" s="31" t="s">
        <v>4123</v>
      </c>
      <c r="E21" s="30" t="s">
        <v>4126</v>
      </c>
      <c r="F21" s="28" t="s">
        <v>4127</v>
      </c>
      <c r="G21" s="30" t="s">
        <v>4128</v>
      </c>
      <c r="H21" s="30" t="s">
        <v>63</v>
      </c>
      <c r="I21" s="30" t="s">
        <v>204</v>
      </c>
      <c r="J21" s="28" t="s">
        <v>134</v>
      </c>
      <c r="K21" s="28" t="s">
        <v>67</v>
      </c>
      <c r="L21" s="30" t="s">
        <v>1579</v>
      </c>
      <c r="M21" s="28">
        <v>8</v>
      </c>
      <c r="N21" s="44" t="s">
        <v>69</v>
      </c>
      <c r="O21" s="21"/>
      <c r="P21" s="21"/>
      <c r="Q21" s="21"/>
      <c r="R21" s="21"/>
    </row>
    <row r="22" spans="1:18" ht="15.75" customHeight="1">
      <c r="A22" s="28">
        <v>1</v>
      </c>
      <c r="B22" s="29" t="s">
        <v>4261</v>
      </c>
      <c r="C22" s="30"/>
      <c r="D22" s="31" t="s">
        <v>4262</v>
      </c>
      <c r="E22" s="30" t="s">
        <v>4265</v>
      </c>
      <c r="F22" s="28" t="s">
        <v>4266</v>
      </c>
      <c r="G22" s="30" t="s">
        <v>4267</v>
      </c>
      <c r="H22" s="30" t="s">
        <v>63</v>
      </c>
      <c r="I22" s="30" t="s">
        <v>4253</v>
      </c>
      <c r="J22" s="28" t="s">
        <v>134</v>
      </c>
      <c r="K22" s="28" t="s">
        <v>67</v>
      </c>
      <c r="L22" s="30" t="s">
        <v>1579</v>
      </c>
      <c r="M22" s="28">
        <v>4</v>
      </c>
      <c r="N22" s="44" t="s">
        <v>69</v>
      </c>
      <c r="O22" s="21"/>
      <c r="P22" s="21"/>
      <c r="Q22" s="21"/>
      <c r="R22" s="21"/>
    </row>
    <row r="23" spans="1:18" ht="15.75" customHeight="1">
      <c r="A23" s="28">
        <v>1</v>
      </c>
      <c r="B23" s="29" t="s">
        <v>4304</v>
      </c>
      <c r="C23" s="30"/>
      <c r="D23" s="31" t="s">
        <v>4305</v>
      </c>
      <c r="E23" s="30" t="s">
        <v>4310</v>
      </c>
      <c r="F23" s="28" t="s">
        <v>4311</v>
      </c>
      <c r="G23" s="30" t="s">
        <v>4312</v>
      </c>
      <c r="H23" s="30" t="s">
        <v>63</v>
      </c>
      <c r="I23" s="30" t="s">
        <v>64</v>
      </c>
      <c r="J23" s="28" t="s">
        <v>66</v>
      </c>
      <c r="K23" s="28" t="s">
        <v>67</v>
      </c>
      <c r="L23" s="30" t="s">
        <v>4303</v>
      </c>
      <c r="M23" s="28">
        <v>6</v>
      </c>
      <c r="N23" s="44" t="s">
        <v>69</v>
      </c>
      <c r="O23" s="21"/>
      <c r="P23" s="21"/>
      <c r="Q23" s="21"/>
      <c r="R23" s="21"/>
    </row>
    <row r="24" spans="1:18" ht="15.75" customHeight="1">
      <c r="A24" s="28">
        <v>1</v>
      </c>
      <c r="B24" s="29" t="s">
        <v>4407</v>
      </c>
      <c r="C24" s="30" t="s">
        <v>4408</v>
      </c>
      <c r="D24" s="31" t="s">
        <v>4409</v>
      </c>
      <c r="E24" s="30" t="s">
        <v>4412</v>
      </c>
      <c r="F24" s="28"/>
      <c r="G24" s="30" t="s">
        <v>4413</v>
      </c>
      <c r="H24" s="30" t="s">
        <v>63</v>
      </c>
      <c r="I24" s="30" t="s">
        <v>64</v>
      </c>
      <c r="J24" s="28" t="s">
        <v>66</v>
      </c>
      <c r="K24" s="28" t="s">
        <v>67</v>
      </c>
      <c r="L24" s="30" t="s">
        <v>4398</v>
      </c>
      <c r="M24" s="28">
        <v>5</v>
      </c>
      <c r="N24" s="44" t="s">
        <v>6687</v>
      </c>
      <c r="O24" s="21"/>
      <c r="P24" s="21"/>
      <c r="Q24" s="21"/>
      <c r="R24" s="21"/>
    </row>
    <row r="25" spans="1:18" ht="15.75" customHeight="1">
      <c r="A25" s="28">
        <v>1</v>
      </c>
      <c r="B25" s="29" t="s">
        <v>4457</v>
      </c>
      <c r="C25" s="30"/>
      <c r="D25" s="31" t="s">
        <v>4458</v>
      </c>
      <c r="E25" s="30" t="s">
        <v>4462</v>
      </c>
      <c r="F25" s="28"/>
      <c r="G25" s="30" t="s">
        <v>4463</v>
      </c>
      <c r="H25" s="30" t="s">
        <v>63</v>
      </c>
      <c r="I25" s="30" t="s">
        <v>80</v>
      </c>
      <c r="J25" s="28" t="s">
        <v>66</v>
      </c>
      <c r="K25" s="28" t="s">
        <v>67</v>
      </c>
      <c r="L25" s="30" t="s">
        <v>4464</v>
      </c>
      <c r="M25" s="28">
        <v>4</v>
      </c>
      <c r="N25" s="44" t="s">
        <v>69</v>
      </c>
      <c r="O25" s="21"/>
      <c r="P25" s="21"/>
      <c r="Q25" s="21"/>
      <c r="R25" s="21"/>
    </row>
    <row r="26" spans="1:18" ht="15.75" customHeight="1">
      <c r="A26" s="28">
        <v>1</v>
      </c>
      <c r="B26" s="29" t="s">
        <v>4727</v>
      </c>
      <c r="C26" s="30"/>
      <c r="D26" s="31" t="s">
        <v>4728</v>
      </c>
      <c r="E26" s="30" t="s">
        <v>4732</v>
      </c>
      <c r="F26" s="28"/>
      <c r="G26" s="30" t="s">
        <v>4733</v>
      </c>
      <c r="H26" s="30" t="s">
        <v>63</v>
      </c>
      <c r="I26" s="30" t="s">
        <v>64</v>
      </c>
      <c r="J26" s="28" t="s">
        <v>66</v>
      </c>
      <c r="K26" s="28" t="s">
        <v>67</v>
      </c>
      <c r="L26" s="30" t="s">
        <v>4718</v>
      </c>
      <c r="M26" s="28">
        <v>5</v>
      </c>
      <c r="N26" s="44" t="s">
        <v>325</v>
      </c>
      <c r="O26" s="21"/>
      <c r="P26" s="21"/>
      <c r="Q26" s="21"/>
      <c r="R26" s="21"/>
    </row>
    <row r="27" spans="1:18" ht="15.75" customHeight="1">
      <c r="A27" s="28">
        <v>1</v>
      </c>
      <c r="B27" s="29" t="s">
        <v>4905</v>
      </c>
      <c r="C27" s="30"/>
      <c r="D27" s="31" t="s">
        <v>4906</v>
      </c>
      <c r="E27" s="30" t="s">
        <v>4910</v>
      </c>
      <c r="F27" s="28" t="s">
        <v>4911</v>
      </c>
      <c r="G27" s="30" t="s">
        <v>4912</v>
      </c>
      <c r="H27" s="30" t="s">
        <v>63</v>
      </c>
      <c r="I27" s="30" t="s">
        <v>64</v>
      </c>
      <c r="J27" s="28" t="s">
        <v>66</v>
      </c>
      <c r="K27" s="28" t="s">
        <v>67</v>
      </c>
      <c r="L27" s="30" t="s">
        <v>4784</v>
      </c>
      <c r="M27" s="28">
        <v>5</v>
      </c>
      <c r="N27" s="44" t="s">
        <v>325</v>
      </c>
      <c r="O27" s="21"/>
      <c r="P27" s="21"/>
      <c r="Q27" s="21"/>
      <c r="R27" s="21"/>
    </row>
    <row r="28" spans="1:18" ht="15.75" customHeight="1">
      <c r="A28" s="28">
        <v>1</v>
      </c>
      <c r="B28" s="29" t="s">
        <v>5267</v>
      </c>
      <c r="C28" s="30"/>
      <c r="D28" s="31" t="s">
        <v>5268</v>
      </c>
      <c r="E28" s="30" t="s">
        <v>5271</v>
      </c>
      <c r="F28" s="28"/>
      <c r="G28" s="30" t="s">
        <v>5272</v>
      </c>
      <c r="H28" s="30" t="s">
        <v>63</v>
      </c>
      <c r="I28" s="30" t="s">
        <v>64</v>
      </c>
      <c r="J28" s="28" t="s">
        <v>134</v>
      </c>
      <c r="K28" s="28" t="s">
        <v>67</v>
      </c>
      <c r="L28" s="30" t="s">
        <v>5260</v>
      </c>
      <c r="M28" s="28">
        <v>6</v>
      </c>
      <c r="N28" s="44" t="s">
        <v>69</v>
      </c>
      <c r="O28" s="21"/>
      <c r="P28" s="21"/>
      <c r="Q28" s="21"/>
      <c r="R28" s="21"/>
    </row>
    <row r="29" spans="1:18" ht="15.75" customHeight="1">
      <c r="A29" s="28">
        <v>1</v>
      </c>
      <c r="B29" s="29" t="s">
        <v>5383</v>
      </c>
      <c r="C29" s="30" t="s">
        <v>5384</v>
      </c>
      <c r="D29" s="31" t="s">
        <v>5385</v>
      </c>
      <c r="E29" s="30" t="s">
        <v>5388</v>
      </c>
      <c r="F29" s="28"/>
      <c r="G29" s="30" t="s">
        <v>5389</v>
      </c>
      <c r="H29" s="30" t="s">
        <v>63</v>
      </c>
      <c r="I29" s="30" t="s">
        <v>64</v>
      </c>
      <c r="J29" s="28" t="s">
        <v>66</v>
      </c>
      <c r="K29" s="28" t="s">
        <v>67</v>
      </c>
      <c r="L29" s="30" t="s">
        <v>5382</v>
      </c>
      <c r="M29" s="28">
        <v>6</v>
      </c>
      <c r="N29" s="44" t="s">
        <v>325</v>
      </c>
      <c r="O29" s="21"/>
      <c r="P29" s="21"/>
      <c r="Q29" s="21"/>
      <c r="R29" s="21"/>
    </row>
    <row r="30" spans="1:18" ht="15.75" customHeight="1">
      <c r="A30" s="28">
        <v>1</v>
      </c>
      <c r="B30" s="29" t="s">
        <v>5549</v>
      </c>
      <c r="C30" s="30" t="s">
        <v>5550</v>
      </c>
      <c r="D30" s="31" t="s">
        <v>5551</v>
      </c>
      <c r="E30" s="30" t="s">
        <v>5555</v>
      </c>
      <c r="F30" s="28" t="s">
        <v>5556</v>
      </c>
      <c r="G30" s="30" t="s">
        <v>5557</v>
      </c>
      <c r="H30" s="30" t="s">
        <v>63</v>
      </c>
      <c r="I30" s="30" t="s">
        <v>64</v>
      </c>
      <c r="J30" s="28" t="s">
        <v>66</v>
      </c>
      <c r="K30" s="28" t="s">
        <v>67</v>
      </c>
      <c r="L30" s="30" t="s">
        <v>5559</v>
      </c>
      <c r="M30" s="28">
        <v>6</v>
      </c>
      <c r="N30" s="44" t="s">
        <v>69</v>
      </c>
      <c r="O30" s="21"/>
      <c r="P30" s="21"/>
      <c r="Q30" s="21"/>
      <c r="R30" s="21"/>
    </row>
    <row r="31" spans="1:18" ht="15.75" customHeight="1">
      <c r="A31" s="28">
        <v>1</v>
      </c>
      <c r="B31" s="29" t="s">
        <v>5624</v>
      </c>
      <c r="C31" s="30" t="s">
        <v>5625</v>
      </c>
      <c r="D31" s="31" t="s">
        <v>5626</v>
      </c>
      <c r="E31" s="30" t="s">
        <v>5629</v>
      </c>
      <c r="F31" s="28" t="s">
        <v>5630</v>
      </c>
      <c r="G31" s="30" t="s">
        <v>5631</v>
      </c>
      <c r="H31" s="30" t="s">
        <v>63</v>
      </c>
      <c r="I31" s="30" t="s">
        <v>64</v>
      </c>
      <c r="J31" s="28" t="s">
        <v>134</v>
      </c>
      <c r="K31" s="28" t="s">
        <v>67</v>
      </c>
      <c r="L31" s="30" t="s">
        <v>5604</v>
      </c>
      <c r="M31" s="28">
        <v>9</v>
      </c>
      <c r="N31" s="44" t="s">
        <v>69</v>
      </c>
      <c r="O31" s="21"/>
      <c r="P31" s="21"/>
      <c r="Q31" s="21"/>
      <c r="R31" s="21"/>
    </row>
    <row r="32" spans="1:18" ht="15.75" customHeight="1">
      <c r="A32" s="28">
        <v>1</v>
      </c>
      <c r="B32" s="29" t="s">
        <v>6017</v>
      </c>
      <c r="C32" s="30"/>
      <c r="D32" s="31" t="s">
        <v>6018</v>
      </c>
      <c r="E32" s="30" t="s">
        <v>6022</v>
      </c>
      <c r="F32" s="28" t="s">
        <v>6023</v>
      </c>
      <c r="G32" s="30" t="s">
        <v>6024</v>
      </c>
      <c r="H32" s="30" t="s">
        <v>63</v>
      </c>
      <c r="I32" s="30" t="s">
        <v>204</v>
      </c>
      <c r="J32" s="28" t="s">
        <v>66</v>
      </c>
      <c r="K32" s="28" t="s">
        <v>67</v>
      </c>
      <c r="L32" s="30" t="s">
        <v>5856</v>
      </c>
      <c r="M32" s="28">
        <v>5</v>
      </c>
      <c r="N32" s="44" t="s">
        <v>69</v>
      </c>
      <c r="O32" s="21"/>
      <c r="P32" s="21"/>
      <c r="Q32" s="21"/>
      <c r="R32" s="21"/>
    </row>
    <row r="33" spans="1:18" ht="15.75" customHeight="1">
      <c r="A33" s="28">
        <v>1</v>
      </c>
      <c r="B33" s="29" t="s">
        <v>6119</v>
      </c>
      <c r="C33" s="30"/>
      <c r="D33" s="31" t="s">
        <v>6120</v>
      </c>
      <c r="E33" s="30" t="s">
        <v>6122</v>
      </c>
      <c r="F33" s="28"/>
      <c r="G33" s="30" t="s">
        <v>6123</v>
      </c>
      <c r="H33" s="30" t="s">
        <v>63</v>
      </c>
      <c r="I33" s="30" t="s">
        <v>64</v>
      </c>
      <c r="J33" s="28" t="s">
        <v>134</v>
      </c>
      <c r="K33" s="28" t="s">
        <v>67</v>
      </c>
      <c r="L33" s="30" t="s">
        <v>6118</v>
      </c>
      <c r="M33" s="28">
        <v>5</v>
      </c>
      <c r="N33" s="44" t="s">
        <v>69</v>
      </c>
      <c r="O33" s="21"/>
      <c r="P33" s="21"/>
      <c r="Q33" s="21"/>
      <c r="R33" s="21"/>
    </row>
    <row r="34" spans="1:18" ht="15.75" customHeight="1">
      <c r="A34" s="28">
        <v>1</v>
      </c>
      <c r="B34" s="29" t="s">
        <v>6223</v>
      </c>
      <c r="C34" s="30" t="s">
        <v>6224</v>
      </c>
      <c r="D34" s="31" t="s">
        <v>6225</v>
      </c>
      <c r="E34" s="30" t="s">
        <v>6230</v>
      </c>
      <c r="F34" s="28"/>
      <c r="G34" s="30" t="s">
        <v>6231</v>
      </c>
      <c r="H34" s="30" t="s">
        <v>63</v>
      </c>
      <c r="I34" s="30" t="s">
        <v>64</v>
      </c>
      <c r="J34" s="28" t="s">
        <v>134</v>
      </c>
      <c r="K34" s="28" t="s">
        <v>67</v>
      </c>
      <c r="L34" s="30" t="s">
        <v>6232</v>
      </c>
      <c r="M34" s="28">
        <v>8</v>
      </c>
      <c r="N34" s="44" t="s">
        <v>6687</v>
      </c>
      <c r="O34" s="21"/>
      <c r="P34" s="21"/>
      <c r="Q34" s="21"/>
      <c r="R34" s="21"/>
    </row>
    <row r="35" spans="1:18" ht="15.75" customHeight="1">
      <c r="A35" s="28">
        <v>1</v>
      </c>
      <c r="B35" s="29" t="s">
        <v>6373</v>
      </c>
      <c r="C35" s="30"/>
      <c r="D35" s="31" t="s">
        <v>6374</v>
      </c>
      <c r="E35" s="30" t="s">
        <v>6377</v>
      </c>
      <c r="F35" s="28" t="s">
        <v>6378</v>
      </c>
      <c r="G35" s="30" t="s">
        <v>6379</v>
      </c>
      <c r="H35" s="30" t="s">
        <v>63</v>
      </c>
      <c r="I35" s="30" t="s">
        <v>64</v>
      </c>
      <c r="J35" s="28" t="s">
        <v>66</v>
      </c>
      <c r="K35" s="28" t="s">
        <v>67</v>
      </c>
      <c r="L35" s="30" t="s">
        <v>6381</v>
      </c>
      <c r="M35" s="28">
        <v>5</v>
      </c>
      <c r="N35" s="44" t="s">
        <v>325</v>
      </c>
      <c r="O35" s="21"/>
      <c r="P35" s="21"/>
      <c r="Q35" s="21"/>
      <c r="R35" s="21"/>
    </row>
    <row r="36" spans="1:18" ht="15.75" customHeight="1">
      <c r="A36" s="28">
        <v>1</v>
      </c>
      <c r="B36" s="29" t="s">
        <v>6440</v>
      </c>
      <c r="C36" s="30" t="s">
        <v>6441</v>
      </c>
      <c r="D36" s="31" t="s">
        <v>6442</v>
      </c>
      <c r="E36" s="30" t="s">
        <v>6446</v>
      </c>
      <c r="F36" s="28" t="s">
        <v>6447</v>
      </c>
      <c r="G36" s="30" t="s">
        <v>6448</v>
      </c>
      <c r="H36" s="30" t="s">
        <v>63</v>
      </c>
      <c r="I36" s="30" t="s">
        <v>80</v>
      </c>
      <c r="J36" s="28" t="s">
        <v>246</v>
      </c>
      <c r="K36" s="28" t="s">
        <v>67</v>
      </c>
      <c r="L36" s="30" t="s">
        <v>6449</v>
      </c>
      <c r="M36" s="28">
        <v>4</v>
      </c>
      <c r="N36" s="44" t="s">
        <v>325</v>
      </c>
      <c r="O36" s="21"/>
      <c r="P36" s="21"/>
      <c r="Q36" s="21"/>
      <c r="R36" s="21"/>
    </row>
    <row r="37" spans="1:18" ht="15.75" customHeight="1">
      <c r="A37" s="28">
        <v>1</v>
      </c>
      <c r="B37" s="29" t="s">
        <v>6476</v>
      </c>
      <c r="C37" s="30" t="s">
        <v>6477</v>
      </c>
      <c r="D37" s="31" t="s">
        <v>6478</v>
      </c>
      <c r="E37" s="30" t="s">
        <v>6481</v>
      </c>
      <c r="F37" s="28"/>
      <c r="G37" s="30" t="s">
        <v>6482</v>
      </c>
      <c r="H37" s="30" t="s">
        <v>63</v>
      </c>
      <c r="I37" s="30" t="s">
        <v>64</v>
      </c>
      <c r="J37" s="28" t="s">
        <v>134</v>
      </c>
      <c r="K37" s="28" t="s">
        <v>67</v>
      </c>
      <c r="L37" s="30" t="s">
        <v>6449</v>
      </c>
      <c r="M37" s="28">
        <v>8</v>
      </c>
      <c r="N37" s="44" t="s">
        <v>325</v>
      </c>
      <c r="O37" s="21"/>
      <c r="P37" s="21"/>
      <c r="Q37" s="21"/>
      <c r="R37" s="21"/>
    </row>
    <row r="38" spans="1:18" ht="15.75" customHeight="1">
      <c r="A38" s="28">
        <v>1</v>
      </c>
      <c r="B38" s="29" t="s">
        <v>6595</v>
      </c>
      <c r="C38" s="30" t="s">
        <v>6596</v>
      </c>
      <c r="D38" s="31" t="s">
        <v>6597</v>
      </c>
      <c r="E38" s="30" t="s">
        <v>6601</v>
      </c>
      <c r="F38" s="28"/>
      <c r="G38" s="30" t="s">
        <v>6602</v>
      </c>
      <c r="H38" s="30" t="s">
        <v>63</v>
      </c>
      <c r="I38" s="30" t="s">
        <v>204</v>
      </c>
      <c r="J38" s="28" t="s">
        <v>134</v>
      </c>
      <c r="K38" s="28" t="s">
        <v>67</v>
      </c>
      <c r="L38" s="30" t="s">
        <v>6449</v>
      </c>
      <c r="M38" s="28">
        <v>6</v>
      </c>
      <c r="N38" s="44" t="s">
        <v>69</v>
      </c>
      <c r="O38" s="21"/>
      <c r="P38" s="21"/>
      <c r="Q38" s="21"/>
      <c r="R38" s="21"/>
    </row>
    <row r="39" spans="1:18" ht="15.75" customHeight="1">
      <c r="A39" s="28">
        <v>1</v>
      </c>
      <c r="B39" s="29" t="s">
        <v>6661</v>
      </c>
      <c r="C39" s="30" t="s">
        <v>6662</v>
      </c>
      <c r="D39" s="31" t="s">
        <v>6663</v>
      </c>
      <c r="E39" s="30" t="s">
        <v>6666</v>
      </c>
      <c r="F39" s="28" t="s">
        <v>6667</v>
      </c>
      <c r="G39" s="30" t="s">
        <v>6668</v>
      </c>
      <c r="H39" s="30" t="s">
        <v>63</v>
      </c>
      <c r="I39" s="30" t="s">
        <v>1005</v>
      </c>
      <c r="J39" s="28" t="s">
        <v>134</v>
      </c>
      <c r="K39" s="28" t="s">
        <v>67</v>
      </c>
      <c r="L39" s="30" t="s">
        <v>6449</v>
      </c>
      <c r="M39" s="28">
        <v>5</v>
      </c>
      <c r="N39" s="44" t="s">
        <v>69</v>
      </c>
      <c r="O39" s="21"/>
      <c r="P39" s="21"/>
      <c r="Q39" s="21"/>
      <c r="R39" s="21"/>
    </row>
  </sheetData>
  <mergeCells count="3">
    <mergeCell ref="A1:M1"/>
    <mergeCell ref="A2:M2"/>
    <mergeCell ref="A3:M3"/>
  </mergeCells>
  <conditionalFormatting sqref="A5:R39">
    <cfRule type="expression" dxfId="1799" priority="2">
      <formula>$AM$6:$AM$20804="REMANEJADO"</formula>
    </cfRule>
  </conditionalFormatting>
  <conditionalFormatting sqref="A5:R39">
    <cfRule type="expression" dxfId="1798" priority="3">
      <formula>$N$5:$N$19999="CONTRATADO"</formula>
    </cfRule>
  </conditionalFormatting>
  <conditionalFormatting sqref="A5:R39">
    <cfRule type="expression" dxfId="1797" priority="4">
      <formula>$N$5:$N$19999="DESCLASSIFICADO"</formula>
    </cfRule>
  </conditionalFormatting>
  <conditionalFormatting sqref="A5:R39">
    <cfRule type="expression" dxfId="1796" priority="5">
      <formula>$N$5:$N$19999="REMANEJADO"</formula>
    </cfRule>
  </conditionalFormatting>
  <conditionalFormatting sqref="A5:R39">
    <cfRule type="expression" dxfId="1795" priority="6">
      <formula>$N$5:$N$19999="1ª CONVOCAÇÃO"</formula>
    </cfRule>
  </conditionalFormatting>
  <conditionalFormatting sqref="A5:R39">
    <cfRule type="expression" dxfId="1794" priority="7">
      <formula>$N$5:$N$19999="2ª CONVOCAÇÃO"</formula>
    </cfRule>
  </conditionalFormatting>
  <conditionalFormatting sqref="A5:R39">
    <cfRule type="expression" dxfId="1793" priority="8">
      <formula>$N$5:$N$19999="NÃO ATENDE/AGUARDANDO RETORNO"</formula>
    </cfRule>
  </conditionalFormatting>
  <conditionalFormatting sqref="A5:R39">
    <cfRule type="expression" dxfId="1792" priority="9">
      <formula>$N$5:$N$19999="CONTRATADO"</formula>
    </cfRule>
  </conditionalFormatting>
  <conditionalFormatting sqref="A5:R39">
    <cfRule type="expression" dxfId="1791" priority="10">
      <formula>$AM$6:$AM$19999="DESCLASSIFICADO"</formula>
    </cfRule>
  </conditionalFormatting>
  <conditionalFormatting sqref="A5:R39">
    <cfRule type="expression" dxfId="1790" priority="11">
      <formula>$AM$6:$AM$19999="REMANEJADO"</formula>
    </cfRule>
  </conditionalFormatting>
  <conditionalFormatting sqref="A5:R39">
    <cfRule type="expression" dxfId="1789" priority="12">
      <formula>$AM$6:$AM$19999="1ª CONVOCAÇÃO"</formula>
    </cfRule>
  </conditionalFormatting>
  <conditionalFormatting sqref="A5:R39">
    <cfRule type="expression" dxfId="1788" priority="13">
      <formula>$AM$6:$AM$19999="2ª CONVOCAÇÃO"</formula>
    </cfRule>
  </conditionalFormatting>
  <conditionalFormatting sqref="A5:R39">
    <cfRule type="expression" dxfId="1787" priority="14">
      <formula>$AM$6:$AM$19999="NÃO ATENDE/AGUARDANDO RETORNO"</formula>
    </cfRule>
  </conditionalFormatting>
  <conditionalFormatting sqref="A5:R39">
    <cfRule type="expression" dxfId="1786" priority="15">
      <formula>$AM$6:$AM$20804="CONTRATADO"</formula>
    </cfRule>
  </conditionalFormatting>
  <conditionalFormatting sqref="A5:R39">
    <cfRule type="expression" dxfId="1785" priority="16">
      <formula>$AM$6:$AM$20804="DESCLASSIFICADO"</formula>
    </cfRule>
  </conditionalFormatting>
  <conditionalFormatting sqref="A5:R39">
    <cfRule type="expression" dxfId="1784" priority="17">
      <formula>$N$5:$N$20804="REMANEJADO"</formula>
    </cfRule>
  </conditionalFormatting>
  <conditionalFormatting sqref="A5:R39">
    <cfRule type="expression" dxfId="1783" priority="18">
      <formula>$AM$6:$AM$20804="1ª CONVOCAÇÃO"</formula>
    </cfRule>
  </conditionalFormatting>
  <conditionalFormatting sqref="A5:R39">
    <cfRule type="expression" dxfId="1782" priority="19">
      <formula>$N$5:$N$20804="2ª CONVOCAÇÃO"</formula>
    </cfRule>
  </conditionalFormatting>
  <conditionalFormatting sqref="A5:R39">
    <cfRule type="expression" dxfId="1781" priority="20">
      <formula>$N$5:$N$20804="NÃO ATENDE/AGUARDANDO RETORNO"</formula>
    </cfRule>
  </conditionalFormatting>
  <conditionalFormatting sqref="A5:R39">
    <cfRule type="expression" dxfId="1780" priority="21">
      <formula>$N$6:$N$20804="CONTRATADO"</formula>
    </cfRule>
  </conditionalFormatting>
  <conditionalFormatting sqref="A1:R39">
    <cfRule type="expression" dxfId="1779" priority="22">
      <formula>$N$5:$N$19195="CONTRATADO"</formula>
    </cfRule>
  </conditionalFormatting>
  <conditionalFormatting sqref="A1:R39">
    <cfRule type="expression" dxfId="1778" priority="23">
      <formula>$N$5:$N$19195="DESCLASSIFICADO"</formula>
    </cfRule>
  </conditionalFormatting>
  <conditionalFormatting sqref="A1:R39">
    <cfRule type="expression" dxfId="1777" priority="24">
      <formula>$N$5:$N$19195="REMANEJADO"</formula>
    </cfRule>
  </conditionalFormatting>
  <conditionalFormatting sqref="A1:R39">
    <cfRule type="expression" dxfId="1776" priority="25">
      <formula>$N$5:$N$19195="1ª CONVOCAÇÃO"</formula>
    </cfRule>
  </conditionalFormatting>
  <conditionalFormatting sqref="N1:N39">
    <cfRule type="expression" dxfId="1775" priority="26">
      <formula>$N$5:$N$19195="2ª CONVOCAÇÃO"</formula>
    </cfRule>
  </conditionalFormatting>
  <conditionalFormatting sqref="N1:N39">
    <cfRule type="expression" dxfId="1774" priority="27">
      <formula>$N$5:$N$19195="NÃO ATENDE/AGUARDANDO RETORNO"</formula>
    </cfRule>
  </conditionalFormatting>
  <conditionalFormatting sqref="N1:N39">
    <cfRule type="expression" dxfId="1773" priority="28">
      <formula>$N$5:$N$19195="CONTRATADO"</formula>
    </cfRule>
  </conditionalFormatting>
  <conditionalFormatting sqref="N1:N39">
    <cfRule type="expression" dxfId="1772" priority="29">
      <formula>$AM$6:$AM$19195="DESCLASSIFICADO"</formula>
    </cfRule>
  </conditionalFormatting>
  <conditionalFormatting sqref="N1:N39">
    <cfRule type="expression" dxfId="1771" priority="30">
      <formula>$AM$6:$AM$19195="REMANEJADO"</formula>
    </cfRule>
  </conditionalFormatting>
  <conditionalFormatting sqref="N1:N39">
    <cfRule type="expression" dxfId="1770" priority="31">
      <formula>$AM$6:$AM$19195="1ª CONVOCAÇÃO"</formula>
    </cfRule>
  </conditionalFormatting>
  <conditionalFormatting sqref="N1:N39">
    <cfRule type="expression" dxfId="1769" priority="32">
      <formula>$AM$6:$AM$19195="2ª CONVOCAÇÃO"</formula>
    </cfRule>
  </conditionalFormatting>
  <conditionalFormatting sqref="N1:N39">
    <cfRule type="expression" dxfId="1768" priority="33">
      <formula>$AM$6:$AM$19195="NÃO ATENDE/AGUARDANDO RETORNO"</formula>
    </cfRule>
  </conditionalFormatting>
  <conditionalFormatting sqref="A1:R39">
    <cfRule type="expression" dxfId="1767" priority="34">
      <formula>$AM$6:$AM$20000="CONTRATADO"</formula>
    </cfRule>
  </conditionalFormatting>
  <conditionalFormatting sqref="N4:N39">
    <cfRule type="expression" dxfId="1766" priority="35">
      <formula>$AM$6:$AM$20000="DESCLASSIFICADO"</formula>
    </cfRule>
  </conditionalFormatting>
  <conditionalFormatting sqref="N4:N39">
    <cfRule type="expression" dxfId="1765" priority="36">
      <formula>$AM$6:$AM$20000="REMANEJADO"</formula>
    </cfRule>
  </conditionalFormatting>
  <conditionalFormatting sqref="N4:N39">
    <cfRule type="expression" dxfId="1764" priority="37">
      <formula>$AM$6:$AM$20000="1ª CONVOCAÇÃO"</formula>
    </cfRule>
  </conditionalFormatting>
  <conditionalFormatting sqref="A1:R39">
    <cfRule type="expression" dxfId="1763" priority="38">
      <formula>$N$5:$N$20000="2ª CONVOCAÇÃO"</formula>
    </cfRule>
  </conditionalFormatting>
  <conditionalFormatting sqref="A1:R39">
    <cfRule type="expression" dxfId="1762" priority="39">
      <formula>$N$5:$N$20000="NÃO ATENDE/AGUARDANDO RETORNO"</formula>
    </cfRule>
  </conditionalFormatting>
  <conditionalFormatting sqref="N4:N39 O5:R5">
    <cfRule type="expression" dxfId="1761" priority="40">
      <formula>#REF!="NÃO ATENDE/AGUARDANDO RETORNO"</formula>
    </cfRule>
  </conditionalFormatting>
  <conditionalFormatting sqref="A1:R39">
    <cfRule type="expression" dxfId="1760" priority="41">
      <formula>$N$6:$N$20000="CONTRATADO"</formula>
    </cfRule>
  </conditionalFormatting>
  <dataValidations count="1">
    <dataValidation type="list" allowBlank="1" showErrorMessage="1" sqref="N5:N39">
      <formula1>"DISPONÍVEL,CONTRATADO,DESCLASSIFICADO,NÃO ATENDE/AGUARDANDO RETORNO,REMANEJADO,1ª CONVOCAÇÃO,2ª CONVOCAÇÃO"</formula1>
      <formula2>0</formula2>
    </dataValidation>
  </dataValidations>
  <printOptions horizontalCentered="1" gridLines="1"/>
  <pageMargins left="0.7" right="0.7" top="0.75" bottom="0.75" header="0.511811023622047" footer="0.511811023622047"/>
  <pageSetup paperSize="9" fitToHeight="0" pageOrder="overThenDown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6.42578125" bestFit="1" customWidth="1"/>
    <col min="3" max="3" width="8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8.2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1364</v>
      </c>
      <c r="C5" s="30" t="s">
        <v>64</v>
      </c>
      <c r="D5" s="30" t="s">
        <v>1371</v>
      </c>
      <c r="E5" s="21" t="s">
        <v>69</v>
      </c>
    </row>
  </sheetData>
  <mergeCells count="1">
    <mergeCell ref="A1:E3"/>
  </mergeCells>
  <conditionalFormatting sqref="A1:E5">
    <cfRule type="expression" dxfId="1252" priority="7116">
      <formula>$E$5:$E$20001="CONTRATADO"</formula>
    </cfRule>
  </conditionalFormatting>
  <conditionalFormatting sqref="A1:E5">
    <cfRule type="expression" dxfId="1251" priority="7118">
      <formula>$E$5:$E$20001="DESCLASSIFICADO"</formula>
    </cfRule>
  </conditionalFormatting>
  <conditionalFormatting sqref="A1:E5">
    <cfRule type="expression" dxfId="1250" priority="7120">
      <formula>$E$5:$E$20001="REMANEJADO"</formula>
    </cfRule>
  </conditionalFormatting>
  <conditionalFormatting sqref="A1:E5">
    <cfRule type="expression" dxfId="1249" priority="7122">
      <formula>$E$5:$E$20001="1ª CONVOCAÇÃO"</formula>
    </cfRule>
  </conditionalFormatting>
  <conditionalFormatting sqref="A1:E5">
    <cfRule type="expression" dxfId="1248" priority="7124">
      <formula>$E$5:$E$20001="2ª CONVOCAÇÃO"</formula>
    </cfRule>
  </conditionalFormatting>
  <conditionalFormatting sqref="A1:E5">
    <cfRule type="expression" dxfId="1247" priority="7126">
      <formula>$E$5:$E$20001="NÃO ATENDE/AGUARDANDO RETORNO"</formula>
    </cfRule>
  </conditionalFormatting>
  <conditionalFormatting sqref="A1:E5">
    <cfRule type="expression" dxfId="1246" priority="7142">
      <formula>$E$5:$E$20806="REMANEJADO"</formula>
    </cfRule>
  </conditionalFormatting>
  <conditionalFormatting sqref="A1:E5">
    <cfRule type="expression" dxfId="1245" priority="7146">
      <formula>$E$5:$E$20806="2ª CONVOCAÇÃO"</formula>
    </cfRule>
  </conditionalFormatting>
  <conditionalFormatting sqref="A1:E5">
    <cfRule type="expression" dxfId="1244" priority="7148">
      <formula>$E$5:$E$20806="NÃO ATENDE/AGUARDANDO RETORNO"</formula>
    </cfRule>
  </conditionalFormatting>
  <conditionalFormatting sqref="A1:E5">
    <cfRule type="expression" dxfId="1243" priority="7150">
      <formula>$E$6:$E$20806="CONTRATADO"</formula>
    </cfRule>
  </conditionalFormatting>
  <conditionalFormatting sqref="A1:E5">
    <cfRule type="expression" dxfId="1242" priority="7239">
      <formula>$Z$6:$Z$20806="REMANEJADO"</formula>
    </cfRule>
  </conditionalFormatting>
  <conditionalFormatting sqref="A1:E5">
    <cfRule type="expression" dxfId="1241" priority="7241">
      <formula>$Z$6:$Z$20001="DESCLASSIFICADO"</formula>
    </cfRule>
  </conditionalFormatting>
  <conditionalFormatting sqref="A1:E5">
    <cfRule type="expression" dxfId="1240" priority="7243">
      <formula>$Z$6:$Z$20001="REMANEJADO"</formula>
    </cfRule>
  </conditionalFormatting>
  <conditionalFormatting sqref="A1:E5">
    <cfRule type="expression" dxfId="1239" priority="7245">
      <formula>$Z$6:$Z$20001="1ª CONVOCAÇÃO"</formula>
    </cfRule>
  </conditionalFormatting>
  <conditionalFormatting sqref="A1:E5">
    <cfRule type="expression" dxfId="1238" priority="7247">
      <formula>$Z$6:$Z$20001="2ª CONVOCAÇÃO"</formula>
    </cfRule>
  </conditionalFormatting>
  <conditionalFormatting sqref="A1:E5">
    <cfRule type="expression" dxfId="1237" priority="7249">
      <formula>$Z$6:$Z$20001="NÃO ATENDE/AGUARDANDO RETORNO"</formula>
    </cfRule>
  </conditionalFormatting>
  <conditionalFormatting sqref="A1:E5">
    <cfRule type="expression" dxfId="1236" priority="7251">
      <formula>$Z$6:$Z$20806="CONTRATADO"</formula>
    </cfRule>
  </conditionalFormatting>
  <conditionalFormatting sqref="A1:E5">
    <cfRule type="expression" dxfId="1235" priority="7253">
      <formula>$Z$6:$Z$20806="DESCLASSIFICADO"</formula>
    </cfRule>
  </conditionalFormatting>
  <conditionalFormatting sqref="A1:E5">
    <cfRule type="expression" dxfId="1234" priority="7255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sqref="A1:E3"/>
    </sheetView>
  </sheetViews>
  <sheetFormatPr defaultColWidth="14.42578125" defaultRowHeight="15"/>
  <cols>
    <col min="1" max="1" width="16" customWidth="1"/>
    <col min="2" max="2" width="36.85546875" style="48" bestFit="1" customWidth="1"/>
    <col min="3" max="3" width="15.140625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1372</v>
      </c>
      <c r="C5" s="45" t="s">
        <v>64</v>
      </c>
      <c r="D5" s="45" t="s">
        <v>1383</v>
      </c>
      <c r="E5" s="45" t="s">
        <v>325</v>
      </c>
    </row>
    <row r="6" spans="1:5" ht="15.75" customHeight="1">
      <c r="A6" s="45">
        <v>2</v>
      </c>
      <c r="B6" s="51" t="s">
        <v>1384</v>
      </c>
      <c r="C6" s="45" t="s">
        <v>64</v>
      </c>
      <c r="D6" s="45" t="s">
        <v>1383</v>
      </c>
      <c r="E6" s="45" t="s">
        <v>69</v>
      </c>
    </row>
    <row r="7" spans="1:5" ht="15.75" customHeight="1">
      <c r="A7" s="45">
        <v>3</v>
      </c>
      <c r="B7" s="51" t="s">
        <v>1392</v>
      </c>
      <c r="C7" s="45" t="s">
        <v>64</v>
      </c>
      <c r="D7" s="45" t="s">
        <v>1383</v>
      </c>
      <c r="E7" s="45" t="s">
        <v>69</v>
      </c>
    </row>
    <row r="8" spans="1:5" ht="15.75" customHeight="1">
      <c r="A8" s="45">
        <v>4</v>
      </c>
      <c r="B8" s="51" t="s">
        <v>1400</v>
      </c>
      <c r="C8" s="45" t="s">
        <v>64</v>
      </c>
      <c r="D8" s="45" t="s">
        <v>1383</v>
      </c>
      <c r="E8" s="45" t="s">
        <v>325</v>
      </c>
    </row>
    <row r="9" spans="1:5" ht="15.75" customHeight="1">
      <c r="A9" s="45">
        <v>5</v>
      </c>
      <c r="B9" s="51" t="s">
        <v>1407</v>
      </c>
      <c r="C9" s="45" t="s">
        <v>64</v>
      </c>
      <c r="D9" s="45" t="s">
        <v>1383</v>
      </c>
      <c r="E9" s="45" t="s">
        <v>325</v>
      </c>
    </row>
    <row r="10" spans="1:5" ht="15.75" customHeight="1">
      <c r="A10" s="45">
        <v>6</v>
      </c>
      <c r="B10" s="51" t="s">
        <v>1417</v>
      </c>
      <c r="C10" s="45" t="s">
        <v>64</v>
      </c>
      <c r="D10" s="45" t="s">
        <v>1383</v>
      </c>
      <c r="E10" s="45" t="s">
        <v>69</v>
      </c>
    </row>
    <row r="11" spans="1:5" ht="15.75" customHeight="1">
      <c r="A11" s="45">
        <v>7</v>
      </c>
      <c r="B11" s="51" t="s">
        <v>1426</v>
      </c>
      <c r="C11" s="45" t="s">
        <v>64</v>
      </c>
      <c r="D11" s="45" t="s">
        <v>1383</v>
      </c>
      <c r="E11" s="45" t="s">
        <v>6687</v>
      </c>
    </row>
    <row r="12" spans="1:5" ht="15.75" customHeight="1">
      <c r="A12" s="45">
        <v>8</v>
      </c>
      <c r="B12" s="51" t="s">
        <v>1435</v>
      </c>
      <c r="C12" s="45" t="s">
        <v>64</v>
      </c>
      <c r="D12" s="45" t="s">
        <v>1383</v>
      </c>
      <c r="E12" s="45" t="s">
        <v>325</v>
      </c>
    </row>
    <row r="13" spans="1:5" ht="15.75" customHeight="1">
      <c r="A13" s="45">
        <v>9</v>
      </c>
      <c r="B13" s="51" t="s">
        <v>1444</v>
      </c>
      <c r="C13" s="45" t="s">
        <v>64</v>
      </c>
      <c r="D13" s="45" t="s">
        <v>1383</v>
      </c>
      <c r="E13" s="45" t="s">
        <v>69</v>
      </c>
    </row>
    <row r="14" spans="1:5" ht="15.75" customHeight="1">
      <c r="A14" s="45">
        <v>10</v>
      </c>
      <c r="B14" s="51" t="s">
        <v>1452</v>
      </c>
      <c r="C14" s="45" t="s">
        <v>64</v>
      </c>
      <c r="D14" s="45" t="s">
        <v>1383</v>
      </c>
      <c r="E14" s="45" t="s">
        <v>69</v>
      </c>
    </row>
    <row r="15" spans="1:5" ht="15.75" customHeight="1">
      <c r="A15" s="45">
        <v>11</v>
      </c>
      <c r="B15" s="51" t="s">
        <v>1459</v>
      </c>
      <c r="C15" s="45" t="s">
        <v>64</v>
      </c>
      <c r="D15" s="45" t="s">
        <v>1383</v>
      </c>
      <c r="E15" s="45" t="s">
        <v>69</v>
      </c>
    </row>
    <row r="16" spans="1:5" ht="15.75" customHeight="1">
      <c r="A16" s="45">
        <v>12</v>
      </c>
      <c r="B16" s="51" t="s">
        <v>1466</v>
      </c>
      <c r="C16" s="45" t="s">
        <v>64</v>
      </c>
      <c r="D16" s="45" t="s">
        <v>1383</v>
      </c>
      <c r="E16" s="45" t="s">
        <v>69</v>
      </c>
    </row>
    <row r="17" spans="1:5" ht="15.75" customHeight="1">
      <c r="A17" s="45">
        <v>13</v>
      </c>
      <c r="B17" s="51" t="s">
        <v>1475</v>
      </c>
      <c r="C17" s="45" t="s">
        <v>64</v>
      </c>
      <c r="D17" s="45" t="s">
        <v>1383</v>
      </c>
      <c r="E17" s="45" t="s">
        <v>69</v>
      </c>
    </row>
  </sheetData>
  <mergeCells count="1">
    <mergeCell ref="A1:E3"/>
  </mergeCells>
  <conditionalFormatting sqref="A1:E4">
    <cfRule type="expression" dxfId="1233" priority="7446">
      <formula>$E$5:$E$20001="CONTRATADO"</formula>
    </cfRule>
  </conditionalFormatting>
  <conditionalFormatting sqref="A1:E4">
    <cfRule type="expression" dxfId="1232" priority="7448">
      <formula>$E$5:$E$20001="DESCLASSIFICADO"</formula>
    </cfRule>
  </conditionalFormatting>
  <conditionalFormatting sqref="A1:E4">
    <cfRule type="expression" dxfId="1231" priority="7450">
      <formula>$E$5:$E$20001="REMANEJADO"</formula>
    </cfRule>
  </conditionalFormatting>
  <conditionalFormatting sqref="A1:E4">
    <cfRule type="expression" dxfId="1230" priority="7452">
      <formula>$E$5:$E$20001="1ª CONVOCAÇÃO"</formula>
    </cfRule>
  </conditionalFormatting>
  <conditionalFormatting sqref="A1:E4">
    <cfRule type="expression" dxfId="1229" priority="7454">
      <formula>$E$5:$E$20001="2ª CONVOCAÇÃO"</formula>
    </cfRule>
  </conditionalFormatting>
  <conditionalFormatting sqref="A1:E4">
    <cfRule type="expression" dxfId="1228" priority="7456">
      <formula>$E$5:$E$20001="NÃO ATENDE/AGUARDANDO RETORNO"</formula>
    </cfRule>
  </conditionalFormatting>
  <conditionalFormatting sqref="A1:E4">
    <cfRule type="expression" dxfId="1227" priority="7458">
      <formula>$E$5:$E$20806="REMANEJADO"</formula>
    </cfRule>
  </conditionalFormatting>
  <conditionalFormatting sqref="A1:E4">
    <cfRule type="expression" dxfId="1226" priority="7460">
      <formula>$E$5:$E$20806="2ª CONVOCAÇÃO"</formula>
    </cfRule>
  </conditionalFormatting>
  <conditionalFormatting sqref="A1:E4">
    <cfRule type="expression" dxfId="1225" priority="7462">
      <formula>$E$5:$E$20806="NÃO ATENDE/AGUARDANDO RETORNO"</formula>
    </cfRule>
  </conditionalFormatting>
  <conditionalFormatting sqref="A1:E4">
    <cfRule type="expression" dxfId="1224" priority="7464">
      <formula>$E$6:$E$20806="CONTRATADO"</formula>
    </cfRule>
  </conditionalFormatting>
  <conditionalFormatting sqref="A1:E4">
    <cfRule type="expression" dxfId="1223" priority="7466">
      <formula>$Y$6:$Y$20806="REMANEJADO"</formula>
    </cfRule>
  </conditionalFormatting>
  <conditionalFormatting sqref="A1:E4">
    <cfRule type="expression" dxfId="1222" priority="7468">
      <formula>$Y$6:$Y$20001="DESCLASSIFICADO"</formula>
    </cfRule>
  </conditionalFormatting>
  <conditionalFormatting sqref="A1:E4">
    <cfRule type="expression" dxfId="1221" priority="7470">
      <formula>$Y$6:$Y$20001="REMANEJADO"</formula>
    </cfRule>
  </conditionalFormatting>
  <conditionalFormatting sqref="A1:E4">
    <cfRule type="expression" dxfId="1220" priority="7472">
      <formula>$Y$6:$Y$20001="1ª CONVOCAÇÃO"</formula>
    </cfRule>
  </conditionalFormatting>
  <conditionalFormatting sqref="A1:E4">
    <cfRule type="expression" dxfId="1219" priority="7474">
      <formula>$Y$6:$Y$20001="2ª CONVOCAÇÃO"</formula>
    </cfRule>
  </conditionalFormatting>
  <conditionalFormatting sqref="A1:E4">
    <cfRule type="expression" dxfId="1218" priority="7476">
      <formula>$Y$6:$Y$20001="NÃO ATENDE/AGUARDANDO RETORNO"</formula>
    </cfRule>
  </conditionalFormatting>
  <conditionalFormatting sqref="A1:E4">
    <cfRule type="expression" dxfId="1217" priority="7478">
      <formula>$Y$6:$Y$20806="CONTRATADO"</formula>
    </cfRule>
  </conditionalFormatting>
  <conditionalFormatting sqref="A1:E4">
    <cfRule type="expression" dxfId="1216" priority="7480">
      <formula>$Y$6:$Y$20806="DESCLASSIFICADO"</formula>
    </cfRule>
  </conditionalFormatting>
  <conditionalFormatting sqref="A1:E4">
    <cfRule type="expression" dxfId="1215" priority="7482">
      <formula>$Y$6:$Y$20806="1ª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D7" sqref="D7"/>
    </sheetView>
  </sheetViews>
  <sheetFormatPr defaultColWidth="14.42578125" defaultRowHeight="15"/>
  <cols>
    <col min="2" max="2" width="26" bestFit="1" customWidth="1"/>
    <col min="3" max="3" width="10.5703125" customWidth="1"/>
    <col min="4" max="4" width="16.8554687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9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1483</v>
      </c>
      <c r="C5" s="30" t="s">
        <v>64</v>
      </c>
      <c r="D5" s="30" t="s">
        <v>1492</v>
      </c>
      <c r="E5" s="21" t="s">
        <v>69</v>
      </c>
    </row>
  </sheetData>
  <mergeCells count="1">
    <mergeCell ref="A1:E3"/>
  </mergeCells>
  <conditionalFormatting sqref="A1:E5">
    <cfRule type="expression" dxfId="1214" priority="7849">
      <formula>$E$5:$E$20001="CONTRATADO"</formula>
    </cfRule>
  </conditionalFormatting>
  <conditionalFormatting sqref="A1:E5">
    <cfRule type="expression" dxfId="1213" priority="7851">
      <formula>$E$5:$E$20001="DESCLASSIFICADO"</formula>
    </cfRule>
  </conditionalFormatting>
  <conditionalFormatting sqref="A1:E5">
    <cfRule type="expression" dxfId="1212" priority="7853">
      <formula>$E$5:$E$20001="REMANEJADO"</formula>
    </cfRule>
  </conditionalFormatting>
  <conditionalFormatting sqref="A1:E5">
    <cfRule type="expression" dxfId="1211" priority="7855">
      <formula>$E$5:$E$20001="1ª CONVOCAÇÃO"</formula>
    </cfRule>
  </conditionalFormatting>
  <conditionalFormatting sqref="A1:E5">
    <cfRule type="expression" dxfId="1210" priority="7857">
      <formula>$E$5:$E$20001="2ª CONVOCAÇÃO"</formula>
    </cfRule>
  </conditionalFormatting>
  <conditionalFormatting sqref="A1:E5">
    <cfRule type="expression" dxfId="1209" priority="7859">
      <formula>$E$5:$E$20001="NÃO ATENDE/AGUARDANDO RETORNO"</formula>
    </cfRule>
  </conditionalFormatting>
  <conditionalFormatting sqref="A1:E5">
    <cfRule type="expression" dxfId="1208" priority="7861">
      <formula>$E$5:$E$20806="REMANEJADO"</formula>
    </cfRule>
  </conditionalFormatting>
  <conditionalFormatting sqref="A1:E5">
    <cfRule type="expression" dxfId="1207" priority="7863">
      <formula>$E$5:$E$20806="2ª CONVOCAÇÃO"</formula>
    </cfRule>
  </conditionalFormatting>
  <conditionalFormatting sqref="A1:E5">
    <cfRule type="expression" dxfId="1206" priority="7865">
      <formula>$E$5:$E$20806="NÃO ATENDE/AGUARDANDO RETORNO"</formula>
    </cfRule>
  </conditionalFormatting>
  <conditionalFormatting sqref="A1:E5">
    <cfRule type="expression" dxfId="1205" priority="7867">
      <formula>$E$6:$E$20806="CONTRATADO"</formula>
    </cfRule>
  </conditionalFormatting>
  <conditionalFormatting sqref="A1:E5">
    <cfRule type="expression" dxfId="1204" priority="7869">
      <formula>$Z$6:$Z$20806="REMANEJADO"</formula>
    </cfRule>
  </conditionalFormatting>
  <conditionalFormatting sqref="A1:E5">
    <cfRule type="expression" dxfId="1203" priority="7871">
      <formula>$Z$6:$Z$20001="DESCLASSIFICADO"</formula>
    </cfRule>
  </conditionalFormatting>
  <conditionalFormatting sqref="A1:E5">
    <cfRule type="expression" dxfId="1202" priority="7873">
      <formula>$Z$6:$Z$20001="REMANEJADO"</formula>
    </cfRule>
  </conditionalFormatting>
  <conditionalFormatting sqref="A1:E5">
    <cfRule type="expression" dxfId="1201" priority="7875">
      <formula>$Z$6:$Z$20001="1ª CONVOCAÇÃO"</formula>
    </cfRule>
  </conditionalFormatting>
  <conditionalFormatting sqref="A1:E5">
    <cfRule type="expression" dxfId="1200" priority="7877">
      <formula>$Z$6:$Z$20001="2ª CONVOCAÇÃO"</formula>
    </cfRule>
  </conditionalFormatting>
  <conditionalFormatting sqref="A1:E5">
    <cfRule type="expression" dxfId="1199" priority="7879">
      <formula>$Z$6:$Z$20001="NÃO ATENDE/AGUARDANDO RETORNO"</formula>
    </cfRule>
  </conditionalFormatting>
  <conditionalFormatting sqref="A1:E5">
    <cfRule type="expression" dxfId="1198" priority="7881">
      <formula>$Z$6:$Z$20806="CONTRATADO"</formula>
    </cfRule>
  </conditionalFormatting>
  <conditionalFormatting sqref="A1:E5">
    <cfRule type="expression" dxfId="1197" priority="7883">
      <formula>$Z$6:$Z$20806="DESCLASSIFICADO"</formula>
    </cfRule>
  </conditionalFormatting>
  <conditionalFormatting sqref="A1:E5">
    <cfRule type="expression" dxfId="1196" priority="7885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workbookViewId="0">
      <selection activeCell="D8" sqref="D8"/>
    </sheetView>
  </sheetViews>
  <sheetFormatPr defaultColWidth="14.42578125" defaultRowHeight="15"/>
  <cols>
    <col min="2" max="2" width="33.5703125" bestFit="1" customWidth="1"/>
    <col min="3" max="3" width="8" bestFit="1" customWidth="1"/>
    <col min="4" max="4" width="15.28515625" bestFit="1" customWidth="1"/>
    <col min="5" max="5" width="10" bestFit="1" customWidth="1"/>
    <col min="6" max="6" width="17.5703125" customWidth="1"/>
  </cols>
  <sheetData>
    <row r="1" spans="1:6" ht="18.75" customHeight="1">
      <c r="A1" s="52" t="s">
        <v>6690</v>
      </c>
      <c r="B1" s="52"/>
      <c r="C1" s="52"/>
      <c r="D1" s="52"/>
      <c r="E1" s="52"/>
      <c r="F1" s="52"/>
    </row>
    <row r="2" spans="1:6" ht="18.75" customHeight="1">
      <c r="A2" s="52"/>
      <c r="B2" s="52"/>
      <c r="C2" s="52"/>
      <c r="D2" s="52"/>
      <c r="E2" s="52"/>
      <c r="F2" s="52"/>
    </row>
    <row r="3" spans="1:6" ht="18.75" customHeight="1">
      <c r="A3" s="52"/>
      <c r="B3" s="52"/>
      <c r="C3" s="52"/>
      <c r="D3" s="52"/>
      <c r="E3" s="52"/>
      <c r="F3" s="52"/>
    </row>
    <row r="4" spans="1:6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45</v>
      </c>
      <c r="F4" s="18" t="s">
        <v>6691</v>
      </c>
    </row>
    <row r="5" spans="1:6" ht="15.75" customHeight="1">
      <c r="A5" s="28">
        <v>1</v>
      </c>
      <c r="B5" s="29" t="s">
        <v>1493</v>
      </c>
      <c r="C5" s="30" t="s">
        <v>64</v>
      </c>
      <c r="D5" s="30" t="s">
        <v>1504</v>
      </c>
      <c r="E5" s="28">
        <v>8</v>
      </c>
      <c r="F5" s="21" t="s">
        <v>69</v>
      </c>
    </row>
    <row r="6" spans="1:6" ht="15.75" customHeight="1">
      <c r="A6" s="28">
        <v>2</v>
      </c>
      <c r="B6" s="29" t="s">
        <v>1505</v>
      </c>
      <c r="C6" s="30" t="s">
        <v>64</v>
      </c>
      <c r="D6" s="30" t="s">
        <v>1504</v>
      </c>
      <c r="E6" s="28">
        <v>8</v>
      </c>
      <c r="F6" s="21" t="s">
        <v>69</v>
      </c>
    </row>
    <row r="7" spans="1:6" ht="15.75" customHeight="1">
      <c r="A7" s="28">
        <v>3</v>
      </c>
      <c r="B7" s="29" t="s">
        <v>1513</v>
      </c>
      <c r="C7" s="30" t="s">
        <v>64</v>
      </c>
      <c r="D7" s="30" t="s">
        <v>1504</v>
      </c>
      <c r="E7" s="28">
        <v>5</v>
      </c>
      <c r="F7" s="21" t="s">
        <v>69</v>
      </c>
    </row>
    <row r="8" spans="1:6" ht="15.75" customHeight="1">
      <c r="A8" s="28">
        <v>4</v>
      </c>
      <c r="B8" s="29" t="s">
        <v>1521</v>
      </c>
      <c r="C8" s="30" t="s">
        <v>64</v>
      </c>
      <c r="D8" s="30" t="s">
        <v>1504</v>
      </c>
      <c r="E8" s="28">
        <v>5</v>
      </c>
      <c r="F8" s="21" t="s">
        <v>69</v>
      </c>
    </row>
    <row r="9" spans="1:6" ht="15.75" customHeight="1">
      <c r="A9" s="28">
        <v>5</v>
      </c>
      <c r="B9" s="29" t="s">
        <v>1529</v>
      </c>
      <c r="C9" s="30" t="s">
        <v>64</v>
      </c>
      <c r="D9" s="30" t="s">
        <v>1504</v>
      </c>
      <c r="E9" s="28">
        <v>6</v>
      </c>
      <c r="F9" s="21" t="s">
        <v>69</v>
      </c>
    </row>
    <row r="10" spans="1:6" ht="15.75" customHeight="1">
      <c r="A10" s="28">
        <v>6</v>
      </c>
      <c r="B10" s="29" t="s">
        <v>1537</v>
      </c>
      <c r="C10" s="30" t="s">
        <v>64</v>
      </c>
      <c r="D10" s="30" t="s">
        <v>1504</v>
      </c>
      <c r="E10" s="28">
        <v>5</v>
      </c>
      <c r="F10" s="21" t="s">
        <v>69</v>
      </c>
    </row>
    <row r="11" spans="1:6" ht="15.75" customHeight="1">
      <c r="A11" s="28">
        <v>7</v>
      </c>
      <c r="B11" s="29" t="s">
        <v>1544</v>
      </c>
      <c r="C11" s="30" t="s">
        <v>64</v>
      </c>
      <c r="D11" s="30" t="s">
        <v>1504</v>
      </c>
      <c r="E11" s="28">
        <v>7</v>
      </c>
      <c r="F11" s="21" t="s">
        <v>69</v>
      </c>
    </row>
    <row r="12" spans="1:6" ht="15.75" customHeight="1">
      <c r="A12" s="28">
        <v>8</v>
      </c>
      <c r="B12" s="29" t="s">
        <v>1552</v>
      </c>
      <c r="C12" s="30" t="s">
        <v>64</v>
      </c>
      <c r="D12" s="30" t="s">
        <v>1504</v>
      </c>
      <c r="E12" s="28">
        <v>5</v>
      </c>
      <c r="F12" s="21" t="s">
        <v>69</v>
      </c>
    </row>
    <row r="13" spans="1:6" ht="15.75" customHeight="1">
      <c r="A13" s="28">
        <v>9</v>
      </c>
      <c r="B13" s="29" t="s">
        <v>1560</v>
      </c>
      <c r="C13" s="30" t="s">
        <v>64</v>
      </c>
      <c r="D13" s="30" t="s">
        <v>1504</v>
      </c>
      <c r="E13" s="28">
        <v>5</v>
      </c>
      <c r="F13" s="21" t="s">
        <v>69</v>
      </c>
    </row>
  </sheetData>
  <mergeCells count="1">
    <mergeCell ref="A1:F3"/>
  </mergeCells>
  <conditionalFormatting sqref="A1:F13">
    <cfRule type="expression" dxfId="1195" priority="8149">
      <formula>$F$5:$F$20001="CONTRATADO"</formula>
    </cfRule>
  </conditionalFormatting>
  <conditionalFormatting sqref="A1:F13">
    <cfRule type="expression" dxfId="1194" priority="8151">
      <formula>$F$5:$F$20001="DESCLASSIFICADO"</formula>
    </cfRule>
  </conditionalFormatting>
  <conditionalFormatting sqref="A1:F13">
    <cfRule type="expression" dxfId="1193" priority="8153">
      <formula>$F$5:$F$20001="REMANEJADO"</formula>
    </cfRule>
  </conditionalFormatting>
  <conditionalFormatting sqref="A1:F13">
    <cfRule type="expression" dxfId="1192" priority="8155">
      <formula>$F$5:$F$20001="1ª CONVOCAÇÃO"</formula>
    </cfRule>
  </conditionalFormatting>
  <conditionalFormatting sqref="A1:F13">
    <cfRule type="expression" dxfId="1191" priority="8157">
      <formula>$F$5:$F$20001="2ª CONVOCAÇÃO"</formula>
    </cfRule>
  </conditionalFormatting>
  <conditionalFormatting sqref="A1:F13">
    <cfRule type="expression" dxfId="1190" priority="8159">
      <formula>$F$5:$F$20001="NÃO ATENDE/AGUARDANDO RETORNO"</formula>
    </cfRule>
  </conditionalFormatting>
  <conditionalFormatting sqref="A1:F13">
    <cfRule type="expression" dxfId="1189" priority="8175">
      <formula>$F$5:$F$20806="REMANEJADO"</formula>
    </cfRule>
  </conditionalFormatting>
  <conditionalFormatting sqref="A1:F13">
    <cfRule type="expression" dxfId="1188" priority="8179">
      <formula>$F$5:$F$20806="2ª CONVOCAÇÃO"</formula>
    </cfRule>
  </conditionalFormatting>
  <conditionalFormatting sqref="A1:F13">
    <cfRule type="expression" dxfId="1187" priority="8181">
      <formula>$F$5:$F$20806="NÃO ATENDE/AGUARDANDO RETORNO"</formula>
    </cfRule>
  </conditionalFormatting>
  <conditionalFormatting sqref="A1:F13">
    <cfRule type="expression" dxfId="1186" priority="8183">
      <formula>$F$6:$F$20806="CONTRATADO"</formula>
    </cfRule>
  </conditionalFormatting>
  <conditionalFormatting sqref="A1:F13">
    <cfRule type="expression" dxfId="1185" priority="8272">
      <formula>$AA$6:$AA$20806="REMANEJADO"</formula>
    </cfRule>
  </conditionalFormatting>
  <conditionalFormatting sqref="A1:F13">
    <cfRule type="expression" dxfId="1184" priority="8274">
      <formula>$AA$6:$AA$20001="DESCLASSIFICADO"</formula>
    </cfRule>
  </conditionalFormatting>
  <conditionalFormatting sqref="A1:F13">
    <cfRule type="expression" dxfId="1183" priority="8276">
      <formula>$AA$6:$AA$20001="REMANEJADO"</formula>
    </cfRule>
  </conditionalFormatting>
  <conditionalFormatting sqref="A1:F13">
    <cfRule type="expression" dxfId="1182" priority="8278">
      <formula>$AA$6:$AA$20001="1ª CONVOCAÇÃO"</formula>
    </cfRule>
  </conditionalFormatting>
  <conditionalFormatting sqref="A1:F13">
    <cfRule type="expression" dxfId="1181" priority="8280">
      <formula>$AA$6:$AA$20001="2ª CONVOCAÇÃO"</formula>
    </cfRule>
  </conditionalFormatting>
  <conditionalFormatting sqref="A1:F13">
    <cfRule type="expression" dxfId="1180" priority="8282">
      <formula>$AA$6:$AA$20001="NÃO ATENDE/AGUARDANDO RETORNO"</formula>
    </cfRule>
  </conditionalFormatting>
  <conditionalFormatting sqref="A1:F13">
    <cfRule type="expression" dxfId="1179" priority="8284">
      <formula>$AA$6:$AA$20806="CONTRATADO"</formula>
    </cfRule>
  </conditionalFormatting>
  <conditionalFormatting sqref="A1:F13">
    <cfRule type="expression" dxfId="1178" priority="8286">
      <formula>$AA$6:$AA$20806="DESCLASSIFICADO"</formula>
    </cfRule>
  </conditionalFormatting>
  <conditionalFormatting sqref="A1:F13">
    <cfRule type="expression" dxfId="1177" priority="8288">
      <formula>$AA$6:$AA$20806="1ª CONVOCAÇÃO"</formula>
    </cfRule>
  </conditionalFormatting>
  <dataValidations count="1">
    <dataValidation type="list" allowBlank="1" showErrorMessage="1" sqref="F5:F13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zoomScaleNormal="100" workbookViewId="0">
      <pane ySplit="4" topLeftCell="A5" activePane="bottomLeft" state="frozen"/>
      <selection pane="bottomLeft" sqref="A1:E3"/>
    </sheetView>
  </sheetViews>
  <sheetFormatPr defaultColWidth="14.42578125" defaultRowHeight="15"/>
  <cols>
    <col min="1" max="1" width="15.42578125" customWidth="1"/>
    <col min="2" max="2" width="46.42578125" style="48" bestFit="1" customWidth="1"/>
    <col min="3" max="3" width="31.28515625" bestFit="1" customWidth="1"/>
    <col min="4" max="4" width="13.28515625" bestFit="1" customWidth="1"/>
    <col min="5" max="5" width="36.285156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1570</v>
      </c>
      <c r="C5" s="45" t="s">
        <v>80</v>
      </c>
      <c r="D5" s="45" t="s">
        <v>1579</v>
      </c>
      <c r="E5" s="45" t="s">
        <v>69</v>
      </c>
    </row>
    <row r="6" spans="1:5" ht="15.75" customHeight="1">
      <c r="A6" s="45">
        <v>2</v>
      </c>
      <c r="B6" s="51" t="s">
        <v>1580</v>
      </c>
      <c r="C6" s="45" t="s">
        <v>80</v>
      </c>
      <c r="D6" s="45" t="s">
        <v>1579</v>
      </c>
      <c r="E6" s="45" t="s">
        <v>69</v>
      </c>
    </row>
    <row r="7" spans="1:5" ht="15.75" customHeight="1">
      <c r="A7" s="45">
        <v>3</v>
      </c>
      <c r="B7" s="51" t="s">
        <v>1591</v>
      </c>
      <c r="C7" s="45" t="s">
        <v>80</v>
      </c>
      <c r="D7" s="45" t="s">
        <v>1579</v>
      </c>
      <c r="E7" s="45" t="s">
        <v>69</v>
      </c>
    </row>
    <row r="8" spans="1:5" ht="15.75" customHeight="1">
      <c r="A8" s="45">
        <v>1</v>
      </c>
      <c r="B8" s="51" t="s">
        <v>4245</v>
      </c>
      <c r="C8" s="45" t="s">
        <v>4253</v>
      </c>
      <c r="D8" s="45" t="s">
        <v>1579</v>
      </c>
      <c r="E8" s="45" t="s">
        <v>69</v>
      </c>
    </row>
    <row r="9" spans="1:5" ht="15.75" customHeight="1">
      <c r="A9" s="45">
        <v>2</v>
      </c>
      <c r="B9" s="51" t="s">
        <v>4254</v>
      </c>
      <c r="C9" s="45" t="s">
        <v>4253</v>
      </c>
      <c r="D9" s="45" t="s">
        <v>1579</v>
      </c>
      <c r="E9" s="45" t="s">
        <v>69</v>
      </c>
    </row>
    <row r="10" spans="1:5" ht="15.75" customHeight="1">
      <c r="A10" s="45">
        <v>3</v>
      </c>
      <c r="B10" s="51" t="s">
        <v>4261</v>
      </c>
      <c r="C10" s="45" t="s">
        <v>4253</v>
      </c>
      <c r="D10" s="45" t="s">
        <v>1579</v>
      </c>
      <c r="E10" s="45" t="s">
        <v>69</v>
      </c>
    </row>
    <row r="11" spans="1:5" ht="15.75" customHeight="1">
      <c r="A11" s="45">
        <v>4</v>
      </c>
      <c r="B11" s="51" t="s">
        <v>4268</v>
      </c>
      <c r="C11" s="45" t="s">
        <v>4253</v>
      </c>
      <c r="D11" s="45" t="s">
        <v>1579</v>
      </c>
      <c r="E11" s="45" t="s">
        <v>69</v>
      </c>
    </row>
    <row r="12" spans="1:5" ht="15.75" customHeight="1">
      <c r="A12" s="45">
        <v>1</v>
      </c>
      <c r="B12" s="51" t="s">
        <v>1599</v>
      </c>
      <c r="C12" s="45" t="s">
        <v>266</v>
      </c>
      <c r="D12" s="45" t="s">
        <v>1579</v>
      </c>
      <c r="E12" s="45" t="s">
        <v>7</v>
      </c>
    </row>
    <row r="13" spans="1:5" ht="15.75" customHeight="1">
      <c r="A13" s="45">
        <v>2</v>
      </c>
      <c r="B13" s="51" t="s">
        <v>1608</v>
      </c>
      <c r="C13" s="45" t="s">
        <v>266</v>
      </c>
      <c r="D13" s="45" t="s">
        <v>1579</v>
      </c>
      <c r="E13" s="45" t="s">
        <v>325</v>
      </c>
    </row>
    <row r="14" spans="1:5" ht="15.75" customHeight="1">
      <c r="A14" s="45">
        <v>3</v>
      </c>
      <c r="B14" s="51" t="s">
        <v>1616</v>
      </c>
      <c r="C14" s="45" t="s">
        <v>266</v>
      </c>
      <c r="D14" s="45" t="s">
        <v>1579</v>
      </c>
      <c r="E14" s="45" t="s">
        <v>325</v>
      </c>
    </row>
    <row r="15" spans="1:5" ht="15.75" customHeight="1">
      <c r="A15" s="45">
        <v>4</v>
      </c>
      <c r="B15" s="51" t="s">
        <v>1626</v>
      </c>
      <c r="C15" s="45" t="s">
        <v>266</v>
      </c>
      <c r="D15" s="45" t="s">
        <v>1579</v>
      </c>
      <c r="E15" s="45" t="s">
        <v>5</v>
      </c>
    </row>
    <row r="16" spans="1:5" ht="15.75" customHeight="1">
      <c r="A16" s="45">
        <v>5</v>
      </c>
      <c r="B16" s="51" t="s">
        <v>1634</v>
      </c>
      <c r="C16" s="45" t="s">
        <v>266</v>
      </c>
      <c r="D16" s="45" t="s">
        <v>1579</v>
      </c>
      <c r="E16" s="45" t="s">
        <v>6687</v>
      </c>
    </row>
    <row r="17" spans="1:5" ht="15.75" customHeight="1">
      <c r="A17" s="45">
        <v>1</v>
      </c>
      <c r="B17" s="51" t="s">
        <v>1642</v>
      </c>
      <c r="C17" s="45" t="s">
        <v>64</v>
      </c>
      <c r="D17" s="45" t="s">
        <v>1579</v>
      </c>
      <c r="E17" s="45" t="s">
        <v>5198</v>
      </c>
    </row>
    <row r="18" spans="1:5" ht="15.75" customHeight="1">
      <c r="A18" s="45">
        <v>2</v>
      </c>
      <c r="B18" s="51" t="s">
        <v>1649</v>
      </c>
      <c r="C18" s="45" t="s">
        <v>64</v>
      </c>
      <c r="D18" s="45" t="s">
        <v>1579</v>
      </c>
      <c r="E18" s="45" t="s">
        <v>6687</v>
      </c>
    </row>
    <row r="19" spans="1:5" ht="15.75" customHeight="1">
      <c r="A19" s="45">
        <v>3</v>
      </c>
      <c r="B19" s="51" t="s">
        <v>1658</v>
      </c>
      <c r="C19" s="45" t="s">
        <v>64</v>
      </c>
      <c r="D19" s="45" t="s">
        <v>1579</v>
      </c>
      <c r="E19" s="45" t="s">
        <v>5198</v>
      </c>
    </row>
    <row r="20" spans="1:5" ht="15.75" customHeight="1">
      <c r="A20" s="45">
        <v>4</v>
      </c>
      <c r="B20" s="51" t="s">
        <v>1666</v>
      </c>
      <c r="C20" s="45" t="s">
        <v>64</v>
      </c>
      <c r="D20" s="45" t="s">
        <v>1579</v>
      </c>
      <c r="E20" s="45" t="s">
        <v>5198</v>
      </c>
    </row>
    <row r="21" spans="1:5" ht="15.75" customHeight="1">
      <c r="A21" s="45">
        <v>5</v>
      </c>
      <c r="B21" s="51" t="s">
        <v>1675</v>
      </c>
      <c r="C21" s="45" t="s">
        <v>64</v>
      </c>
      <c r="D21" s="45" t="s">
        <v>1579</v>
      </c>
      <c r="E21" s="45" t="s">
        <v>5198</v>
      </c>
    </row>
    <row r="22" spans="1:5" ht="15.75" customHeight="1">
      <c r="A22" s="45">
        <v>6</v>
      </c>
      <c r="B22" s="51" t="s">
        <v>1684</v>
      </c>
      <c r="C22" s="45" t="s">
        <v>64</v>
      </c>
      <c r="D22" s="45" t="s">
        <v>1579</v>
      </c>
      <c r="E22" s="45" t="s">
        <v>5198</v>
      </c>
    </row>
    <row r="23" spans="1:5" ht="15.75" customHeight="1">
      <c r="A23" s="45">
        <v>7</v>
      </c>
      <c r="B23" s="51" t="s">
        <v>1693</v>
      </c>
      <c r="C23" s="45" t="s">
        <v>64</v>
      </c>
      <c r="D23" s="45" t="s">
        <v>1579</v>
      </c>
      <c r="E23" s="45" t="s">
        <v>6686</v>
      </c>
    </row>
    <row r="24" spans="1:5" ht="15.75" customHeight="1">
      <c r="A24" s="45">
        <v>8</v>
      </c>
      <c r="B24" s="51" t="s">
        <v>1699</v>
      </c>
      <c r="C24" s="45" t="s">
        <v>64</v>
      </c>
      <c r="D24" s="45" t="s">
        <v>1579</v>
      </c>
      <c r="E24" s="45" t="s">
        <v>5198</v>
      </c>
    </row>
    <row r="25" spans="1:5" ht="15.75" customHeight="1">
      <c r="A25" s="45">
        <v>9</v>
      </c>
      <c r="B25" s="51" t="s">
        <v>1708</v>
      </c>
      <c r="C25" s="45" t="s">
        <v>64</v>
      </c>
      <c r="D25" s="45" t="s">
        <v>1579</v>
      </c>
      <c r="E25" s="45" t="s">
        <v>6686</v>
      </c>
    </row>
    <row r="26" spans="1:5" ht="15.75" customHeight="1">
      <c r="A26" s="45">
        <v>10</v>
      </c>
      <c r="B26" s="51" t="s">
        <v>1717</v>
      </c>
      <c r="C26" s="45" t="s">
        <v>64</v>
      </c>
      <c r="D26" s="45" t="s">
        <v>1579</v>
      </c>
      <c r="E26" s="45" t="s">
        <v>6686</v>
      </c>
    </row>
    <row r="27" spans="1:5" ht="15.75" customHeight="1">
      <c r="A27" s="45">
        <v>11</v>
      </c>
      <c r="B27" s="51" t="s">
        <v>1724</v>
      </c>
      <c r="C27" s="45" t="s">
        <v>64</v>
      </c>
      <c r="D27" s="45" t="s">
        <v>1579</v>
      </c>
      <c r="E27" s="45" t="s">
        <v>6686</v>
      </c>
    </row>
    <row r="28" spans="1:5" ht="15.75" customHeight="1">
      <c r="A28" s="45">
        <v>12</v>
      </c>
      <c r="B28" s="51" t="s">
        <v>1733</v>
      </c>
      <c r="C28" s="45" t="s">
        <v>64</v>
      </c>
      <c r="D28" s="45" t="s">
        <v>1579</v>
      </c>
      <c r="E28" s="45" t="s">
        <v>6686</v>
      </c>
    </row>
    <row r="29" spans="1:5" ht="15.75" customHeight="1">
      <c r="A29" s="45">
        <v>13</v>
      </c>
      <c r="B29" s="51" t="s">
        <v>1741</v>
      </c>
      <c r="C29" s="45" t="s">
        <v>64</v>
      </c>
      <c r="D29" s="45" t="s">
        <v>1579</v>
      </c>
      <c r="E29" s="45" t="s">
        <v>6686</v>
      </c>
    </row>
    <row r="30" spans="1:5" ht="15.75" customHeight="1">
      <c r="A30" s="45">
        <v>14</v>
      </c>
      <c r="B30" s="51" t="s">
        <v>1748</v>
      </c>
      <c r="C30" s="45" t="s">
        <v>64</v>
      </c>
      <c r="D30" s="45" t="s">
        <v>1579</v>
      </c>
      <c r="E30" s="45" t="s">
        <v>6686</v>
      </c>
    </row>
    <row r="31" spans="1:5" ht="15.75" customHeight="1">
      <c r="A31" s="45">
        <v>15</v>
      </c>
      <c r="B31" s="51" t="s">
        <v>1757</v>
      </c>
      <c r="C31" s="45" t="s">
        <v>64</v>
      </c>
      <c r="D31" s="45" t="s">
        <v>1579</v>
      </c>
      <c r="E31" s="45" t="s">
        <v>6686</v>
      </c>
    </row>
    <row r="32" spans="1:5" ht="15.75" customHeight="1">
      <c r="A32" s="45">
        <v>16</v>
      </c>
      <c r="B32" s="51" t="s">
        <v>1764</v>
      </c>
      <c r="C32" s="45" t="s">
        <v>64</v>
      </c>
      <c r="D32" s="45" t="s">
        <v>1579</v>
      </c>
      <c r="E32" s="45" t="s">
        <v>69</v>
      </c>
    </row>
    <row r="33" spans="1:5" ht="15.75" customHeight="1">
      <c r="A33" s="45">
        <v>17</v>
      </c>
      <c r="B33" s="51" t="s">
        <v>1772</v>
      </c>
      <c r="C33" s="45" t="s">
        <v>64</v>
      </c>
      <c r="D33" s="45" t="s">
        <v>1579</v>
      </c>
      <c r="E33" s="45" t="s">
        <v>69</v>
      </c>
    </row>
    <row r="34" spans="1:5" ht="15.75" customHeight="1">
      <c r="A34" s="45">
        <v>18</v>
      </c>
      <c r="B34" s="51" t="s">
        <v>1779</v>
      </c>
      <c r="C34" s="45" t="s">
        <v>64</v>
      </c>
      <c r="D34" s="45" t="s">
        <v>1579</v>
      </c>
      <c r="E34" s="45" t="s">
        <v>69</v>
      </c>
    </row>
    <row r="35" spans="1:5" ht="15.75" customHeight="1">
      <c r="A35" s="45">
        <v>19</v>
      </c>
      <c r="B35" s="51" t="s">
        <v>1786</v>
      </c>
      <c r="C35" s="45" t="s">
        <v>64</v>
      </c>
      <c r="D35" s="45" t="s">
        <v>1579</v>
      </c>
      <c r="E35" s="45" t="s">
        <v>69</v>
      </c>
    </row>
    <row r="36" spans="1:5" ht="15.75" customHeight="1">
      <c r="A36" s="45">
        <v>20</v>
      </c>
      <c r="B36" s="51" t="s">
        <v>1793</v>
      </c>
      <c r="C36" s="45" t="s">
        <v>64</v>
      </c>
      <c r="D36" s="45" t="s">
        <v>1579</v>
      </c>
      <c r="E36" s="45" t="s">
        <v>69</v>
      </c>
    </row>
    <row r="37" spans="1:5" ht="15.75" customHeight="1">
      <c r="A37" s="45">
        <v>21</v>
      </c>
      <c r="B37" s="51" t="s">
        <v>1799</v>
      </c>
      <c r="C37" s="45" t="s">
        <v>64</v>
      </c>
      <c r="D37" s="45" t="s">
        <v>1579</v>
      </c>
      <c r="E37" s="45" t="s">
        <v>325</v>
      </c>
    </row>
    <row r="38" spans="1:5" ht="15.75" customHeight="1">
      <c r="A38" s="45">
        <v>22</v>
      </c>
      <c r="B38" s="51" t="s">
        <v>1806</v>
      </c>
      <c r="C38" s="45" t="s">
        <v>64</v>
      </c>
      <c r="D38" s="45" t="s">
        <v>1579</v>
      </c>
      <c r="E38" s="45" t="s">
        <v>69</v>
      </c>
    </row>
    <row r="39" spans="1:5" ht="15.75" customHeight="1">
      <c r="A39" s="45">
        <v>23</v>
      </c>
      <c r="B39" s="51" t="s">
        <v>1814</v>
      </c>
      <c r="C39" s="45" t="s">
        <v>64</v>
      </c>
      <c r="D39" s="45" t="s">
        <v>1579</v>
      </c>
      <c r="E39" s="45" t="s">
        <v>69</v>
      </c>
    </row>
    <row r="40" spans="1:5" ht="15.75" customHeight="1">
      <c r="A40" s="45">
        <v>24</v>
      </c>
      <c r="B40" s="51" t="s">
        <v>1821</v>
      </c>
      <c r="C40" s="45" t="s">
        <v>64</v>
      </c>
      <c r="D40" s="45" t="s">
        <v>1579</v>
      </c>
      <c r="E40" s="45" t="s">
        <v>69</v>
      </c>
    </row>
    <row r="41" spans="1:5" ht="15.75" customHeight="1">
      <c r="A41" s="45">
        <v>25</v>
      </c>
      <c r="B41" s="51" t="s">
        <v>1829</v>
      </c>
      <c r="C41" s="45" t="s">
        <v>64</v>
      </c>
      <c r="D41" s="45" t="s">
        <v>1579</v>
      </c>
      <c r="E41" s="45" t="s">
        <v>69</v>
      </c>
    </row>
    <row r="42" spans="1:5" ht="15.75" customHeight="1">
      <c r="A42" s="45">
        <v>26</v>
      </c>
      <c r="B42" s="51" t="s">
        <v>1837</v>
      </c>
      <c r="C42" s="45" t="s">
        <v>64</v>
      </c>
      <c r="D42" s="45" t="s">
        <v>1579</v>
      </c>
      <c r="E42" s="45" t="s">
        <v>69</v>
      </c>
    </row>
    <row r="43" spans="1:5" ht="15.75" customHeight="1">
      <c r="A43" s="45">
        <v>27</v>
      </c>
      <c r="B43" s="51" t="s">
        <v>1846</v>
      </c>
      <c r="C43" s="45" t="s">
        <v>64</v>
      </c>
      <c r="D43" s="45" t="s">
        <v>1579</v>
      </c>
      <c r="E43" s="45" t="s">
        <v>69</v>
      </c>
    </row>
    <row r="44" spans="1:5" ht="15.75" customHeight="1">
      <c r="A44" s="45">
        <v>28</v>
      </c>
      <c r="B44" s="51" t="s">
        <v>1854</v>
      </c>
      <c r="C44" s="45" t="s">
        <v>64</v>
      </c>
      <c r="D44" s="45" t="s">
        <v>1579</v>
      </c>
      <c r="E44" s="45" t="s">
        <v>69</v>
      </c>
    </row>
    <row r="45" spans="1:5" ht="15.75" customHeight="1">
      <c r="A45" s="45">
        <v>29</v>
      </c>
      <c r="B45" s="51" t="s">
        <v>1863</v>
      </c>
      <c r="C45" s="45" t="s">
        <v>64</v>
      </c>
      <c r="D45" s="45" t="s">
        <v>1579</v>
      </c>
      <c r="E45" s="45" t="s">
        <v>69</v>
      </c>
    </row>
    <row r="46" spans="1:5" ht="15.75" customHeight="1">
      <c r="A46" s="45">
        <v>30</v>
      </c>
      <c r="B46" s="51" t="s">
        <v>1873</v>
      </c>
      <c r="C46" s="45" t="s">
        <v>64</v>
      </c>
      <c r="D46" s="45" t="s">
        <v>1579</v>
      </c>
      <c r="E46" s="45" t="s">
        <v>69</v>
      </c>
    </row>
    <row r="47" spans="1:5" ht="15.75" customHeight="1">
      <c r="A47" s="45">
        <v>31</v>
      </c>
      <c r="B47" s="51" t="s">
        <v>1882</v>
      </c>
      <c r="C47" s="45" t="s">
        <v>64</v>
      </c>
      <c r="D47" s="45" t="s">
        <v>1579</v>
      </c>
      <c r="E47" s="45" t="s">
        <v>69</v>
      </c>
    </row>
    <row r="48" spans="1:5" ht="15.75" customHeight="1">
      <c r="A48" s="45">
        <v>32</v>
      </c>
      <c r="B48" s="51" t="s">
        <v>1890</v>
      </c>
      <c r="C48" s="45" t="s">
        <v>64</v>
      </c>
      <c r="D48" s="45" t="s">
        <v>1579</v>
      </c>
      <c r="E48" s="45" t="s">
        <v>69</v>
      </c>
    </row>
    <row r="49" spans="1:5" ht="15.75" customHeight="1">
      <c r="A49" s="45">
        <v>33</v>
      </c>
      <c r="B49" s="51" t="s">
        <v>1899</v>
      </c>
      <c r="C49" s="45" t="s">
        <v>64</v>
      </c>
      <c r="D49" s="45" t="s">
        <v>1579</v>
      </c>
      <c r="E49" s="45" t="s">
        <v>6686</v>
      </c>
    </row>
    <row r="50" spans="1:5" ht="15.75" customHeight="1">
      <c r="A50" s="45">
        <v>34</v>
      </c>
      <c r="B50" s="51" t="s">
        <v>1907</v>
      </c>
      <c r="C50" s="45" t="s">
        <v>64</v>
      </c>
      <c r="D50" s="45" t="s">
        <v>1579</v>
      </c>
      <c r="E50" s="45" t="s">
        <v>69</v>
      </c>
    </row>
    <row r="51" spans="1:5" ht="15.75" customHeight="1">
      <c r="A51" s="45">
        <v>35</v>
      </c>
      <c r="B51" s="51" t="s">
        <v>1913</v>
      </c>
      <c r="C51" s="45" t="s">
        <v>64</v>
      </c>
      <c r="D51" s="45" t="s">
        <v>1579</v>
      </c>
      <c r="E51" s="45" t="s">
        <v>69</v>
      </c>
    </row>
    <row r="52" spans="1:5" ht="15.75" customHeight="1">
      <c r="A52" s="45">
        <v>36</v>
      </c>
      <c r="B52" s="51" t="s">
        <v>1922</v>
      </c>
      <c r="C52" s="45" t="s">
        <v>64</v>
      </c>
      <c r="D52" s="45" t="s">
        <v>1579</v>
      </c>
      <c r="E52" s="45" t="s">
        <v>69</v>
      </c>
    </row>
    <row r="53" spans="1:5" ht="15.75" customHeight="1">
      <c r="A53" s="45">
        <v>37</v>
      </c>
      <c r="B53" s="51" t="s">
        <v>1930</v>
      </c>
      <c r="C53" s="45" t="s">
        <v>64</v>
      </c>
      <c r="D53" s="45" t="s">
        <v>1579</v>
      </c>
      <c r="E53" s="45" t="s">
        <v>69</v>
      </c>
    </row>
    <row r="54" spans="1:5" ht="15.75" customHeight="1">
      <c r="A54" s="45">
        <v>38</v>
      </c>
      <c r="B54" s="51" t="s">
        <v>1938</v>
      </c>
      <c r="C54" s="45" t="s">
        <v>64</v>
      </c>
      <c r="D54" s="45" t="s">
        <v>1579</v>
      </c>
      <c r="E54" s="45" t="s">
        <v>69</v>
      </c>
    </row>
    <row r="55" spans="1:5" ht="15.75" customHeight="1">
      <c r="A55" s="45">
        <v>39</v>
      </c>
      <c r="B55" s="51" t="s">
        <v>1947</v>
      </c>
      <c r="C55" s="45" t="s">
        <v>64</v>
      </c>
      <c r="D55" s="45" t="s">
        <v>1579</v>
      </c>
      <c r="E55" s="45" t="s">
        <v>69</v>
      </c>
    </row>
    <row r="56" spans="1:5" ht="15.75" customHeight="1">
      <c r="A56" s="45">
        <v>40</v>
      </c>
      <c r="B56" s="51" t="s">
        <v>1956</v>
      </c>
      <c r="C56" s="45" t="s">
        <v>64</v>
      </c>
      <c r="D56" s="45" t="s">
        <v>1579</v>
      </c>
      <c r="E56" s="45" t="s">
        <v>69</v>
      </c>
    </row>
    <row r="57" spans="1:5" ht="15.75" customHeight="1">
      <c r="A57" s="45">
        <v>41</v>
      </c>
      <c r="B57" s="51" t="s">
        <v>1966</v>
      </c>
      <c r="C57" s="45" t="s">
        <v>64</v>
      </c>
      <c r="D57" s="45" t="s">
        <v>1579</v>
      </c>
      <c r="E57" s="45" t="s">
        <v>69</v>
      </c>
    </row>
    <row r="58" spans="1:5" ht="15.75" customHeight="1">
      <c r="A58" s="45">
        <v>42</v>
      </c>
      <c r="B58" s="51" t="s">
        <v>1975</v>
      </c>
      <c r="C58" s="45" t="s">
        <v>64</v>
      </c>
      <c r="D58" s="45" t="s">
        <v>1579</v>
      </c>
      <c r="E58" s="45" t="s">
        <v>69</v>
      </c>
    </row>
    <row r="59" spans="1:5" ht="15.75" customHeight="1">
      <c r="A59" s="45">
        <v>43</v>
      </c>
      <c r="B59" s="51" t="s">
        <v>1981</v>
      </c>
      <c r="C59" s="45" t="s">
        <v>64</v>
      </c>
      <c r="D59" s="45" t="s">
        <v>1579</v>
      </c>
      <c r="E59" s="45" t="s">
        <v>69</v>
      </c>
    </row>
    <row r="60" spans="1:5" ht="15.75" customHeight="1">
      <c r="A60" s="45">
        <v>44</v>
      </c>
      <c r="B60" s="51" t="s">
        <v>1989</v>
      </c>
      <c r="C60" s="45" t="s">
        <v>64</v>
      </c>
      <c r="D60" s="45" t="s">
        <v>1579</v>
      </c>
      <c r="E60" s="45" t="s">
        <v>69</v>
      </c>
    </row>
    <row r="61" spans="1:5" ht="15.75" customHeight="1">
      <c r="A61" s="45">
        <v>45</v>
      </c>
      <c r="B61" s="51" t="s">
        <v>1996</v>
      </c>
      <c r="C61" s="45" t="s">
        <v>64</v>
      </c>
      <c r="D61" s="45" t="s">
        <v>1579</v>
      </c>
      <c r="E61" s="45" t="s">
        <v>69</v>
      </c>
    </row>
    <row r="62" spans="1:5" ht="15.75" customHeight="1">
      <c r="A62" s="45">
        <v>46</v>
      </c>
      <c r="B62" s="51" t="s">
        <v>2002</v>
      </c>
      <c r="C62" s="45" t="s">
        <v>64</v>
      </c>
      <c r="D62" s="45" t="s">
        <v>1579</v>
      </c>
      <c r="E62" s="45" t="s">
        <v>69</v>
      </c>
    </row>
    <row r="63" spans="1:5" ht="15.75" customHeight="1">
      <c r="A63" s="45">
        <v>47</v>
      </c>
      <c r="B63" s="51" t="s">
        <v>2011</v>
      </c>
      <c r="C63" s="45" t="s">
        <v>64</v>
      </c>
      <c r="D63" s="45" t="s">
        <v>1579</v>
      </c>
      <c r="E63" s="45" t="s">
        <v>69</v>
      </c>
    </row>
    <row r="64" spans="1:5" ht="15.75" customHeight="1">
      <c r="A64" s="45">
        <v>48</v>
      </c>
      <c r="B64" s="51" t="s">
        <v>2020</v>
      </c>
      <c r="C64" s="45" t="s">
        <v>64</v>
      </c>
      <c r="D64" s="45" t="s">
        <v>1579</v>
      </c>
      <c r="E64" s="45" t="s">
        <v>69</v>
      </c>
    </row>
    <row r="65" spans="1:5" ht="15.75" customHeight="1">
      <c r="A65" s="45">
        <v>49</v>
      </c>
      <c r="B65" s="51" t="s">
        <v>2027</v>
      </c>
      <c r="C65" s="45" t="s">
        <v>64</v>
      </c>
      <c r="D65" s="45" t="s">
        <v>1579</v>
      </c>
      <c r="E65" s="45" t="s">
        <v>69</v>
      </c>
    </row>
    <row r="66" spans="1:5" ht="15.75" customHeight="1">
      <c r="A66" s="45">
        <v>50</v>
      </c>
      <c r="B66" s="51" t="s">
        <v>2033</v>
      </c>
      <c r="C66" s="45" t="s">
        <v>64</v>
      </c>
      <c r="D66" s="45" t="s">
        <v>1579</v>
      </c>
      <c r="E66" s="45" t="s">
        <v>69</v>
      </c>
    </row>
    <row r="67" spans="1:5" ht="15.75" customHeight="1">
      <c r="A67" s="45">
        <v>51</v>
      </c>
      <c r="B67" s="51" t="s">
        <v>2042</v>
      </c>
      <c r="C67" s="45" t="s">
        <v>64</v>
      </c>
      <c r="D67" s="45" t="s">
        <v>1579</v>
      </c>
      <c r="E67" s="45" t="s">
        <v>69</v>
      </c>
    </row>
    <row r="68" spans="1:5" ht="15.75" customHeight="1">
      <c r="A68" s="45">
        <v>52</v>
      </c>
      <c r="B68" s="51" t="s">
        <v>2052</v>
      </c>
      <c r="C68" s="45" t="s">
        <v>64</v>
      </c>
      <c r="D68" s="45" t="s">
        <v>1579</v>
      </c>
      <c r="E68" s="45" t="s">
        <v>69</v>
      </c>
    </row>
    <row r="69" spans="1:5" ht="15.75" customHeight="1">
      <c r="A69" s="45">
        <v>53</v>
      </c>
      <c r="B69" s="51" t="s">
        <v>2061</v>
      </c>
      <c r="C69" s="45" t="s">
        <v>64</v>
      </c>
      <c r="D69" s="45" t="s">
        <v>1579</v>
      </c>
      <c r="E69" s="45" t="s">
        <v>69</v>
      </c>
    </row>
    <row r="70" spans="1:5" ht="15.75" customHeight="1">
      <c r="A70" s="45">
        <v>54</v>
      </c>
      <c r="B70" s="51" t="s">
        <v>2067</v>
      </c>
      <c r="C70" s="45" t="s">
        <v>64</v>
      </c>
      <c r="D70" s="45" t="s">
        <v>1579</v>
      </c>
      <c r="E70" s="45" t="s">
        <v>69</v>
      </c>
    </row>
    <row r="71" spans="1:5" ht="15.75" customHeight="1">
      <c r="A71" s="45">
        <v>55</v>
      </c>
      <c r="B71" s="51" t="s">
        <v>2075</v>
      </c>
      <c r="C71" s="45" t="s">
        <v>64</v>
      </c>
      <c r="D71" s="45" t="s">
        <v>1579</v>
      </c>
      <c r="E71" s="45" t="s">
        <v>69</v>
      </c>
    </row>
    <row r="72" spans="1:5" ht="15.75" customHeight="1">
      <c r="A72" s="45">
        <v>56</v>
      </c>
      <c r="B72" s="51" t="s">
        <v>2083</v>
      </c>
      <c r="C72" s="45" t="s">
        <v>64</v>
      </c>
      <c r="D72" s="45" t="s">
        <v>1579</v>
      </c>
      <c r="E72" s="45" t="s">
        <v>69</v>
      </c>
    </row>
    <row r="73" spans="1:5" ht="15.75" customHeight="1">
      <c r="A73" s="45">
        <v>57</v>
      </c>
      <c r="B73" s="51" t="s">
        <v>2090</v>
      </c>
      <c r="C73" s="45" t="s">
        <v>64</v>
      </c>
      <c r="D73" s="45" t="s">
        <v>1579</v>
      </c>
      <c r="E73" s="45" t="s">
        <v>69</v>
      </c>
    </row>
    <row r="74" spans="1:5" ht="15.75" customHeight="1">
      <c r="A74" s="45">
        <v>58</v>
      </c>
      <c r="B74" s="51" t="s">
        <v>2098</v>
      </c>
      <c r="C74" s="45" t="s">
        <v>64</v>
      </c>
      <c r="D74" s="45" t="s">
        <v>1579</v>
      </c>
      <c r="E74" s="45" t="s">
        <v>69</v>
      </c>
    </row>
    <row r="75" spans="1:5" ht="15.75" customHeight="1">
      <c r="A75" s="45">
        <v>59</v>
      </c>
      <c r="B75" s="51" t="s">
        <v>2105</v>
      </c>
      <c r="C75" s="45" t="s">
        <v>64</v>
      </c>
      <c r="D75" s="45" t="s">
        <v>1579</v>
      </c>
      <c r="E75" s="45" t="s">
        <v>69</v>
      </c>
    </row>
    <row r="76" spans="1:5" ht="15.75" customHeight="1">
      <c r="A76" s="45">
        <v>60</v>
      </c>
      <c r="B76" s="51" t="s">
        <v>2112</v>
      </c>
      <c r="C76" s="45" t="s">
        <v>64</v>
      </c>
      <c r="D76" s="45" t="s">
        <v>1579</v>
      </c>
      <c r="E76" s="45" t="s">
        <v>69</v>
      </c>
    </row>
    <row r="77" spans="1:5" ht="15.75" customHeight="1">
      <c r="A77" s="45">
        <v>61</v>
      </c>
      <c r="B77" s="51" t="s">
        <v>2118</v>
      </c>
      <c r="C77" s="45" t="s">
        <v>64</v>
      </c>
      <c r="D77" s="45" t="s">
        <v>1579</v>
      </c>
      <c r="E77" s="45" t="s">
        <v>69</v>
      </c>
    </row>
    <row r="78" spans="1:5" ht="15.75" customHeight="1">
      <c r="A78" s="45">
        <v>62</v>
      </c>
      <c r="B78" s="51" t="s">
        <v>2127</v>
      </c>
      <c r="C78" s="45" t="s">
        <v>64</v>
      </c>
      <c r="D78" s="45" t="s">
        <v>1579</v>
      </c>
      <c r="E78" s="45" t="s">
        <v>69</v>
      </c>
    </row>
    <row r="79" spans="1:5" ht="15.75" customHeight="1">
      <c r="A79" s="45">
        <v>63</v>
      </c>
      <c r="B79" s="51" t="s">
        <v>2137</v>
      </c>
      <c r="C79" s="45" t="s">
        <v>64</v>
      </c>
      <c r="D79" s="45" t="s">
        <v>1579</v>
      </c>
      <c r="E79" s="45" t="s">
        <v>69</v>
      </c>
    </row>
    <row r="80" spans="1:5" ht="15.75" customHeight="1">
      <c r="A80" s="45">
        <v>64</v>
      </c>
      <c r="B80" s="51" t="s">
        <v>2145</v>
      </c>
      <c r="C80" s="45" t="s">
        <v>64</v>
      </c>
      <c r="D80" s="45" t="s">
        <v>1579</v>
      </c>
      <c r="E80" s="45" t="s">
        <v>69</v>
      </c>
    </row>
    <row r="81" spans="1:5" ht="15.75" customHeight="1">
      <c r="A81" s="45">
        <v>65</v>
      </c>
      <c r="B81" s="51" t="s">
        <v>2153</v>
      </c>
      <c r="C81" s="45" t="s">
        <v>64</v>
      </c>
      <c r="D81" s="45" t="s">
        <v>1579</v>
      </c>
      <c r="E81" s="45" t="s">
        <v>69</v>
      </c>
    </row>
    <row r="82" spans="1:5" ht="15.75" customHeight="1">
      <c r="A82" s="45">
        <v>66</v>
      </c>
      <c r="B82" s="51" t="s">
        <v>2160</v>
      </c>
      <c r="C82" s="45" t="s">
        <v>64</v>
      </c>
      <c r="D82" s="45" t="s">
        <v>1579</v>
      </c>
      <c r="E82" s="45" t="s">
        <v>69</v>
      </c>
    </row>
    <row r="83" spans="1:5" ht="15.75" customHeight="1">
      <c r="A83" s="45">
        <v>67</v>
      </c>
      <c r="B83" s="51" t="s">
        <v>2167</v>
      </c>
      <c r="C83" s="45" t="s">
        <v>64</v>
      </c>
      <c r="D83" s="45" t="s">
        <v>1579</v>
      </c>
      <c r="E83" s="45" t="s">
        <v>69</v>
      </c>
    </row>
    <row r="84" spans="1:5" ht="15.75" customHeight="1">
      <c r="A84" s="45">
        <v>68</v>
      </c>
      <c r="B84" s="51" t="s">
        <v>2175</v>
      </c>
      <c r="C84" s="45" t="s">
        <v>64</v>
      </c>
      <c r="D84" s="45" t="s">
        <v>1579</v>
      </c>
      <c r="E84" s="45" t="s">
        <v>69</v>
      </c>
    </row>
    <row r="85" spans="1:5" ht="15.75" customHeight="1">
      <c r="A85" s="45">
        <v>69</v>
      </c>
      <c r="B85" s="51" t="s">
        <v>2181</v>
      </c>
      <c r="C85" s="45" t="s">
        <v>64</v>
      </c>
      <c r="D85" s="45" t="s">
        <v>1579</v>
      </c>
      <c r="E85" s="45" t="s">
        <v>69</v>
      </c>
    </row>
    <row r="86" spans="1:5" ht="15.75" customHeight="1">
      <c r="A86" s="45">
        <v>70</v>
      </c>
      <c r="B86" s="51" t="s">
        <v>2188</v>
      </c>
      <c r="C86" s="45" t="s">
        <v>64</v>
      </c>
      <c r="D86" s="45" t="s">
        <v>1579</v>
      </c>
      <c r="E86" s="45" t="s">
        <v>69</v>
      </c>
    </row>
    <row r="87" spans="1:5" ht="15.75" customHeight="1">
      <c r="A87" s="45">
        <v>71</v>
      </c>
      <c r="B87" s="51" t="s">
        <v>2194</v>
      </c>
      <c r="C87" s="45" t="s">
        <v>64</v>
      </c>
      <c r="D87" s="45" t="s">
        <v>1579</v>
      </c>
      <c r="E87" s="45" t="s">
        <v>325</v>
      </c>
    </row>
    <row r="88" spans="1:5" ht="15.75" customHeight="1">
      <c r="A88" s="45">
        <v>72</v>
      </c>
      <c r="B88" s="51" t="s">
        <v>2203</v>
      </c>
      <c r="C88" s="45" t="s">
        <v>64</v>
      </c>
      <c r="D88" s="45" t="s">
        <v>1579</v>
      </c>
      <c r="E88" s="45" t="s">
        <v>69</v>
      </c>
    </row>
    <row r="89" spans="1:5" ht="15.75" customHeight="1">
      <c r="A89" s="45">
        <v>73</v>
      </c>
      <c r="B89" s="51" t="s">
        <v>2211</v>
      </c>
      <c r="C89" s="45" t="s">
        <v>64</v>
      </c>
      <c r="D89" s="45" t="s">
        <v>1579</v>
      </c>
      <c r="E89" s="45" t="s">
        <v>69</v>
      </c>
    </row>
    <row r="90" spans="1:5" ht="15.75" customHeight="1">
      <c r="A90" s="45">
        <v>74</v>
      </c>
      <c r="B90" s="51" t="s">
        <v>2218</v>
      </c>
      <c r="C90" s="45" t="s">
        <v>64</v>
      </c>
      <c r="D90" s="45" t="s">
        <v>1579</v>
      </c>
      <c r="E90" s="45" t="s">
        <v>69</v>
      </c>
    </row>
    <row r="91" spans="1:5" ht="15.75" customHeight="1">
      <c r="A91" s="45">
        <v>75</v>
      </c>
      <c r="B91" s="51" t="s">
        <v>2225</v>
      </c>
      <c r="C91" s="45" t="s">
        <v>64</v>
      </c>
      <c r="D91" s="45" t="s">
        <v>1579</v>
      </c>
      <c r="E91" s="45" t="s">
        <v>5198</v>
      </c>
    </row>
    <row r="92" spans="1:5" ht="15.75" customHeight="1">
      <c r="A92" s="45">
        <v>76</v>
      </c>
      <c r="B92" s="51" t="s">
        <v>2234</v>
      </c>
      <c r="C92" s="45" t="s">
        <v>64</v>
      </c>
      <c r="D92" s="45" t="s">
        <v>1579</v>
      </c>
      <c r="E92" s="45" t="s">
        <v>69</v>
      </c>
    </row>
    <row r="93" spans="1:5" ht="15.75" customHeight="1">
      <c r="A93" s="45">
        <v>77</v>
      </c>
      <c r="B93" s="51" t="s">
        <v>2242</v>
      </c>
      <c r="C93" s="45" t="s">
        <v>64</v>
      </c>
      <c r="D93" s="45" t="s">
        <v>1579</v>
      </c>
      <c r="E93" s="45" t="s">
        <v>69</v>
      </c>
    </row>
    <row r="94" spans="1:5" ht="15.75" customHeight="1">
      <c r="A94" s="45">
        <v>78</v>
      </c>
      <c r="B94" s="51" t="s">
        <v>2251</v>
      </c>
      <c r="C94" s="45" t="s">
        <v>64</v>
      </c>
      <c r="D94" s="45" t="s">
        <v>1579</v>
      </c>
      <c r="E94" s="45" t="s">
        <v>69</v>
      </c>
    </row>
    <row r="95" spans="1:5" ht="15.75" customHeight="1">
      <c r="A95" s="45">
        <v>79</v>
      </c>
      <c r="B95" s="51" t="s">
        <v>2258</v>
      </c>
      <c r="C95" s="45" t="s">
        <v>64</v>
      </c>
      <c r="D95" s="45" t="s">
        <v>1579</v>
      </c>
      <c r="E95" s="45" t="s">
        <v>69</v>
      </c>
    </row>
    <row r="96" spans="1:5" ht="15.75" customHeight="1">
      <c r="A96" s="45">
        <v>80</v>
      </c>
      <c r="B96" s="51" t="s">
        <v>2268</v>
      </c>
      <c r="C96" s="45" t="s">
        <v>64</v>
      </c>
      <c r="D96" s="45" t="s">
        <v>1579</v>
      </c>
      <c r="E96" s="45" t="s">
        <v>69</v>
      </c>
    </row>
    <row r="97" spans="1:5" ht="15.75" customHeight="1">
      <c r="A97" s="45">
        <v>81</v>
      </c>
      <c r="B97" s="51" t="s">
        <v>2275</v>
      </c>
      <c r="C97" s="45" t="s">
        <v>64</v>
      </c>
      <c r="D97" s="45" t="s">
        <v>1579</v>
      </c>
      <c r="E97" s="45" t="s">
        <v>69</v>
      </c>
    </row>
    <row r="98" spans="1:5" ht="15.75" customHeight="1">
      <c r="A98" s="45">
        <v>82</v>
      </c>
      <c r="B98" s="51" t="s">
        <v>2283</v>
      </c>
      <c r="C98" s="45" t="s">
        <v>64</v>
      </c>
      <c r="D98" s="45" t="s">
        <v>1579</v>
      </c>
      <c r="E98" s="45" t="s">
        <v>69</v>
      </c>
    </row>
    <row r="99" spans="1:5" ht="15.75" customHeight="1">
      <c r="A99" s="45">
        <v>83</v>
      </c>
      <c r="B99" s="51" t="s">
        <v>2290</v>
      </c>
      <c r="C99" s="45" t="s">
        <v>64</v>
      </c>
      <c r="D99" s="45" t="s">
        <v>1579</v>
      </c>
      <c r="E99" s="45" t="s">
        <v>69</v>
      </c>
    </row>
    <row r="100" spans="1:5" ht="15.75" customHeight="1">
      <c r="A100" s="45">
        <v>84</v>
      </c>
      <c r="B100" s="51" t="s">
        <v>2300</v>
      </c>
      <c r="C100" s="45" t="s">
        <v>64</v>
      </c>
      <c r="D100" s="45" t="s">
        <v>1579</v>
      </c>
      <c r="E100" s="45" t="s">
        <v>69</v>
      </c>
    </row>
    <row r="101" spans="1:5" ht="15.75" customHeight="1">
      <c r="A101" s="45">
        <v>85</v>
      </c>
      <c r="B101" s="51" t="s">
        <v>2310</v>
      </c>
      <c r="C101" s="45" t="s">
        <v>64</v>
      </c>
      <c r="D101" s="45" t="s">
        <v>1579</v>
      </c>
      <c r="E101" s="45" t="s">
        <v>69</v>
      </c>
    </row>
    <row r="102" spans="1:5" ht="15.75" customHeight="1">
      <c r="A102" s="45">
        <v>86</v>
      </c>
      <c r="B102" s="51" t="s">
        <v>2316</v>
      </c>
      <c r="C102" s="45" t="s">
        <v>64</v>
      </c>
      <c r="D102" s="45" t="s">
        <v>1579</v>
      </c>
      <c r="E102" s="45" t="s">
        <v>69</v>
      </c>
    </row>
    <row r="103" spans="1:5" ht="15.75" customHeight="1">
      <c r="A103" s="45">
        <v>87</v>
      </c>
      <c r="B103" s="51" t="s">
        <v>2323</v>
      </c>
      <c r="C103" s="45" t="s">
        <v>64</v>
      </c>
      <c r="D103" s="45" t="s">
        <v>1579</v>
      </c>
      <c r="E103" s="45" t="s">
        <v>69</v>
      </c>
    </row>
    <row r="104" spans="1:5" ht="15.75" customHeight="1">
      <c r="A104" s="45">
        <v>88</v>
      </c>
      <c r="B104" s="51" t="s">
        <v>2332</v>
      </c>
      <c r="C104" s="45" t="s">
        <v>64</v>
      </c>
      <c r="D104" s="45" t="s">
        <v>1579</v>
      </c>
      <c r="E104" s="45" t="s">
        <v>69</v>
      </c>
    </row>
    <row r="105" spans="1:5" ht="15.75" customHeight="1">
      <c r="A105" s="45">
        <v>89</v>
      </c>
      <c r="B105" s="51" t="s">
        <v>2340</v>
      </c>
      <c r="C105" s="45" t="s">
        <v>64</v>
      </c>
      <c r="D105" s="45" t="s">
        <v>1579</v>
      </c>
      <c r="E105" s="45" t="s">
        <v>69</v>
      </c>
    </row>
    <row r="106" spans="1:5" ht="15.75" customHeight="1">
      <c r="A106" s="45">
        <v>90</v>
      </c>
      <c r="B106" s="51" t="s">
        <v>2347</v>
      </c>
      <c r="C106" s="45" t="s">
        <v>64</v>
      </c>
      <c r="D106" s="45" t="s">
        <v>1579</v>
      </c>
      <c r="E106" s="45" t="s">
        <v>69</v>
      </c>
    </row>
    <row r="107" spans="1:5" ht="15.75" customHeight="1">
      <c r="A107" s="45">
        <v>91</v>
      </c>
      <c r="B107" s="51" t="s">
        <v>2355</v>
      </c>
      <c r="C107" s="45" t="s">
        <v>64</v>
      </c>
      <c r="D107" s="45" t="s">
        <v>1579</v>
      </c>
      <c r="E107" s="45" t="s">
        <v>69</v>
      </c>
    </row>
    <row r="108" spans="1:5" ht="15.75" customHeight="1">
      <c r="A108" s="45">
        <v>92</v>
      </c>
      <c r="B108" s="51" t="s">
        <v>2361</v>
      </c>
      <c r="C108" s="45" t="s">
        <v>64</v>
      </c>
      <c r="D108" s="45" t="s">
        <v>1579</v>
      </c>
      <c r="E108" s="45" t="s">
        <v>69</v>
      </c>
    </row>
    <row r="109" spans="1:5" ht="15.75" customHeight="1">
      <c r="A109" s="45">
        <v>93</v>
      </c>
      <c r="B109" s="51" t="s">
        <v>2370</v>
      </c>
      <c r="C109" s="45" t="s">
        <v>64</v>
      </c>
      <c r="D109" s="45" t="s">
        <v>1579</v>
      </c>
      <c r="E109" s="45" t="s">
        <v>69</v>
      </c>
    </row>
    <row r="110" spans="1:5" ht="15.75" customHeight="1">
      <c r="A110" s="45">
        <v>94</v>
      </c>
      <c r="B110" s="51" t="s">
        <v>2377</v>
      </c>
      <c r="C110" s="45" t="s">
        <v>64</v>
      </c>
      <c r="D110" s="45" t="s">
        <v>1579</v>
      </c>
      <c r="E110" s="45" t="s">
        <v>69</v>
      </c>
    </row>
    <row r="111" spans="1:5" ht="15.75" customHeight="1">
      <c r="A111" s="45">
        <v>95</v>
      </c>
      <c r="B111" s="51" t="s">
        <v>2385</v>
      </c>
      <c r="C111" s="45" t="s">
        <v>64</v>
      </c>
      <c r="D111" s="45" t="s">
        <v>1579</v>
      </c>
      <c r="E111" s="45" t="s">
        <v>69</v>
      </c>
    </row>
    <row r="112" spans="1:5" ht="15.75" customHeight="1">
      <c r="A112" s="45">
        <v>96</v>
      </c>
      <c r="B112" s="51" t="s">
        <v>2393</v>
      </c>
      <c r="C112" s="45" t="s">
        <v>64</v>
      </c>
      <c r="D112" s="45" t="s">
        <v>1579</v>
      </c>
      <c r="E112" s="45" t="s">
        <v>69</v>
      </c>
    </row>
    <row r="113" spans="1:5" ht="15.75" customHeight="1">
      <c r="A113" s="45">
        <v>97</v>
      </c>
      <c r="B113" s="51" t="s">
        <v>2402</v>
      </c>
      <c r="C113" s="45" t="s">
        <v>64</v>
      </c>
      <c r="D113" s="45" t="s">
        <v>1579</v>
      </c>
      <c r="E113" s="45" t="s">
        <v>69</v>
      </c>
    </row>
    <row r="114" spans="1:5" ht="15.75" customHeight="1">
      <c r="A114" s="45">
        <v>98</v>
      </c>
      <c r="B114" s="51" t="s">
        <v>2411</v>
      </c>
      <c r="C114" s="45" t="s">
        <v>64</v>
      </c>
      <c r="D114" s="45" t="s">
        <v>1579</v>
      </c>
      <c r="E114" s="45" t="s">
        <v>69</v>
      </c>
    </row>
    <row r="115" spans="1:5" ht="15.75" customHeight="1">
      <c r="A115" s="45">
        <v>99</v>
      </c>
      <c r="B115" s="51" t="s">
        <v>2420</v>
      </c>
      <c r="C115" s="45" t="s">
        <v>64</v>
      </c>
      <c r="D115" s="45" t="s">
        <v>1579</v>
      </c>
      <c r="E115" s="45" t="s">
        <v>69</v>
      </c>
    </row>
    <row r="116" spans="1:5" ht="15.75" customHeight="1">
      <c r="A116" s="45">
        <v>100</v>
      </c>
      <c r="B116" s="51" t="s">
        <v>2429</v>
      </c>
      <c r="C116" s="45" t="s">
        <v>64</v>
      </c>
      <c r="D116" s="45" t="s">
        <v>1579</v>
      </c>
      <c r="E116" s="45" t="s">
        <v>69</v>
      </c>
    </row>
    <row r="117" spans="1:5" ht="15.75" customHeight="1">
      <c r="A117" s="45">
        <v>101</v>
      </c>
      <c r="B117" s="51" t="s">
        <v>2438</v>
      </c>
      <c r="C117" s="45" t="s">
        <v>64</v>
      </c>
      <c r="D117" s="45" t="s">
        <v>1579</v>
      </c>
      <c r="E117" s="45" t="s">
        <v>69</v>
      </c>
    </row>
    <row r="118" spans="1:5" ht="15.75" customHeight="1">
      <c r="A118" s="45">
        <v>102</v>
      </c>
      <c r="B118" s="51" t="s">
        <v>2446</v>
      </c>
      <c r="C118" s="45" t="s">
        <v>64</v>
      </c>
      <c r="D118" s="45" t="s">
        <v>1579</v>
      </c>
      <c r="E118" s="45" t="s">
        <v>69</v>
      </c>
    </row>
    <row r="119" spans="1:5" ht="15.75" customHeight="1">
      <c r="A119" s="45">
        <v>103</v>
      </c>
      <c r="B119" s="51" t="s">
        <v>2456</v>
      </c>
      <c r="C119" s="45" t="s">
        <v>64</v>
      </c>
      <c r="D119" s="45" t="s">
        <v>1579</v>
      </c>
      <c r="E119" s="45" t="s">
        <v>325</v>
      </c>
    </row>
    <row r="120" spans="1:5" ht="15.75" customHeight="1">
      <c r="A120" s="45">
        <v>104</v>
      </c>
      <c r="B120" s="51" t="s">
        <v>2465</v>
      </c>
      <c r="C120" s="45" t="s">
        <v>64</v>
      </c>
      <c r="D120" s="45" t="s">
        <v>1579</v>
      </c>
      <c r="E120" s="45" t="s">
        <v>69</v>
      </c>
    </row>
    <row r="121" spans="1:5" ht="15.75" customHeight="1">
      <c r="A121" s="45">
        <v>105</v>
      </c>
      <c r="B121" s="51" t="s">
        <v>2471</v>
      </c>
      <c r="C121" s="45" t="s">
        <v>64</v>
      </c>
      <c r="D121" s="45" t="s">
        <v>1579</v>
      </c>
      <c r="E121" s="45" t="s">
        <v>69</v>
      </c>
    </row>
    <row r="122" spans="1:5" ht="15.75" customHeight="1">
      <c r="A122" s="45">
        <v>106</v>
      </c>
      <c r="B122" s="51" t="s">
        <v>2478</v>
      </c>
      <c r="C122" s="45" t="s">
        <v>64</v>
      </c>
      <c r="D122" s="45" t="s">
        <v>1579</v>
      </c>
      <c r="E122" s="45" t="s">
        <v>69</v>
      </c>
    </row>
    <row r="123" spans="1:5" ht="15.75" customHeight="1">
      <c r="A123" s="45">
        <v>107</v>
      </c>
      <c r="B123" s="51" t="s">
        <v>2486</v>
      </c>
      <c r="C123" s="45" t="s">
        <v>64</v>
      </c>
      <c r="D123" s="45" t="s">
        <v>1579</v>
      </c>
      <c r="E123" s="45" t="s">
        <v>69</v>
      </c>
    </row>
    <row r="124" spans="1:5" ht="15.75" customHeight="1">
      <c r="A124" s="45">
        <v>108</v>
      </c>
      <c r="B124" s="51" t="s">
        <v>2495</v>
      </c>
      <c r="C124" s="45" t="s">
        <v>64</v>
      </c>
      <c r="D124" s="45" t="s">
        <v>1579</v>
      </c>
      <c r="E124" s="45" t="s">
        <v>69</v>
      </c>
    </row>
    <row r="125" spans="1:5" ht="15.75" customHeight="1">
      <c r="A125" s="45">
        <v>109</v>
      </c>
      <c r="B125" s="51" t="s">
        <v>2500</v>
      </c>
      <c r="C125" s="45" t="s">
        <v>64</v>
      </c>
      <c r="D125" s="45" t="s">
        <v>1579</v>
      </c>
      <c r="E125" s="45" t="s">
        <v>69</v>
      </c>
    </row>
    <row r="126" spans="1:5" ht="15.75" customHeight="1">
      <c r="A126" s="45">
        <v>110</v>
      </c>
      <c r="B126" s="51" t="s">
        <v>2507</v>
      </c>
      <c r="C126" s="45" t="s">
        <v>64</v>
      </c>
      <c r="D126" s="45" t="s">
        <v>1579</v>
      </c>
      <c r="E126" s="45" t="s">
        <v>69</v>
      </c>
    </row>
    <row r="127" spans="1:5" ht="15.75" customHeight="1">
      <c r="A127" s="45">
        <v>111</v>
      </c>
      <c r="B127" s="51" t="s">
        <v>2514</v>
      </c>
      <c r="C127" s="45" t="s">
        <v>64</v>
      </c>
      <c r="D127" s="45" t="s">
        <v>1579</v>
      </c>
      <c r="E127" s="45" t="s">
        <v>69</v>
      </c>
    </row>
    <row r="128" spans="1:5" ht="15.75" customHeight="1">
      <c r="A128" s="45">
        <v>112</v>
      </c>
      <c r="B128" s="51" t="s">
        <v>2524</v>
      </c>
      <c r="C128" s="45" t="s">
        <v>64</v>
      </c>
      <c r="D128" s="45" t="s">
        <v>1579</v>
      </c>
      <c r="E128" s="45" t="s">
        <v>69</v>
      </c>
    </row>
    <row r="129" spans="1:5" ht="15.75" customHeight="1">
      <c r="A129" s="45">
        <v>113</v>
      </c>
      <c r="B129" s="51" t="s">
        <v>2532</v>
      </c>
      <c r="C129" s="45" t="s">
        <v>64</v>
      </c>
      <c r="D129" s="45" t="s">
        <v>1579</v>
      </c>
      <c r="E129" s="45" t="s">
        <v>69</v>
      </c>
    </row>
    <row r="130" spans="1:5" ht="15.75" customHeight="1">
      <c r="A130" s="45">
        <v>114</v>
      </c>
      <c r="B130" s="51" t="s">
        <v>2541</v>
      </c>
      <c r="C130" s="45" t="s">
        <v>64</v>
      </c>
      <c r="D130" s="45" t="s">
        <v>1579</v>
      </c>
      <c r="E130" s="45" t="s">
        <v>69</v>
      </c>
    </row>
    <row r="131" spans="1:5" ht="15.75" customHeight="1">
      <c r="A131" s="45">
        <v>115</v>
      </c>
      <c r="B131" s="51" t="s">
        <v>2550</v>
      </c>
      <c r="C131" s="45" t="s">
        <v>64</v>
      </c>
      <c r="D131" s="45" t="s">
        <v>1579</v>
      </c>
      <c r="E131" s="45" t="s">
        <v>69</v>
      </c>
    </row>
    <row r="132" spans="1:5" ht="15.75" customHeight="1">
      <c r="A132" s="45">
        <v>116</v>
      </c>
      <c r="B132" s="51" t="s">
        <v>2558</v>
      </c>
      <c r="C132" s="45" t="s">
        <v>64</v>
      </c>
      <c r="D132" s="45" t="s">
        <v>1579</v>
      </c>
      <c r="E132" s="45" t="s">
        <v>69</v>
      </c>
    </row>
    <row r="133" spans="1:5" ht="15.75" customHeight="1">
      <c r="A133" s="45">
        <v>117</v>
      </c>
      <c r="B133" s="51" t="s">
        <v>2565</v>
      </c>
      <c r="C133" s="45" t="s">
        <v>64</v>
      </c>
      <c r="D133" s="45" t="s">
        <v>1579</v>
      </c>
      <c r="E133" s="45" t="s">
        <v>69</v>
      </c>
    </row>
    <row r="134" spans="1:5" ht="15.75" customHeight="1">
      <c r="A134" s="45">
        <v>118</v>
      </c>
      <c r="B134" s="51" t="s">
        <v>2573</v>
      </c>
      <c r="C134" s="45" t="s">
        <v>64</v>
      </c>
      <c r="D134" s="45" t="s">
        <v>1579</v>
      </c>
      <c r="E134" s="45" t="s">
        <v>69</v>
      </c>
    </row>
    <row r="135" spans="1:5" ht="15.75" customHeight="1">
      <c r="A135" s="45">
        <v>119</v>
      </c>
      <c r="B135" s="51" t="s">
        <v>2581</v>
      </c>
      <c r="C135" s="45" t="s">
        <v>64</v>
      </c>
      <c r="D135" s="45" t="s">
        <v>1579</v>
      </c>
      <c r="E135" s="45" t="s">
        <v>69</v>
      </c>
    </row>
    <row r="136" spans="1:5" ht="15.75" customHeight="1">
      <c r="A136" s="45">
        <v>120</v>
      </c>
      <c r="B136" s="51" t="s">
        <v>2588</v>
      </c>
      <c r="C136" s="45" t="s">
        <v>64</v>
      </c>
      <c r="D136" s="45" t="s">
        <v>1579</v>
      </c>
      <c r="E136" s="45" t="s">
        <v>69</v>
      </c>
    </row>
    <row r="137" spans="1:5" ht="15.75" customHeight="1">
      <c r="A137" s="45">
        <v>121</v>
      </c>
      <c r="B137" s="51" t="s">
        <v>2596</v>
      </c>
      <c r="C137" s="45" t="s">
        <v>64</v>
      </c>
      <c r="D137" s="45" t="s">
        <v>1579</v>
      </c>
      <c r="E137" s="45" t="s">
        <v>69</v>
      </c>
    </row>
    <row r="138" spans="1:5" ht="15.75" customHeight="1">
      <c r="A138" s="45">
        <v>122</v>
      </c>
      <c r="B138" s="51" t="s">
        <v>2604</v>
      </c>
      <c r="C138" s="45" t="s">
        <v>64</v>
      </c>
      <c r="D138" s="45" t="s">
        <v>1579</v>
      </c>
      <c r="E138" s="45" t="s">
        <v>69</v>
      </c>
    </row>
    <row r="139" spans="1:5" ht="15.75" customHeight="1">
      <c r="A139" s="45">
        <v>123</v>
      </c>
      <c r="B139" s="51" t="s">
        <v>2612</v>
      </c>
      <c r="C139" s="45" t="s">
        <v>64</v>
      </c>
      <c r="D139" s="45" t="s">
        <v>1579</v>
      </c>
      <c r="E139" s="45" t="s">
        <v>69</v>
      </c>
    </row>
    <row r="140" spans="1:5" ht="15.75" customHeight="1">
      <c r="A140" s="45">
        <v>124</v>
      </c>
      <c r="B140" s="51" t="s">
        <v>2620</v>
      </c>
      <c r="C140" s="45" t="s">
        <v>64</v>
      </c>
      <c r="D140" s="45" t="s">
        <v>1579</v>
      </c>
      <c r="E140" s="45" t="s">
        <v>69</v>
      </c>
    </row>
    <row r="141" spans="1:5" ht="15.75" customHeight="1">
      <c r="A141" s="45">
        <v>125</v>
      </c>
      <c r="B141" s="51" t="s">
        <v>2628</v>
      </c>
      <c r="C141" s="45" t="s">
        <v>64</v>
      </c>
      <c r="D141" s="45" t="s">
        <v>1579</v>
      </c>
      <c r="E141" s="45" t="s">
        <v>69</v>
      </c>
    </row>
    <row r="142" spans="1:5" ht="15.75" customHeight="1">
      <c r="A142" s="45">
        <v>126</v>
      </c>
      <c r="B142" s="51" t="s">
        <v>2637</v>
      </c>
      <c r="C142" s="45" t="s">
        <v>64</v>
      </c>
      <c r="D142" s="45" t="s">
        <v>1579</v>
      </c>
      <c r="E142" s="45" t="s">
        <v>69</v>
      </c>
    </row>
    <row r="143" spans="1:5" ht="15.75" customHeight="1">
      <c r="A143" s="45">
        <v>127</v>
      </c>
      <c r="B143" s="51" t="s">
        <v>2645</v>
      </c>
      <c r="C143" s="45" t="s">
        <v>64</v>
      </c>
      <c r="D143" s="45" t="s">
        <v>1579</v>
      </c>
      <c r="E143" s="45" t="s">
        <v>69</v>
      </c>
    </row>
    <row r="144" spans="1:5" ht="15.75" customHeight="1">
      <c r="A144" s="45">
        <v>128</v>
      </c>
      <c r="B144" s="51" t="s">
        <v>2652</v>
      </c>
      <c r="C144" s="45" t="s">
        <v>64</v>
      </c>
      <c r="D144" s="45" t="s">
        <v>1579</v>
      </c>
      <c r="E144" s="45" t="s">
        <v>69</v>
      </c>
    </row>
    <row r="145" spans="1:5" ht="15.75" customHeight="1">
      <c r="A145" s="45">
        <v>129</v>
      </c>
      <c r="B145" s="51" t="s">
        <v>2660</v>
      </c>
      <c r="C145" s="45" t="s">
        <v>64</v>
      </c>
      <c r="D145" s="45" t="s">
        <v>1579</v>
      </c>
      <c r="E145" s="45" t="s">
        <v>69</v>
      </c>
    </row>
    <row r="146" spans="1:5" ht="15.75" customHeight="1">
      <c r="A146" s="45">
        <v>130</v>
      </c>
      <c r="B146" s="51" t="s">
        <v>2667</v>
      </c>
      <c r="C146" s="45" t="s">
        <v>64</v>
      </c>
      <c r="D146" s="45" t="s">
        <v>1579</v>
      </c>
      <c r="E146" s="45" t="s">
        <v>69</v>
      </c>
    </row>
    <row r="147" spans="1:5" ht="15.75" customHeight="1">
      <c r="A147" s="45">
        <v>131</v>
      </c>
      <c r="B147" s="51" t="s">
        <v>2675</v>
      </c>
      <c r="C147" s="45" t="s">
        <v>64</v>
      </c>
      <c r="D147" s="45" t="s">
        <v>1579</v>
      </c>
      <c r="E147" s="45" t="s">
        <v>69</v>
      </c>
    </row>
    <row r="148" spans="1:5" ht="15.75" customHeight="1">
      <c r="A148" s="45">
        <v>132</v>
      </c>
      <c r="B148" s="51" t="s">
        <v>2682</v>
      </c>
      <c r="C148" s="45" t="s">
        <v>64</v>
      </c>
      <c r="D148" s="45" t="s">
        <v>1579</v>
      </c>
      <c r="E148" s="45" t="s">
        <v>69</v>
      </c>
    </row>
    <row r="149" spans="1:5" ht="15.75" customHeight="1">
      <c r="A149" s="45">
        <v>133</v>
      </c>
      <c r="B149" s="51" t="s">
        <v>2688</v>
      </c>
      <c r="C149" s="45" t="s">
        <v>64</v>
      </c>
      <c r="D149" s="45" t="s">
        <v>1579</v>
      </c>
      <c r="E149" s="45" t="s">
        <v>69</v>
      </c>
    </row>
    <row r="150" spans="1:5" ht="15.75" customHeight="1">
      <c r="A150" s="45">
        <v>134</v>
      </c>
      <c r="B150" s="51" t="s">
        <v>2695</v>
      </c>
      <c r="C150" s="45" t="s">
        <v>64</v>
      </c>
      <c r="D150" s="45" t="s">
        <v>1579</v>
      </c>
      <c r="E150" s="45" t="s">
        <v>69</v>
      </c>
    </row>
    <row r="151" spans="1:5" ht="15.75" customHeight="1">
      <c r="A151" s="45">
        <v>135</v>
      </c>
      <c r="B151" s="51" t="s">
        <v>2703</v>
      </c>
      <c r="C151" s="45" t="s">
        <v>64</v>
      </c>
      <c r="D151" s="45" t="s">
        <v>1579</v>
      </c>
      <c r="E151" s="45" t="s">
        <v>69</v>
      </c>
    </row>
    <row r="152" spans="1:5" ht="15.75" customHeight="1">
      <c r="A152" s="45">
        <v>136</v>
      </c>
      <c r="B152" s="51" t="s">
        <v>2711</v>
      </c>
      <c r="C152" s="45" t="s">
        <v>64</v>
      </c>
      <c r="D152" s="45" t="s">
        <v>1579</v>
      </c>
      <c r="E152" s="45" t="s">
        <v>69</v>
      </c>
    </row>
    <row r="153" spans="1:5" ht="15.75" customHeight="1">
      <c r="A153" s="45">
        <v>137</v>
      </c>
      <c r="B153" s="51" t="s">
        <v>2718</v>
      </c>
      <c r="C153" s="45" t="s">
        <v>64</v>
      </c>
      <c r="D153" s="45" t="s">
        <v>1579</v>
      </c>
      <c r="E153" s="45" t="s">
        <v>69</v>
      </c>
    </row>
    <row r="154" spans="1:5" ht="15.75" customHeight="1">
      <c r="A154" s="45">
        <v>138</v>
      </c>
      <c r="B154" s="51" t="s">
        <v>2727</v>
      </c>
      <c r="C154" s="45" t="s">
        <v>64</v>
      </c>
      <c r="D154" s="45" t="s">
        <v>1579</v>
      </c>
      <c r="E154" s="45" t="s">
        <v>69</v>
      </c>
    </row>
    <row r="155" spans="1:5" ht="15.75" customHeight="1">
      <c r="A155" s="45">
        <v>139</v>
      </c>
      <c r="B155" s="51" t="s">
        <v>2733</v>
      </c>
      <c r="C155" s="45" t="s">
        <v>64</v>
      </c>
      <c r="D155" s="45" t="s">
        <v>1579</v>
      </c>
      <c r="E155" s="45" t="s">
        <v>69</v>
      </c>
    </row>
    <row r="156" spans="1:5" ht="15.75" customHeight="1">
      <c r="A156" s="45">
        <v>140</v>
      </c>
      <c r="B156" s="51" t="s">
        <v>2741</v>
      </c>
      <c r="C156" s="45" t="s">
        <v>64</v>
      </c>
      <c r="D156" s="45" t="s">
        <v>1579</v>
      </c>
      <c r="E156" s="45" t="s">
        <v>69</v>
      </c>
    </row>
    <row r="157" spans="1:5" ht="15.75" customHeight="1">
      <c r="A157" s="45">
        <v>141</v>
      </c>
      <c r="B157" s="51" t="s">
        <v>2748</v>
      </c>
      <c r="C157" s="45" t="s">
        <v>64</v>
      </c>
      <c r="D157" s="45" t="s">
        <v>1579</v>
      </c>
      <c r="E157" s="45" t="s">
        <v>69</v>
      </c>
    </row>
    <row r="158" spans="1:5" ht="15.75" customHeight="1">
      <c r="A158" s="45">
        <v>142</v>
      </c>
      <c r="B158" s="51" t="s">
        <v>2756</v>
      </c>
      <c r="C158" s="45" t="s">
        <v>64</v>
      </c>
      <c r="D158" s="45" t="s">
        <v>1579</v>
      </c>
      <c r="E158" s="45" t="s">
        <v>69</v>
      </c>
    </row>
    <row r="159" spans="1:5" ht="15.75" customHeight="1">
      <c r="A159" s="45">
        <v>143</v>
      </c>
      <c r="B159" s="51" t="s">
        <v>2765</v>
      </c>
      <c r="C159" s="45" t="s">
        <v>64</v>
      </c>
      <c r="D159" s="45" t="s">
        <v>1579</v>
      </c>
      <c r="E159" s="45" t="s">
        <v>69</v>
      </c>
    </row>
    <row r="160" spans="1:5" ht="15.75" customHeight="1">
      <c r="A160" s="45">
        <v>144</v>
      </c>
      <c r="B160" s="51" t="s">
        <v>2774</v>
      </c>
      <c r="C160" s="45" t="s">
        <v>64</v>
      </c>
      <c r="D160" s="45" t="s">
        <v>1579</v>
      </c>
      <c r="E160" s="45" t="s">
        <v>69</v>
      </c>
    </row>
    <row r="161" spans="1:5" ht="15.75" customHeight="1">
      <c r="A161" s="45">
        <v>145</v>
      </c>
      <c r="B161" s="51" t="s">
        <v>2782</v>
      </c>
      <c r="C161" s="45" t="s">
        <v>64</v>
      </c>
      <c r="D161" s="45" t="s">
        <v>1579</v>
      </c>
      <c r="E161" s="45" t="s">
        <v>69</v>
      </c>
    </row>
    <row r="162" spans="1:5" ht="15.75" customHeight="1">
      <c r="A162" s="45">
        <v>146</v>
      </c>
      <c r="B162" s="51" t="s">
        <v>2791</v>
      </c>
      <c r="C162" s="45" t="s">
        <v>64</v>
      </c>
      <c r="D162" s="45" t="s">
        <v>1579</v>
      </c>
      <c r="E162" s="45" t="s">
        <v>69</v>
      </c>
    </row>
    <row r="163" spans="1:5" ht="15.75" customHeight="1">
      <c r="A163" s="45">
        <v>147</v>
      </c>
      <c r="B163" s="51" t="s">
        <v>2799</v>
      </c>
      <c r="C163" s="45" t="s">
        <v>64</v>
      </c>
      <c r="D163" s="45" t="s">
        <v>1579</v>
      </c>
      <c r="E163" s="45" t="s">
        <v>69</v>
      </c>
    </row>
    <row r="164" spans="1:5" ht="15.75" customHeight="1">
      <c r="A164" s="45">
        <v>148</v>
      </c>
      <c r="B164" s="51" t="s">
        <v>2806</v>
      </c>
      <c r="C164" s="45" t="s">
        <v>64</v>
      </c>
      <c r="D164" s="45" t="s">
        <v>1579</v>
      </c>
      <c r="E164" s="45" t="s">
        <v>69</v>
      </c>
    </row>
    <row r="165" spans="1:5" ht="15.75" customHeight="1">
      <c r="A165" s="45">
        <v>149</v>
      </c>
      <c r="B165" s="51" t="s">
        <v>2814</v>
      </c>
      <c r="C165" s="45" t="s">
        <v>64</v>
      </c>
      <c r="D165" s="45" t="s">
        <v>1579</v>
      </c>
      <c r="E165" s="45" t="s">
        <v>69</v>
      </c>
    </row>
    <row r="166" spans="1:5" ht="15.75" customHeight="1">
      <c r="A166" s="45">
        <v>150</v>
      </c>
      <c r="B166" s="51" t="s">
        <v>2822</v>
      </c>
      <c r="C166" s="45" t="s">
        <v>64</v>
      </c>
      <c r="D166" s="45" t="s">
        <v>1579</v>
      </c>
      <c r="E166" s="45" t="s">
        <v>69</v>
      </c>
    </row>
    <row r="167" spans="1:5" ht="15.75" customHeight="1">
      <c r="A167" s="45">
        <v>151</v>
      </c>
      <c r="B167" s="51" t="s">
        <v>2828</v>
      </c>
      <c r="C167" s="45" t="s">
        <v>64</v>
      </c>
      <c r="D167" s="45" t="s">
        <v>1579</v>
      </c>
      <c r="E167" s="45" t="s">
        <v>69</v>
      </c>
    </row>
    <row r="168" spans="1:5" ht="15.75" customHeight="1">
      <c r="A168" s="45">
        <v>152</v>
      </c>
      <c r="B168" s="51" t="s">
        <v>2834</v>
      </c>
      <c r="C168" s="45" t="s">
        <v>64</v>
      </c>
      <c r="D168" s="45" t="s">
        <v>1579</v>
      </c>
      <c r="E168" s="45" t="s">
        <v>69</v>
      </c>
    </row>
    <row r="169" spans="1:5" ht="15.75" customHeight="1">
      <c r="A169" s="45">
        <v>153</v>
      </c>
      <c r="B169" s="51" t="s">
        <v>2841</v>
      </c>
      <c r="C169" s="45" t="s">
        <v>64</v>
      </c>
      <c r="D169" s="45" t="s">
        <v>1579</v>
      </c>
      <c r="E169" s="45" t="s">
        <v>69</v>
      </c>
    </row>
    <row r="170" spans="1:5" ht="15.75" customHeight="1">
      <c r="A170" s="45">
        <v>154</v>
      </c>
      <c r="B170" s="51" t="s">
        <v>2849</v>
      </c>
      <c r="C170" s="45" t="s">
        <v>64</v>
      </c>
      <c r="D170" s="45" t="s">
        <v>1579</v>
      </c>
      <c r="E170" s="45" t="s">
        <v>69</v>
      </c>
    </row>
    <row r="171" spans="1:5" ht="15.75" customHeight="1">
      <c r="A171" s="45">
        <v>155</v>
      </c>
      <c r="B171" s="51" t="s">
        <v>2856</v>
      </c>
      <c r="C171" s="45" t="s">
        <v>64</v>
      </c>
      <c r="D171" s="45" t="s">
        <v>1579</v>
      </c>
      <c r="E171" s="45" t="s">
        <v>69</v>
      </c>
    </row>
    <row r="172" spans="1:5" ht="15.75" customHeight="1">
      <c r="A172" s="45">
        <v>156</v>
      </c>
      <c r="B172" s="51" t="s">
        <v>2863</v>
      </c>
      <c r="C172" s="45" t="s">
        <v>64</v>
      </c>
      <c r="D172" s="45" t="s">
        <v>1579</v>
      </c>
      <c r="E172" s="45" t="s">
        <v>69</v>
      </c>
    </row>
    <row r="173" spans="1:5" ht="15.75" customHeight="1">
      <c r="A173" s="45">
        <v>157</v>
      </c>
      <c r="B173" s="51" t="s">
        <v>2871</v>
      </c>
      <c r="C173" s="45" t="s">
        <v>64</v>
      </c>
      <c r="D173" s="45" t="s">
        <v>1579</v>
      </c>
      <c r="E173" s="45" t="s">
        <v>69</v>
      </c>
    </row>
    <row r="174" spans="1:5" ht="15.75" customHeight="1">
      <c r="A174" s="45">
        <v>158</v>
      </c>
      <c r="B174" s="51" t="s">
        <v>2877</v>
      </c>
      <c r="C174" s="45" t="s">
        <v>64</v>
      </c>
      <c r="D174" s="45" t="s">
        <v>1579</v>
      </c>
      <c r="E174" s="45" t="s">
        <v>69</v>
      </c>
    </row>
    <row r="175" spans="1:5" ht="15.75" customHeight="1">
      <c r="A175" s="45">
        <v>159</v>
      </c>
      <c r="B175" s="51" t="s">
        <v>2887</v>
      </c>
      <c r="C175" s="45" t="s">
        <v>64</v>
      </c>
      <c r="D175" s="45" t="s">
        <v>1579</v>
      </c>
      <c r="E175" s="45" t="s">
        <v>69</v>
      </c>
    </row>
    <row r="176" spans="1:5" ht="15.75" customHeight="1">
      <c r="A176" s="45">
        <v>160</v>
      </c>
      <c r="B176" s="51" t="s">
        <v>2894</v>
      </c>
      <c r="C176" s="45" t="s">
        <v>64</v>
      </c>
      <c r="D176" s="45" t="s">
        <v>1579</v>
      </c>
      <c r="E176" s="45" t="s">
        <v>69</v>
      </c>
    </row>
    <row r="177" spans="1:5" ht="15.75" customHeight="1">
      <c r="A177" s="45">
        <v>161</v>
      </c>
      <c r="B177" s="51" t="s">
        <v>2902</v>
      </c>
      <c r="C177" s="45" t="s">
        <v>64</v>
      </c>
      <c r="D177" s="45" t="s">
        <v>1579</v>
      </c>
      <c r="E177" s="45" t="s">
        <v>69</v>
      </c>
    </row>
    <row r="178" spans="1:5" ht="15.75" customHeight="1">
      <c r="A178" s="45">
        <v>162</v>
      </c>
      <c r="B178" s="51" t="s">
        <v>2911</v>
      </c>
      <c r="C178" s="45" t="s">
        <v>64</v>
      </c>
      <c r="D178" s="45" t="s">
        <v>1579</v>
      </c>
      <c r="E178" s="45" t="s">
        <v>69</v>
      </c>
    </row>
    <row r="179" spans="1:5" ht="15.75" customHeight="1">
      <c r="A179" s="45">
        <v>163</v>
      </c>
      <c r="B179" s="51" t="s">
        <v>2919</v>
      </c>
      <c r="C179" s="45" t="s">
        <v>64</v>
      </c>
      <c r="D179" s="45" t="s">
        <v>1579</v>
      </c>
      <c r="E179" s="45" t="s">
        <v>69</v>
      </c>
    </row>
    <row r="180" spans="1:5" ht="15.75" customHeight="1">
      <c r="A180" s="45">
        <v>164</v>
      </c>
      <c r="B180" s="51" t="s">
        <v>2927</v>
      </c>
      <c r="C180" s="45" t="s">
        <v>64</v>
      </c>
      <c r="D180" s="45" t="s">
        <v>1579</v>
      </c>
      <c r="E180" s="45" t="s">
        <v>69</v>
      </c>
    </row>
    <row r="181" spans="1:5" ht="15.75" customHeight="1">
      <c r="A181" s="45">
        <v>165</v>
      </c>
      <c r="B181" s="51" t="s">
        <v>2934</v>
      </c>
      <c r="C181" s="45" t="s">
        <v>64</v>
      </c>
      <c r="D181" s="45" t="s">
        <v>1579</v>
      </c>
      <c r="E181" s="45" t="s">
        <v>69</v>
      </c>
    </row>
    <row r="182" spans="1:5" ht="15.75" customHeight="1">
      <c r="A182" s="45">
        <v>166</v>
      </c>
      <c r="B182" s="51" t="s">
        <v>2942</v>
      </c>
      <c r="C182" s="45" t="s">
        <v>64</v>
      </c>
      <c r="D182" s="45" t="s">
        <v>1579</v>
      </c>
      <c r="E182" s="45" t="s">
        <v>69</v>
      </c>
    </row>
    <row r="183" spans="1:5" ht="15.75" customHeight="1">
      <c r="A183" s="45">
        <v>167</v>
      </c>
      <c r="B183" s="51" t="s">
        <v>2949</v>
      </c>
      <c r="C183" s="45" t="s">
        <v>64</v>
      </c>
      <c r="D183" s="45" t="s">
        <v>1579</v>
      </c>
      <c r="E183" s="45" t="s">
        <v>69</v>
      </c>
    </row>
    <row r="184" spans="1:5" ht="15.75" customHeight="1">
      <c r="A184" s="45">
        <v>168</v>
      </c>
      <c r="B184" s="51" t="s">
        <v>2955</v>
      </c>
      <c r="C184" s="45" t="s">
        <v>64</v>
      </c>
      <c r="D184" s="45" t="s">
        <v>1579</v>
      </c>
      <c r="E184" s="45" t="s">
        <v>69</v>
      </c>
    </row>
    <row r="185" spans="1:5" ht="15.75" customHeight="1">
      <c r="A185" s="45">
        <v>169</v>
      </c>
      <c r="B185" s="51" t="s">
        <v>2962</v>
      </c>
      <c r="C185" s="45" t="s">
        <v>64</v>
      </c>
      <c r="D185" s="45" t="s">
        <v>1579</v>
      </c>
      <c r="E185" s="45" t="s">
        <v>69</v>
      </c>
    </row>
    <row r="186" spans="1:5" ht="15.75" customHeight="1">
      <c r="A186" s="45">
        <v>170</v>
      </c>
      <c r="B186" s="51" t="s">
        <v>2969</v>
      </c>
      <c r="C186" s="45" t="s">
        <v>64</v>
      </c>
      <c r="D186" s="45" t="s">
        <v>1579</v>
      </c>
      <c r="E186" s="45" t="s">
        <v>69</v>
      </c>
    </row>
    <row r="187" spans="1:5" ht="15.75" customHeight="1">
      <c r="A187" s="45">
        <v>171</v>
      </c>
      <c r="B187" s="51" t="s">
        <v>2977</v>
      </c>
      <c r="C187" s="45" t="s">
        <v>64</v>
      </c>
      <c r="D187" s="45" t="s">
        <v>1579</v>
      </c>
      <c r="E187" s="45" t="s">
        <v>69</v>
      </c>
    </row>
    <row r="188" spans="1:5" ht="15.75" customHeight="1">
      <c r="A188" s="45">
        <v>172</v>
      </c>
      <c r="B188" s="51" t="s">
        <v>2983</v>
      </c>
      <c r="C188" s="45" t="s">
        <v>64</v>
      </c>
      <c r="D188" s="45" t="s">
        <v>1579</v>
      </c>
      <c r="E188" s="45" t="s">
        <v>69</v>
      </c>
    </row>
    <row r="189" spans="1:5" ht="15.75" customHeight="1">
      <c r="A189" s="45">
        <v>173</v>
      </c>
      <c r="B189" s="51" t="s">
        <v>2992</v>
      </c>
      <c r="C189" s="45" t="s">
        <v>64</v>
      </c>
      <c r="D189" s="45" t="s">
        <v>1579</v>
      </c>
      <c r="E189" s="45" t="s">
        <v>69</v>
      </c>
    </row>
    <row r="190" spans="1:5" ht="15.75" customHeight="1">
      <c r="A190" s="45">
        <v>174</v>
      </c>
      <c r="B190" s="51" t="s">
        <v>3001</v>
      </c>
      <c r="C190" s="45" t="s">
        <v>64</v>
      </c>
      <c r="D190" s="45" t="s">
        <v>1579</v>
      </c>
      <c r="E190" s="45" t="s">
        <v>69</v>
      </c>
    </row>
    <row r="191" spans="1:5" ht="15.75" customHeight="1">
      <c r="A191" s="45">
        <v>175</v>
      </c>
      <c r="B191" s="51" t="s">
        <v>3010</v>
      </c>
      <c r="C191" s="45" t="s">
        <v>64</v>
      </c>
      <c r="D191" s="45" t="s">
        <v>1579</v>
      </c>
      <c r="E191" s="45" t="s">
        <v>69</v>
      </c>
    </row>
    <row r="192" spans="1:5" ht="15.75" customHeight="1">
      <c r="A192" s="45">
        <v>176</v>
      </c>
      <c r="B192" s="51" t="s">
        <v>3017</v>
      </c>
      <c r="C192" s="45" t="s">
        <v>64</v>
      </c>
      <c r="D192" s="45" t="s">
        <v>1579</v>
      </c>
      <c r="E192" s="45" t="s">
        <v>69</v>
      </c>
    </row>
    <row r="193" spans="1:5" ht="15.75" customHeight="1">
      <c r="A193" s="45">
        <v>177</v>
      </c>
      <c r="B193" s="51" t="s">
        <v>3025</v>
      </c>
      <c r="C193" s="45" t="s">
        <v>64</v>
      </c>
      <c r="D193" s="45" t="s">
        <v>1579</v>
      </c>
      <c r="E193" s="45" t="s">
        <v>69</v>
      </c>
    </row>
    <row r="194" spans="1:5" ht="15.75" customHeight="1">
      <c r="A194" s="45">
        <v>178</v>
      </c>
      <c r="B194" s="51" t="s">
        <v>3032</v>
      </c>
      <c r="C194" s="45" t="s">
        <v>64</v>
      </c>
      <c r="D194" s="45" t="s">
        <v>1579</v>
      </c>
      <c r="E194" s="45" t="s">
        <v>69</v>
      </c>
    </row>
    <row r="195" spans="1:5" ht="15.75" customHeight="1">
      <c r="A195" s="45">
        <v>179</v>
      </c>
      <c r="B195" s="51" t="s">
        <v>3040</v>
      </c>
      <c r="C195" s="45" t="s">
        <v>64</v>
      </c>
      <c r="D195" s="45" t="s">
        <v>1579</v>
      </c>
      <c r="E195" s="45" t="s">
        <v>69</v>
      </c>
    </row>
    <row r="196" spans="1:5" ht="15.75" customHeight="1">
      <c r="A196" s="45">
        <v>180</v>
      </c>
      <c r="B196" s="51" t="s">
        <v>3048</v>
      </c>
      <c r="C196" s="45" t="s">
        <v>64</v>
      </c>
      <c r="D196" s="45" t="s">
        <v>1579</v>
      </c>
      <c r="E196" s="45" t="s">
        <v>69</v>
      </c>
    </row>
    <row r="197" spans="1:5" ht="15.75" customHeight="1">
      <c r="A197" s="45">
        <v>181</v>
      </c>
      <c r="B197" s="51" t="s">
        <v>3055</v>
      </c>
      <c r="C197" s="45" t="s">
        <v>64</v>
      </c>
      <c r="D197" s="45" t="s">
        <v>1579</v>
      </c>
      <c r="E197" s="45" t="s">
        <v>69</v>
      </c>
    </row>
    <row r="198" spans="1:5" ht="15.75" customHeight="1">
      <c r="A198" s="45">
        <v>182</v>
      </c>
      <c r="B198" s="51" t="s">
        <v>3064</v>
      </c>
      <c r="C198" s="45" t="s">
        <v>64</v>
      </c>
      <c r="D198" s="45" t="s">
        <v>1579</v>
      </c>
      <c r="E198" s="45" t="s">
        <v>69</v>
      </c>
    </row>
    <row r="199" spans="1:5" ht="15.75" customHeight="1">
      <c r="A199" s="45">
        <v>183</v>
      </c>
      <c r="B199" s="51" t="s">
        <v>3073</v>
      </c>
      <c r="C199" s="45" t="s">
        <v>64</v>
      </c>
      <c r="D199" s="45" t="s">
        <v>1579</v>
      </c>
      <c r="E199" s="45" t="s">
        <v>69</v>
      </c>
    </row>
    <row r="200" spans="1:5" ht="15.75" customHeight="1">
      <c r="A200" s="45">
        <v>184</v>
      </c>
      <c r="B200" s="51" t="s">
        <v>3080</v>
      </c>
      <c r="C200" s="45" t="s">
        <v>64</v>
      </c>
      <c r="D200" s="45" t="s">
        <v>1579</v>
      </c>
      <c r="E200" s="45" t="s">
        <v>69</v>
      </c>
    </row>
    <row r="201" spans="1:5" ht="15.75" customHeight="1">
      <c r="A201" s="45">
        <v>185</v>
      </c>
      <c r="B201" s="51" t="s">
        <v>3086</v>
      </c>
      <c r="C201" s="45" t="s">
        <v>64</v>
      </c>
      <c r="D201" s="45" t="s">
        <v>1579</v>
      </c>
      <c r="E201" s="45" t="s">
        <v>69</v>
      </c>
    </row>
    <row r="202" spans="1:5" ht="15.75" customHeight="1">
      <c r="A202" s="45">
        <v>186</v>
      </c>
      <c r="B202" s="51" t="s">
        <v>3094</v>
      </c>
      <c r="C202" s="45" t="s">
        <v>64</v>
      </c>
      <c r="D202" s="45" t="s">
        <v>1579</v>
      </c>
      <c r="E202" s="45" t="s">
        <v>69</v>
      </c>
    </row>
    <row r="203" spans="1:5" ht="15.75" customHeight="1">
      <c r="A203" s="45">
        <v>187</v>
      </c>
      <c r="B203" s="51" t="s">
        <v>3102</v>
      </c>
      <c r="C203" s="45" t="s">
        <v>64</v>
      </c>
      <c r="D203" s="45" t="s">
        <v>1579</v>
      </c>
      <c r="E203" s="45" t="s">
        <v>69</v>
      </c>
    </row>
    <row r="204" spans="1:5" ht="15.75" customHeight="1">
      <c r="A204" s="45">
        <v>188</v>
      </c>
      <c r="B204" s="51" t="s">
        <v>3109</v>
      </c>
      <c r="C204" s="45" t="s">
        <v>64</v>
      </c>
      <c r="D204" s="45" t="s">
        <v>1579</v>
      </c>
      <c r="E204" s="45" t="s">
        <v>69</v>
      </c>
    </row>
    <row r="205" spans="1:5" ht="15.75" customHeight="1">
      <c r="A205" s="45">
        <v>189</v>
      </c>
      <c r="B205" s="51" t="s">
        <v>3117</v>
      </c>
      <c r="C205" s="45" t="s">
        <v>64</v>
      </c>
      <c r="D205" s="45" t="s">
        <v>1579</v>
      </c>
      <c r="E205" s="45" t="s">
        <v>69</v>
      </c>
    </row>
    <row r="206" spans="1:5" ht="15.75" customHeight="1">
      <c r="A206" s="45">
        <v>190</v>
      </c>
      <c r="B206" s="51" t="s">
        <v>3123</v>
      </c>
      <c r="C206" s="45" t="s">
        <v>64</v>
      </c>
      <c r="D206" s="45" t="s">
        <v>1579</v>
      </c>
      <c r="E206" s="45" t="s">
        <v>325</v>
      </c>
    </row>
    <row r="207" spans="1:5" ht="15.75" customHeight="1">
      <c r="A207" s="45">
        <v>191</v>
      </c>
      <c r="B207" s="51" t="s">
        <v>3131</v>
      </c>
      <c r="C207" s="45" t="s">
        <v>64</v>
      </c>
      <c r="D207" s="45" t="s">
        <v>1579</v>
      </c>
      <c r="E207" s="45" t="s">
        <v>69</v>
      </c>
    </row>
    <row r="208" spans="1:5" ht="15.75" customHeight="1">
      <c r="A208" s="45">
        <v>192</v>
      </c>
      <c r="B208" s="51" t="s">
        <v>3140</v>
      </c>
      <c r="C208" s="45" t="s">
        <v>64</v>
      </c>
      <c r="D208" s="45" t="s">
        <v>1579</v>
      </c>
      <c r="E208" s="45" t="s">
        <v>69</v>
      </c>
    </row>
    <row r="209" spans="1:5" ht="15.75" customHeight="1">
      <c r="A209" s="45">
        <v>193</v>
      </c>
      <c r="B209" s="51" t="s">
        <v>3148</v>
      </c>
      <c r="C209" s="45" t="s">
        <v>64</v>
      </c>
      <c r="D209" s="45" t="s">
        <v>1579</v>
      </c>
      <c r="E209" s="45" t="s">
        <v>69</v>
      </c>
    </row>
    <row r="210" spans="1:5" ht="15.75" customHeight="1">
      <c r="A210" s="45">
        <v>194</v>
      </c>
      <c r="B210" s="51" t="s">
        <v>3156</v>
      </c>
      <c r="C210" s="45" t="s">
        <v>64</v>
      </c>
      <c r="D210" s="45" t="s">
        <v>1579</v>
      </c>
      <c r="E210" s="45" t="s">
        <v>69</v>
      </c>
    </row>
    <row r="211" spans="1:5" ht="15.75" customHeight="1">
      <c r="A211" s="45">
        <v>1</v>
      </c>
      <c r="B211" s="51" t="s">
        <v>3164</v>
      </c>
      <c r="C211" s="45" t="s">
        <v>3172</v>
      </c>
      <c r="D211" s="45" t="s">
        <v>1579</v>
      </c>
      <c r="E211" s="45" t="s">
        <v>69</v>
      </c>
    </row>
    <row r="212" spans="1:5" ht="15.75" customHeight="1">
      <c r="A212" s="45">
        <v>2</v>
      </c>
      <c r="B212" s="51" t="s">
        <v>3173</v>
      </c>
      <c r="C212" s="45" t="s">
        <v>3172</v>
      </c>
      <c r="D212" s="45" t="s">
        <v>1579</v>
      </c>
      <c r="E212" s="45" t="s">
        <v>69</v>
      </c>
    </row>
    <row r="213" spans="1:5" ht="15.75" customHeight="1">
      <c r="A213" s="45">
        <v>3</v>
      </c>
      <c r="B213" s="51" t="s">
        <v>3180</v>
      </c>
      <c r="C213" s="45" t="s">
        <v>3172</v>
      </c>
      <c r="D213" s="45" t="s">
        <v>1579</v>
      </c>
      <c r="E213" s="45" t="s">
        <v>69</v>
      </c>
    </row>
    <row r="214" spans="1:5" ht="15.75" customHeight="1">
      <c r="A214" s="45">
        <v>4</v>
      </c>
      <c r="B214" s="51" t="s">
        <v>3187</v>
      </c>
      <c r="C214" s="45" t="s">
        <v>3172</v>
      </c>
      <c r="D214" s="45" t="s">
        <v>1579</v>
      </c>
      <c r="E214" s="45" t="s">
        <v>69</v>
      </c>
    </row>
    <row r="215" spans="1:5" ht="15.75" customHeight="1">
      <c r="A215" s="45">
        <v>5</v>
      </c>
      <c r="B215" s="51" t="s">
        <v>3194</v>
      </c>
      <c r="C215" s="45" t="s">
        <v>3172</v>
      </c>
      <c r="D215" s="45" t="s">
        <v>1579</v>
      </c>
      <c r="E215" s="45" t="s">
        <v>69</v>
      </c>
    </row>
    <row r="216" spans="1:5" ht="15.75" customHeight="1">
      <c r="A216" s="45">
        <v>6</v>
      </c>
      <c r="B216" s="51" t="s">
        <v>3202</v>
      </c>
      <c r="C216" s="45" t="s">
        <v>3172</v>
      </c>
      <c r="D216" s="45" t="s">
        <v>1579</v>
      </c>
      <c r="E216" s="45" t="s">
        <v>69</v>
      </c>
    </row>
    <row r="217" spans="1:5" ht="15.75" customHeight="1">
      <c r="A217" s="45">
        <v>7</v>
      </c>
      <c r="B217" s="51" t="s">
        <v>3212</v>
      </c>
      <c r="C217" s="45" t="s">
        <v>3172</v>
      </c>
      <c r="D217" s="45" t="s">
        <v>1579</v>
      </c>
      <c r="E217" s="45" t="s">
        <v>69</v>
      </c>
    </row>
    <row r="218" spans="1:5" ht="15.75" customHeight="1">
      <c r="A218" s="45">
        <v>8</v>
      </c>
      <c r="B218" s="51" t="s">
        <v>3219</v>
      </c>
      <c r="C218" s="45" t="s">
        <v>3172</v>
      </c>
      <c r="D218" s="45" t="s">
        <v>1579</v>
      </c>
      <c r="E218" s="45" t="s">
        <v>69</v>
      </c>
    </row>
    <row r="219" spans="1:5" ht="15.75" customHeight="1">
      <c r="A219" s="45">
        <v>9</v>
      </c>
      <c r="B219" s="51" t="s">
        <v>3226</v>
      </c>
      <c r="C219" s="45" t="s">
        <v>3172</v>
      </c>
      <c r="D219" s="45" t="s">
        <v>1579</v>
      </c>
      <c r="E219" s="45" t="s">
        <v>69</v>
      </c>
    </row>
    <row r="220" spans="1:5" ht="15.75" customHeight="1">
      <c r="A220" s="45">
        <v>10</v>
      </c>
      <c r="B220" s="51" t="s">
        <v>3234</v>
      </c>
      <c r="C220" s="45" t="s">
        <v>3172</v>
      </c>
      <c r="D220" s="45" t="s">
        <v>1579</v>
      </c>
      <c r="E220" s="45" t="s">
        <v>69</v>
      </c>
    </row>
    <row r="221" spans="1:5" ht="15.75" customHeight="1">
      <c r="A221" s="45">
        <v>11</v>
      </c>
      <c r="B221" s="51" t="s">
        <v>3241</v>
      </c>
      <c r="C221" s="45" t="s">
        <v>3172</v>
      </c>
      <c r="D221" s="45" t="s">
        <v>1579</v>
      </c>
      <c r="E221" s="45" t="s">
        <v>69</v>
      </c>
    </row>
    <row r="222" spans="1:5" ht="15.75" customHeight="1">
      <c r="A222" s="45">
        <v>12</v>
      </c>
      <c r="B222" s="51" t="s">
        <v>3251</v>
      </c>
      <c r="C222" s="45" t="s">
        <v>3172</v>
      </c>
      <c r="D222" s="45" t="s">
        <v>1579</v>
      </c>
      <c r="E222" s="45" t="s">
        <v>69</v>
      </c>
    </row>
    <row r="223" spans="1:5" ht="15.75" customHeight="1">
      <c r="A223" s="45">
        <v>13</v>
      </c>
      <c r="B223" s="51" t="s">
        <v>3258</v>
      </c>
      <c r="C223" s="45" t="s">
        <v>3172</v>
      </c>
      <c r="D223" s="45" t="s">
        <v>1579</v>
      </c>
      <c r="E223" s="45" t="s">
        <v>69</v>
      </c>
    </row>
    <row r="224" spans="1:5" ht="15.75" customHeight="1">
      <c r="A224" s="45">
        <v>14</v>
      </c>
      <c r="B224" s="51" t="s">
        <v>3265</v>
      </c>
      <c r="C224" s="45" t="s">
        <v>3172</v>
      </c>
      <c r="D224" s="45" t="s">
        <v>1579</v>
      </c>
      <c r="E224" s="45" t="s">
        <v>69</v>
      </c>
    </row>
    <row r="225" spans="1:5" ht="15.75" customHeight="1">
      <c r="A225" s="45">
        <v>15</v>
      </c>
      <c r="B225" s="51" t="s">
        <v>3272</v>
      </c>
      <c r="C225" s="45" t="s">
        <v>3172</v>
      </c>
      <c r="D225" s="45" t="s">
        <v>1579</v>
      </c>
      <c r="E225" s="45" t="s">
        <v>69</v>
      </c>
    </row>
    <row r="226" spans="1:5" ht="15.75" customHeight="1">
      <c r="A226" s="45">
        <v>16</v>
      </c>
      <c r="B226" s="51" t="s">
        <v>3281</v>
      </c>
      <c r="C226" s="45" t="s">
        <v>3172</v>
      </c>
      <c r="D226" s="45" t="s">
        <v>1579</v>
      </c>
      <c r="E226" s="45" t="s">
        <v>69</v>
      </c>
    </row>
    <row r="227" spans="1:5" ht="15.75" customHeight="1">
      <c r="A227" s="45">
        <v>17</v>
      </c>
      <c r="B227" s="51" t="s">
        <v>3288</v>
      </c>
      <c r="C227" s="45" t="s">
        <v>3172</v>
      </c>
      <c r="D227" s="45" t="s">
        <v>1579</v>
      </c>
      <c r="E227" s="45" t="s">
        <v>69</v>
      </c>
    </row>
    <row r="228" spans="1:5" ht="15.75" customHeight="1">
      <c r="A228" s="45">
        <v>1</v>
      </c>
      <c r="B228" s="51" t="s">
        <v>3296</v>
      </c>
      <c r="C228" s="45" t="s">
        <v>3302</v>
      </c>
      <c r="D228" s="45" t="s">
        <v>1579</v>
      </c>
      <c r="E228" s="45" t="s">
        <v>6686</v>
      </c>
    </row>
    <row r="229" spans="1:5" ht="15.75" customHeight="1">
      <c r="A229" s="45">
        <v>2</v>
      </c>
      <c r="B229" s="51" t="s">
        <v>3303</v>
      </c>
      <c r="C229" s="45" t="s">
        <v>3302</v>
      </c>
      <c r="D229" s="45" t="s">
        <v>1579</v>
      </c>
      <c r="E229" s="45" t="s">
        <v>6686</v>
      </c>
    </row>
    <row r="230" spans="1:5" ht="15.75" customHeight="1">
      <c r="A230" s="45">
        <v>3</v>
      </c>
      <c r="B230" s="51" t="s">
        <v>3311</v>
      </c>
      <c r="C230" s="45" t="s">
        <v>3302</v>
      </c>
      <c r="D230" s="45" t="s">
        <v>1579</v>
      </c>
      <c r="E230" s="45" t="s">
        <v>69</v>
      </c>
    </row>
    <row r="231" spans="1:5" ht="15.75" customHeight="1">
      <c r="A231" s="45">
        <v>4</v>
      </c>
      <c r="B231" s="51" t="s">
        <v>3321</v>
      </c>
      <c r="C231" s="45" t="s">
        <v>3302</v>
      </c>
      <c r="D231" s="45" t="s">
        <v>1579</v>
      </c>
      <c r="E231" s="45" t="s">
        <v>6686</v>
      </c>
    </row>
    <row r="232" spans="1:5" ht="15.75" customHeight="1">
      <c r="A232" s="45">
        <v>1</v>
      </c>
      <c r="B232" s="51" t="s">
        <v>3332</v>
      </c>
      <c r="C232" s="45" t="s">
        <v>3339</v>
      </c>
      <c r="D232" s="45" t="s">
        <v>1579</v>
      </c>
      <c r="E232" s="45" t="s">
        <v>69</v>
      </c>
    </row>
    <row r="233" spans="1:5" ht="15.75" customHeight="1">
      <c r="A233" s="45">
        <v>2</v>
      </c>
      <c r="B233" s="51" t="s">
        <v>3340</v>
      </c>
      <c r="C233" s="45" t="s">
        <v>3339</v>
      </c>
      <c r="D233" s="45" t="s">
        <v>1579</v>
      </c>
      <c r="E233" s="45" t="s">
        <v>69</v>
      </c>
    </row>
    <row r="234" spans="1:5" ht="15.75" customHeight="1">
      <c r="A234" s="45">
        <v>3</v>
      </c>
      <c r="B234" s="51" t="s">
        <v>3347</v>
      </c>
      <c r="C234" s="45" t="s">
        <v>3339</v>
      </c>
      <c r="D234" s="45" t="s">
        <v>1579</v>
      </c>
      <c r="E234" s="45" t="s">
        <v>69</v>
      </c>
    </row>
    <row r="235" spans="1:5" ht="15.75" customHeight="1">
      <c r="A235" s="45">
        <v>4</v>
      </c>
      <c r="B235" s="51" t="s">
        <v>3355</v>
      </c>
      <c r="C235" s="45" t="s">
        <v>3339</v>
      </c>
      <c r="D235" s="45" t="s">
        <v>1579</v>
      </c>
      <c r="E235" s="45" t="s">
        <v>69</v>
      </c>
    </row>
    <row r="236" spans="1:5" ht="15.75" customHeight="1">
      <c r="A236" s="45">
        <v>5</v>
      </c>
      <c r="B236" s="51" t="s">
        <v>3360</v>
      </c>
      <c r="C236" s="45" t="s">
        <v>3339</v>
      </c>
      <c r="D236" s="45" t="s">
        <v>1579</v>
      </c>
      <c r="E236" s="45" t="s">
        <v>69</v>
      </c>
    </row>
    <row r="237" spans="1:5" ht="15.75" customHeight="1">
      <c r="A237" s="45">
        <v>1</v>
      </c>
      <c r="B237" s="51" t="s">
        <v>3369</v>
      </c>
      <c r="C237" s="45" t="s">
        <v>3375</v>
      </c>
      <c r="D237" s="45" t="s">
        <v>1579</v>
      </c>
      <c r="E237" s="45" t="s">
        <v>69</v>
      </c>
    </row>
    <row r="238" spans="1:5" ht="15.75" customHeight="1">
      <c r="A238" s="45">
        <v>2</v>
      </c>
      <c r="B238" s="51" t="s">
        <v>3376</v>
      </c>
      <c r="C238" s="45" t="s">
        <v>3375</v>
      </c>
      <c r="D238" s="45" t="s">
        <v>1579</v>
      </c>
      <c r="E238" s="45" t="s">
        <v>69</v>
      </c>
    </row>
    <row r="239" spans="1:5" ht="15.75" customHeight="1">
      <c r="A239" s="45">
        <v>3</v>
      </c>
      <c r="B239" s="51" t="s">
        <v>3384</v>
      </c>
      <c r="C239" s="45" t="s">
        <v>3375</v>
      </c>
      <c r="D239" s="45" t="s">
        <v>1579</v>
      </c>
      <c r="E239" s="45" t="s">
        <v>69</v>
      </c>
    </row>
    <row r="240" spans="1:5" ht="15.75" customHeight="1">
      <c r="A240" s="45">
        <v>1</v>
      </c>
      <c r="B240" s="51" t="s">
        <v>6692</v>
      </c>
      <c r="C240" s="45" t="s">
        <v>6693</v>
      </c>
      <c r="D240" s="45" t="s">
        <v>1579</v>
      </c>
      <c r="E240" s="45" t="s">
        <v>69</v>
      </c>
    </row>
    <row r="241" spans="1:5" ht="15.75" customHeight="1">
      <c r="A241" s="45">
        <v>2</v>
      </c>
      <c r="B241" s="51" t="s">
        <v>6694</v>
      </c>
      <c r="C241" s="45" t="s">
        <v>6693</v>
      </c>
      <c r="D241" s="45" t="s">
        <v>1579</v>
      </c>
      <c r="E241" s="45" t="s">
        <v>69</v>
      </c>
    </row>
    <row r="242" spans="1:5" ht="15.75" customHeight="1">
      <c r="A242" s="45">
        <v>3</v>
      </c>
      <c r="B242" s="51" t="s">
        <v>6695</v>
      </c>
      <c r="C242" s="45" t="s">
        <v>6693</v>
      </c>
      <c r="D242" s="45" t="s">
        <v>1579</v>
      </c>
      <c r="E242" s="45" t="s">
        <v>69</v>
      </c>
    </row>
    <row r="243" spans="1:5" ht="15.75" customHeight="1">
      <c r="A243" s="45">
        <v>1</v>
      </c>
      <c r="B243" s="51" t="s">
        <v>3392</v>
      </c>
      <c r="C243" s="45" t="s">
        <v>3399</v>
      </c>
      <c r="D243" s="45" t="s">
        <v>1579</v>
      </c>
      <c r="E243" s="45" t="s">
        <v>69</v>
      </c>
    </row>
    <row r="244" spans="1:5" ht="15.75" customHeight="1">
      <c r="A244" s="45">
        <v>1</v>
      </c>
      <c r="B244" s="51" t="s">
        <v>3400</v>
      </c>
      <c r="C244" s="45" t="s">
        <v>3409</v>
      </c>
      <c r="D244" s="45" t="s">
        <v>1579</v>
      </c>
      <c r="E244" s="45" t="s">
        <v>325</v>
      </c>
    </row>
    <row r="245" spans="1:5" ht="15.75" customHeight="1">
      <c r="A245" s="45">
        <v>2</v>
      </c>
      <c r="B245" s="51" t="s">
        <v>3410</v>
      </c>
      <c r="C245" s="45" t="s">
        <v>3409</v>
      </c>
      <c r="D245" s="45" t="s">
        <v>1579</v>
      </c>
      <c r="E245" s="45" t="s">
        <v>69</v>
      </c>
    </row>
    <row r="246" spans="1:5" ht="15.75" customHeight="1">
      <c r="A246" s="45">
        <v>3</v>
      </c>
      <c r="B246" s="51" t="s">
        <v>3417</v>
      </c>
      <c r="C246" s="45" t="s">
        <v>3409</v>
      </c>
      <c r="D246" s="45" t="s">
        <v>1579</v>
      </c>
      <c r="E246" s="45" t="s">
        <v>69</v>
      </c>
    </row>
    <row r="247" spans="1:5" ht="15.75" customHeight="1">
      <c r="A247" s="45">
        <v>4</v>
      </c>
      <c r="B247" s="51" t="s">
        <v>3424</v>
      </c>
      <c r="C247" s="45" t="s">
        <v>3409</v>
      </c>
      <c r="D247" s="45" t="s">
        <v>1579</v>
      </c>
      <c r="E247" s="45" t="s">
        <v>69</v>
      </c>
    </row>
    <row r="248" spans="1:5" ht="15.75" customHeight="1">
      <c r="A248" s="45">
        <v>5</v>
      </c>
      <c r="B248" s="51" t="s">
        <v>3432</v>
      </c>
      <c r="C248" s="45" t="s">
        <v>3409</v>
      </c>
      <c r="D248" s="45" t="s">
        <v>1579</v>
      </c>
      <c r="E248" s="45" t="s">
        <v>6687</v>
      </c>
    </row>
    <row r="249" spans="1:5" ht="15.75" customHeight="1">
      <c r="A249" s="45">
        <v>6</v>
      </c>
      <c r="B249" s="51" t="s">
        <v>3441</v>
      </c>
      <c r="C249" s="45" t="s">
        <v>3409</v>
      </c>
      <c r="D249" s="45" t="s">
        <v>1579</v>
      </c>
      <c r="E249" s="45" t="s">
        <v>69</v>
      </c>
    </row>
    <row r="250" spans="1:5" ht="15.75" customHeight="1">
      <c r="A250" s="45">
        <v>7</v>
      </c>
      <c r="B250" s="51" t="s">
        <v>3448</v>
      </c>
      <c r="C250" s="45" t="s">
        <v>3409</v>
      </c>
      <c r="D250" s="45" t="s">
        <v>1579</v>
      </c>
      <c r="E250" s="45" t="s">
        <v>69</v>
      </c>
    </row>
    <row r="251" spans="1:5" ht="15.75" customHeight="1">
      <c r="A251" s="45">
        <v>8</v>
      </c>
      <c r="B251" s="51" t="s">
        <v>3455</v>
      </c>
      <c r="C251" s="45" t="s">
        <v>3409</v>
      </c>
      <c r="D251" s="45" t="s">
        <v>1579</v>
      </c>
      <c r="E251" s="45" t="s">
        <v>69</v>
      </c>
    </row>
    <row r="252" spans="1:5" ht="15.75" customHeight="1">
      <c r="A252" s="45">
        <v>9</v>
      </c>
      <c r="B252" s="51" t="s">
        <v>3463</v>
      </c>
      <c r="C252" s="45" t="s">
        <v>3409</v>
      </c>
      <c r="D252" s="45" t="s">
        <v>1579</v>
      </c>
      <c r="E252" s="45" t="s">
        <v>69</v>
      </c>
    </row>
    <row r="253" spans="1:5" ht="15.75" customHeight="1">
      <c r="A253" s="45">
        <v>10</v>
      </c>
      <c r="B253" s="51" t="s">
        <v>3469</v>
      </c>
      <c r="C253" s="45" t="s">
        <v>3409</v>
      </c>
      <c r="D253" s="45" t="s">
        <v>1579</v>
      </c>
      <c r="E253" s="45" t="s">
        <v>69</v>
      </c>
    </row>
    <row r="254" spans="1:5" ht="15.75" customHeight="1">
      <c r="A254" s="45">
        <v>11</v>
      </c>
      <c r="B254" s="51" t="s">
        <v>3475</v>
      </c>
      <c r="C254" s="45" t="s">
        <v>3409</v>
      </c>
      <c r="D254" s="45" t="s">
        <v>1579</v>
      </c>
      <c r="E254" s="45" t="s">
        <v>69</v>
      </c>
    </row>
    <row r="255" spans="1:5" ht="15.75" customHeight="1">
      <c r="A255" s="45">
        <v>12</v>
      </c>
      <c r="B255" s="51" t="s">
        <v>3482</v>
      </c>
      <c r="C255" s="45" t="s">
        <v>3409</v>
      </c>
      <c r="D255" s="45" t="s">
        <v>1579</v>
      </c>
      <c r="E255" s="45" t="s">
        <v>69</v>
      </c>
    </row>
    <row r="256" spans="1:5" ht="15.75" customHeight="1">
      <c r="A256" s="45">
        <v>13</v>
      </c>
      <c r="B256" s="51" t="s">
        <v>3488</v>
      </c>
      <c r="C256" s="45" t="s">
        <v>3409</v>
      </c>
      <c r="D256" s="45" t="s">
        <v>1579</v>
      </c>
      <c r="E256" s="45" t="s">
        <v>69</v>
      </c>
    </row>
    <row r="257" spans="1:5" ht="15.75" customHeight="1">
      <c r="A257" s="45">
        <v>14</v>
      </c>
      <c r="B257" s="51" t="s">
        <v>3494</v>
      </c>
      <c r="C257" s="45" t="s">
        <v>3409</v>
      </c>
      <c r="D257" s="45" t="s">
        <v>1579</v>
      </c>
      <c r="E257" s="45" t="s">
        <v>69</v>
      </c>
    </row>
    <row r="258" spans="1:5" ht="15.75" customHeight="1">
      <c r="A258" s="45">
        <v>15</v>
      </c>
      <c r="B258" s="51" t="s">
        <v>3500</v>
      </c>
      <c r="C258" s="45" t="s">
        <v>3409</v>
      </c>
      <c r="D258" s="45" t="s">
        <v>1579</v>
      </c>
      <c r="E258" s="45" t="s">
        <v>69</v>
      </c>
    </row>
    <row r="259" spans="1:5" ht="15.75" customHeight="1">
      <c r="A259" s="45">
        <v>16</v>
      </c>
      <c r="B259" s="51" t="s">
        <v>3509</v>
      </c>
      <c r="C259" s="45" t="s">
        <v>3409</v>
      </c>
      <c r="D259" s="45" t="s">
        <v>1579</v>
      </c>
      <c r="E259" s="45" t="s">
        <v>69</v>
      </c>
    </row>
    <row r="260" spans="1:5" ht="15.75" customHeight="1">
      <c r="A260" s="45">
        <v>17</v>
      </c>
      <c r="B260" s="51" t="s">
        <v>3516</v>
      </c>
      <c r="C260" s="45" t="s">
        <v>3409</v>
      </c>
      <c r="D260" s="45" t="s">
        <v>1579</v>
      </c>
      <c r="E260" s="45" t="s">
        <v>69</v>
      </c>
    </row>
    <row r="261" spans="1:5" ht="15.75" customHeight="1">
      <c r="A261" s="45">
        <v>18</v>
      </c>
      <c r="B261" s="51" t="s">
        <v>3523</v>
      </c>
      <c r="C261" s="45" t="s">
        <v>3409</v>
      </c>
      <c r="D261" s="45" t="s">
        <v>1579</v>
      </c>
      <c r="E261" s="45" t="s">
        <v>69</v>
      </c>
    </row>
    <row r="262" spans="1:5" ht="15.75" customHeight="1">
      <c r="A262" s="45">
        <v>19</v>
      </c>
      <c r="B262" s="51" t="s">
        <v>3532</v>
      </c>
      <c r="C262" s="45" t="s">
        <v>3409</v>
      </c>
      <c r="D262" s="45" t="s">
        <v>1579</v>
      </c>
      <c r="E262" s="45" t="s">
        <v>69</v>
      </c>
    </row>
    <row r="263" spans="1:5" ht="15.75" customHeight="1">
      <c r="A263" s="45">
        <v>20</v>
      </c>
      <c r="B263" s="51" t="s">
        <v>3537</v>
      </c>
      <c r="C263" s="45" t="s">
        <v>3409</v>
      </c>
      <c r="D263" s="45" t="s">
        <v>1579</v>
      </c>
      <c r="E263" s="45" t="s">
        <v>69</v>
      </c>
    </row>
    <row r="264" spans="1:5" ht="15.75" customHeight="1">
      <c r="A264" s="45">
        <v>21</v>
      </c>
      <c r="B264" s="51" t="s">
        <v>3545</v>
      </c>
      <c r="C264" s="45" t="s">
        <v>3409</v>
      </c>
      <c r="D264" s="45" t="s">
        <v>1579</v>
      </c>
      <c r="E264" s="45" t="s">
        <v>69</v>
      </c>
    </row>
    <row r="265" spans="1:5" ht="15.75" customHeight="1">
      <c r="A265" s="45">
        <v>22</v>
      </c>
      <c r="B265" s="51" t="s">
        <v>3553</v>
      </c>
      <c r="C265" s="45" t="s">
        <v>3409</v>
      </c>
      <c r="D265" s="45" t="s">
        <v>1579</v>
      </c>
      <c r="E265" s="45" t="s">
        <v>69</v>
      </c>
    </row>
    <row r="266" spans="1:5" ht="15.75" customHeight="1">
      <c r="A266" s="45">
        <v>23</v>
      </c>
      <c r="B266" s="51" t="s">
        <v>3562</v>
      </c>
      <c r="C266" s="45" t="s">
        <v>3409</v>
      </c>
      <c r="D266" s="45" t="s">
        <v>1579</v>
      </c>
      <c r="E266" s="45" t="s">
        <v>69</v>
      </c>
    </row>
    <row r="267" spans="1:5" ht="15.75" customHeight="1">
      <c r="A267" s="45">
        <v>24</v>
      </c>
      <c r="B267" s="51" t="s">
        <v>3570</v>
      </c>
      <c r="C267" s="45" t="s">
        <v>3409</v>
      </c>
      <c r="D267" s="45" t="s">
        <v>1579</v>
      </c>
      <c r="E267" s="45" t="s">
        <v>69</v>
      </c>
    </row>
    <row r="268" spans="1:5" ht="15.75" customHeight="1">
      <c r="A268" s="45">
        <v>25</v>
      </c>
      <c r="B268" s="51" t="s">
        <v>3576</v>
      </c>
      <c r="C268" s="45" t="s">
        <v>3409</v>
      </c>
      <c r="D268" s="45" t="s">
        <v>1579</v>
      </c>
      <c r="E268" s="45" t="s">
        <v>69</v>
      </c>
    </row>
    <row r="269" spans="1:5" ht="15.75" customHeight="1">
      <c r="A269" s="45">
        <v>26</v>
      </c>
      <c r="B269" s="51" t="s">
        <v>3583</v>
      </c>
      <c r="C269" s="45" t="s">
        <v>3409</v>
      </c>
      <c r="D269" s="45" t="s">
        <v>1579</v>
      </c>
      <c r="E269" s="45" t="s">
        <v>69</v>
      </c>
    </row>
    <row r="270" spans="1:5" ht="15.75" customHeight="1">
      <c r="A270" s="45">
        <v>27</v>
      </c>
      <c r="B270" s="51" t="s">
        <v>3589</v>
      </c>
      <c r="C270" s="45" t="s">
        <v>3409</v>
      </c>
      <c r="D270" s="45" t="s">
        <v>1579</v>
      </c>
      <c r="E270" s="45" t="s">
        <v>69</v>
      </c>
    </row>
    <row r="271" spans="1:5" ht="15.75" customHeight="1">
      <c r="A271" s="45">
        <v>28</v>
      </c>
      <c r="B271" s="51" t="s">
        <v>3596</v>
      </c>
      <c r="C271" s="45" t="s">
        <v>3409</v>
      </c>
      <c r="D271" s="45" t="s">
        <v>1579</v>
      </c>
      <c r="E271" s="45" t="s">
        <v>69</v>
      </c>
    </row>
    <row r="272" spans="1:5" ht="15.75" customHeight="1">
      <c r="A272" s="45">
        <v>29</v>
      </c>
      <c r="B272" s="51" t="s">
        <v>3603</v>
      </c>
      <c r="C272" s="45" t="s">
        <v>3409</v>
      </c>
      <c r="D272" s="45" t="s">
        <v>1579</v>
      </c>
      <c r="E272" s="45" t="s">
        <v>69</v>
      </c>
    </row>
    <row r="273" spans="1:5" ht="15.75" customHeight="1">
      <c r="A273" s="45">
        <v>30</v>
      </c>
      <c r="B273" s="51" t="s">
        <v>3611</v>
      </c>
      <c r="C273" s="45" t="s">
        <v>3409</v>
      </c>
      <c r="D273" s="45" t="s">
        <v>1579</v>
      </c>
      <c r="E273" s="45" t="s">
        <v>69</v>
      </c>
    </row>
    <row r="274" spans="1:5" ht="15.75" customHeight="1">
      <c r="A274" s="45">
        <v>31</v>
      </c>
      <c r="B274" s="51" t="s">
        <v>3619</v>
      </c>
      <c r="C274" s="45" t="s">
        <v>3409</v>
      </c>
      <c r="D274" s="45" t="s">
        <v>1579</v>
      </c>
      <c r="E274" s="45" t="s">
        <v>69</v>
      </c>
    </row>
    <row r="275" spans="1:5" ht="15.75" customHeight="1">
      <c r="A275" s="45">
        <v>32</v>
      </c>
      <c r="B275" s="51" t="s">
        <v>3628</v>
      </c>
      <c r="C275" s="45" t="s">
        <v>3409</v>
      </c>
      <c r="D275" s="45" t="s">
        <v>1579</v>
      </c>
      <c r="E275" s="45" t="s">
        <v>69</v>
      </c>
    </row>
    <row r="276" spans="1:5" ht="15.75" customHeight="1">
      <c r="A276" s="45">
        <v>33</v>
      </c>
      <c r="B276" s="51" t="s">
        <v>3637</v>
      </c>
      <c r="C276" s="45" t="s">
        <v>3409</v>
      </c>
      <c r="D276" s="45" t="s">
        <v>1579</v>
      </c>
      <c r="E276" s="45" t="s">
        <v>69</v>
      </c>
    </row>
    <row r="277" spans="1:5" ht="15.75" customHeight="1">
      <c r="A277" s="45">
        <v>34</v>
      </c>
      <c r="B277" s="51" t="s">
        <v>3644</v>
      </c>
      <c r="C277" s="45" t="s">
        <v>3409</v>
      </c>
      <c r="D277" s="45" t="s">
        <v>1579</v>
      </c>
      <c r="E277" s="45" t="s">
        <v>69</v>
      </c>
    </row>
    <row r="278" spans="1:5" ht="15.75" customHeight="1">
      <c r="A278" s="45">
        <v>35</v>
      </c>
      <c r="B278" s="51" t="s">
        <v>3650</v>
      </c>
      <c r="C278" s="45" t="s">
        <v>3409</v>
      </c>
      <c r="D278" s="45" t="s">
        <v>1579</v>
      </c>
      <c r="E278" s="45" t="s">
        <v>69</v>
      </c>
    </row>
    <row r="279" spans="1:5" ht="15.75" customHeight="1">
      <c r="A279" s="45">
        <v>1</v>
      </c>
      <c r="B279" s="51" t="s">
        <v>3659</v>
      </c>
      <c r="C279" s="45" t="s">
        <v>3665</v>
      </c>
      <c r="D279" s="45" t="s">
        <v>1579</v>
      </c>
      <c r="E279" s="45" t="s">
        <v>69</v>
      </c>
    </row>
    <row r="280" spans="1:5" ht="15.75" customHeight="1">
      <c r="A280" s="45">
        <v>2</v>
      </c>
      <c r="B280" s="51" t="s">
        <v>3666</v>
      </c>
      <c r="C280" s="45" t="s">
        <v>3665</v>
      </c>
      <c r="D280" s="45" t="s">
        <v>1579</v>
      </c>
      <c r="E280" s="45" t="s">
        <v>69</v>
      </c>
    </row>
    <row r="281" spans="1:5" ht="15.75" customHeight="1">
      <c r="A281" s="45">
        <v>3</v>
      </c>
      <c r="B281" s="51" t="s">
        <v>3673</v>
      </c>
      <c r="C281" s="45" t="s">
        <v>3665</v>
      </c>
      <c r="D281" s="45" t="s">
        <v>1579</v>
      </c>
      <c r="E281" s="45" t="s">
        <v>69</v>
      </c>
    </row>
    <row r="282" spans="1:5" ht="15.75" customHeight="1">
      <c r="A282" s="45">
        <v>4</v>
      </c>
      <c r="B282" s="51" t="s">
        <v>3681</v>
      </c>
      <c r="C282" s="45" t="s">
        <v>3665</v>
      </c>
      <c r="D282" s="45" t="s">
        <v>1579</v>
      </c>
      <c r="E282" s="45" t="s">
        <v>69</v>
      </c>
    </row>
    <row r="283" spans="1:5" ht="15.75" customHeight="1">
      <c r="A283" s="45">
        <v>5</v>
      </c>
      <c r="B283" s="51" t="s">
        <v>3689</v>
      </c>
      <c r="C283" s="45" t="s">
        <v>3665</v>
      </c>
      <c r="D283" s="45" t="s">
        <v>1579</v>
      </c>
      <c r="E283" s="45" t="s">
        <v>69</v>
      </c>
    </row>
    <row r="284" spans="1:5" ht="15.75" customHeight="1">
      <c r="A284" s="45">
        <v>6</v>
      </c>
      <c r="B284" s="51" t="s">
        <v>3695</v>
      </c>
      <c r="C284" s="45" t="s">
        <v>3665</v>
      </c>
      <c r="D284" s="45" t="s">
        <v>1579</v>
      </c>
      <c r="E284" s="45" t="s">
        <v>69</v>
      </c>
    </row>
    <row r="285" spans="1:5" ht="15.75" customHeight="1">
      <c r="A285" s="45">
        <v>7</v>
      </c>
      <c r="B285" s="51" t="s">
        <v>3703</v>
      </c>
      <c r="C285" s="45" t="s">
        <v>3665</v>
      </c>
      <c r="D285" s="45" t="s">
        <v>1579</v>
      </c>
      <c r="E285" s="45" t="s">
        <v>69</v>
      </c>
    </row>
    <row r="286" spans="1:5" ht="15.75" customHeight="1">
      <c r="A286" s="45">
        <v>8</v>
      </c>
      <c r="B286" s="51" t="s">
        <v>3712</v>
      </c>
      <c r="C286" s="45" t="s">
        <v>3665</v>
      </c>
      <c r="D286" s="45" t="s">
        <v>1579</v>
      </c>
      <c r="E286" s="45" t="s">
        <v>69</v>
      </c>
    </row>
    <row r="287" spans="1:5" ht="15.75" customHeight="1">
      <c r="A287" s="45">
        <v>9</v>
      </c>
      <c r="B287" s="51" t="s">
        <v>3718</v>
      </c>
      <c r="C287" s="45" t="s">
        <v>3665</v>
      </c>
      <c r="D287" s="45" t="s">
        <v>1579</v>
      </c>
      <c r="E287" s="45" t="s">
        <v>69</v>
      </c>
    </row>
    <row r="288" spans="1:5" ht="15.75" customHeight="1">
      <c r="A288" s="45">
        <v>1</v>
      </c>
      <c r="B288" s="51" t="s">
        <v>3725</v>
      </c>
      <c r="C288" s="45" t="s">
        <v>548</v>
      </c>
      <c r="D288" s="45" t="s">
        <v>1579</v>
      </c>
      <c r="E288" s="45" t="s">
        <v>6687</v>
      </c>
    </row>
    <row r="289" spans="1:5" ht="15.75" customHeight="1">
      <c r="A289" s="45">
        <v>2</v>
      </c>
      <c r="B289" s="51" t="s">
        <v>3732</v>
      </c>
      <c r="C289" s="45" t="s">
        <v>548</v>
      </c>
      <c r="D289" s="45" t="s">
        <v>1579</v>
      </c>
      <c r="E289" s="45" t="s">
        <v>5</v>
      </c>
    </row>
    <row r="290" spans="1:5" ht="15.75" customHeight="1">
      <c r="A290" s="45">
        <v>3</v>
      </c>
      <c r="B290" s="51" t="s">
        <v>3740</v>
      </c>
      <c r="C290" s="45" t="s">
        <v>548</v>
      </c>
      <c r="D290" s="45" t="s">
        <v>1579</v>
      </c>
      <c r="E290" s="45" t="s">
        <v>6686</v>
      </c>
    </row>
    <row r="291" spans="1:5" ht="15.75" customHeight="1">
      <c r="A291" s="45">
        <v>4</v>
      </c>
      <c r="B291" s="51" t="s">
        <v>3748</v>
      </c>
      <c r="C291" s="45" t="s">
        <v>548</v>
      </c>
      <c r="D291" s="45" t="s">
        <v>1579</v>
      </c>
      <c r="E291" s="45" t="s">
        <v>69</v>
      </c>
    </row>
    <row r="292" spans="1:5" ht="15.75" customHeight="1">
      <c r="A292" s="45">
        <v>5</v>
      </c>
      <c r="B292" s="51" t="s">
        <v>3757</v>
      </c>
      <c r="C292" s="45" t="s">
        <v>548</v>
      </c>
      <c r="D292" s="45" t="s">
        <v>1579</v>
      </c>
      <c r="E292" s="45" t="s">
        <v>69</v>
      </c>
    </row>
    <row r="293" spans="1:5" ht="15.75" customHeight="1">
      <c r="A293" s="45">
        <v>6</v>
      </c>
      <c r="B293" s="51" t="s">
        <v>3765</v>
      </c>
      <c r="C293" s="45" t="s">
        <v>548</v>
      </c>
      <c r="D293" s="45" t="s">
        <v>1579</v>
      </c>
      <c r="E293" s="45" t="s">
        <v>69</v>
      </c>
    </row>
    <row r="294" spans="1:5" ht="15.75" customHeight="1">
      <c r="A294" s="45">
        <v>7</v>
      </c>
      <c r="B294" s="51" t="s">
        <v>3774</v>
      </c>
      <c r="C294" s="45" t="s">
        <v>548</v>
      </c>
      <c r="D294" s="45" t="s">
        <v>1579</v>
      </c>
      <c r="E294" s="45" t="s">
        <v>69</v>
      </c>
    </row>
    <row r="295" spans="1:5" ht="15.75" customHeight="1">
      <c r="A295" s="45">
        <v>1</v>
      </c>
      <c r="B295" s="51" t="s">
        <v>3782</v>
      </c>
      <c r="C295" s="45" t="s">
        <v>204</v>
      </c>
      <c r="D295" s="45" t="s">
        <v>1579</v>
      </c>
      <c r="E295" s="45" t="s">
        <v>69</v>
      </c>
    </row>
    <row r="296" spans="1:5" ht="15.75" customHeight="1">
      <c r="A296" s="45">
        <v>2</v>
      </c>
      <c r="B296" s="51" t="s">
        <v>3788</v>
      </c>
      <c r="C296" s="45" t="s">
        <v>204</v>
      </c>
      <c r="D296" s="45" t="s">
        <v>1579</v>
      </c>
      <c r="E296" s="45" t="s">
        <v>69</v>
      </c>
    </row>
    <row r="297" spans="1:5" ht="15.75" customHeight="1">
      <c r="A297" s="45">
        <v>3</v>
      </c>
      <c r="B297" s="51" t="s">
        <v>3795</v>
      </c>
      <c r="C297" s="45" t="s">
        <v>204</v>
      </c>
      <c r="D297" s="45" t="s">
        <v>1579</v>
      </c>
      <c r="E297" s="45" t="s">
        <v>69</v>
      </c>
    </row>
    <row r="298" spans="1:5" ht="15.75" customHeight="1">
      <c r="A298" s="45">
        <v>4</v>
      </c>
      <c r="B298" s="51" t="s">
        <v>3805</v>
      </c>
      <c r="C298" s="45" t="s">
        <v>204</v>
      </c>
      <c r="D298" s="45" t="s">
        <v>1579</v>
      </c>
      <c r="E298" s="45" t="s">
        <v>69</v>
      </c>
    </row>
    <row r="299" spans="1:5" ht="15.75" customHeight="1">
      <c r="A299" s="45">
        <v>5</v>
      </c>
      <c r="B299" s="51" t="s">
        <v>3811</v>
      </c>
      <c r="C299" s="45" t="s">
        <v>204</v>
      </c>
      <c r="D299" s="45" t="s">
        <v>1579</v>
      </c>
      <c r="E299" s="45" t="s">
        <v>69</v>
      </c>
    </row>
    <row r="300" spans="1:5" ht="15.75" customHeight="1">
      <c r="A300" s="45">
        <v>6</v>
      </c>
      <c r="B300" s="51" t="s">
        <v>3818</v>
      </c>
      <c r="C300" s="45" t="s">
        <v>204</v>
      </c>
      <c r="D300" s="45" t="s">
        <v>1579</v>
      </c>
      <c r="E300" s="45" t="s">
        <v>69</v>
      </c>
    </row>
    <row r="301" spans="1:5" ht="15.75" customHeight="1">
      <c r="A301" s="45">
        <v>7</v>
      </c>
      <c r="B301" s="51" t="s">
        <v>3824</v>
      </c>
      <c r="C301" s="45" t="s">
        <v>204</v>
      </c>
      <c r="D301" s="45" t="s">
        <v>1579</v>
      </c>
      <c r="E301" s="45" t="s">
        <v>69</v>
      </c>
    </row>
    <row r="302" spans="1:5" ht="15.75" customHeight="1">
      <c r="A302" s="45">
        <v>8</v>
      </c>
      <c r="B302" s="51" t="s">
        <v>3831</v>
      </c>
      <c r="C302" s="45" t="s">
        <v>204</v>
      </c>
      <c r="D302" s="45" t="s">
        <v>1579</v>
      </c>
      <c r="E302" s="45" t="s">
        <v>69</v>
      </c>
    </row>
    <row r="303" spans="1:5" ht="15.75" customHeight="1">
      <c r="A303" s="45">
        <v>9</v>
      </c>
      <c r="B303" s="51" t="s">
        <v>3837</v>
      </c>
      <c r="C303" s="45" t="s">
        <v>204</v>
      </c>
      <c r="D303" s="45" t="s">
        <v>1579</v>
      </c>
      <c r="E303" s="45" t="s">
        <v>69</v>
      </c>
    </row>
    <row r="304" spans="1:5" ht="15.75" customHeight="1">
      <c r="A304" s="45">
        <v>10</v>
      </c>
      <c r="B304" s="51" t="s">
        <v>3845</v>
      </c>
      <c r="C304" s="45" t="s">
        <v>204</v>
      </c>
      <c r="D304" s="45" t="s">
        <v>1579</v>
      </c>
      <c r="E304" s="45" t="s">
        <v>69</v>
      </c>
    </row>
    <row r="305" spans="1:5" ht="15.75" customHeight="1">
      <c r="A305" s="45">
        <v>11</v>
      </c>
      <c r="B305" s="51" t="s">
        <v>3854</v>
      </c>
      <c r="C305" s="45" t="s">
        <v>204</v>
      </c>
      <c r="D305" s="45" t="s">
        <v>1579</v>
      </c>
      <c r="E305" s="45" t="s">
        <v>69</v>
      </c>
    </row>
    <row r="306" spans="1:5" ht="15.75" customHeight="1">
      <c r="A306" s="45">
        <v>12</v>
      </c>
      <c r="B306" s="51" t="s">
        <v>3863</v>
      </c>
      <c r="C306" s="45" t="s">
        <v>204</v>
      </c>
      <c r="D306" s="45" t="s">
        <v>1579</v>
      </c>
      <c r="E306" s="45" t="s">
        <v>69</v>
      </c>
    </row>
    <row r="307" spans="1:5" ht="15.75" customHeight="1">
      <c r="A307" s="45">
        <v>13</v>
      </c>
      <c r="B307" s="51" t="s">
        <v>3871</v>
      </c>
      <c r="C307" s="45" t="s">
        <v>204</v>
      </c>
      <c r="D307" s="45" t="s">
        <v>1579</v>
      </c>
      <c r="E307" s="45" t="s">
        <v>69</v>
      </c>
    </row>
    <row r="308" spans="1:5" ht="15.75" customHeight="1">
      <c r="A308" s="45">
        <v>14</v>
      </c>
      <c r="B308" s="51" t="s">
        <v>3878</v>
      </c>
      <c r="C308" s="45" t="s">
        <v>204</v>
      </c>
      <c r="D308" s="45" t="s">
        <v>1579</v>
      </c>
      <c r="E308" s="45" t="s">
        <v>69</v>
      </c>
    </row>
    <row r="309" spans="1:5" ht="15.75" customHeight="1">
      <c r="A309" s="45">
        <v>15</v>
      </c>
      <c r="B309" s="51" t="s">
        <v>3885</v>
      </c>
      <c r="C309" s="45" t="s">
        <v>204</v>
      </c>
      <c r="D309" s="45" t="s">
        <v>1579</v>
      </c>
      <c r="E309" s="45" t="s">
        <v>69</v>
      </c>
    </row>
    <row r="310" spans="1:5" ht="15.75" customHeight="1">
      <c r="A310" s="45">
        <v>16</v>
      </c>
      <c r="B310" s="51" t="s">
        <v>3893</v>
      </c>
      <c r="C310" s="45" t="s">
        <v>204</v>
      </c>
      <c r="D310" s="45" t="s">
        <v>1579</v>
      </c>
      <c r="E310" s="45" t="s">
        <v>69</v>
      </c>
    </row>
    <row r="311" spans="1:5" ht="15.75" customHeight="1">
      <c r="A311" s="45">
        <v>17</v>
      </c>
      <c r="B311" s="51" t="s">
        <v>3900</v>
      </c>
      <c r="C311" s="45" t="s">
        <v>204</v>
      </c>
      <c r="D311" s="45" t="s">
        <v>1579</v>
      </c>
      <c r="E311" s="45" t="s">
        <v>69</v>
      </c>
    </row>
    <row r="312" spans="1:5" ht="15.75" customHeight="1">
      <c r="A312" s="45">
        <v>18</v>
      </c>
      <c r="B312" s="51" t="s">
        <v>3906</v>
      </c>
      <c r="C312" s="45" t="s">
        <v>204</v>
      </c>
      <c r="D312" s="45" t="s">
        <v>1579</v>
      </c>
      <c r="E312" s="45" t="s">
        <v>69</v>
      </c>
    </row>
    <row r="313" spans="1:5" ht="15.75" customHeight="1">
      <c r="A313" s="45">
        <v>19</v>
      </c>
      <c r="B313" s="51" t="s">
        <v>3915</v>
      </c>
      <c r="C313" s="45" t="s">
        <v>204</v>
      </c>
      <c r="D313" s="45" t="s">
        <v>1579</v>
      </c>
      <c r="E313" s="45" t="s">
        <v>69</v>
      </c>
    </row>
    <row r="314" spans="1:5" ht="15.75" customHeight="1">
      <c r="A314" s="45">
        <v>20</v>
      </c>
      <c r="B314" s="51" t="s">
        <v>3921</v>
      </c>
      <c r="C314" s="45" t="s">
        <v>204</v>
      </c>
      <c r="D314" s="45" t="s">
        <v>1579</v>
      </c>
      <c r="E314" s="45" t="s">
        <v>69</v>
      </c>
    </row>
    <row r="315" spans="1:5" ht="15.75" customHeight="1">
      <c r="A315" s="45">
        <v>21</v>
      </c>
      <c r="B315" s="51" t="s">
        <v>3930</v>
      </c>
      <c r="C315" s="45" t="s">
        <v>204</v>
      </c>
      <c r="D315" s="45" t="s">
        <v>1579</v>
      </c>
      <c r="E315" s="45" t="s">
        <v>69</v>
      </c>
    </row>
    <row r="316" spans="1:5" ht="15.75" customHeight="1">
      <c r="A316" s="45">
        <v>22</v>
      </c>
      <c r="B316" s="51" t="s">
        <v>3939</v>
      </c>
      <c r="C316" s="45" t="s">
        <v>204</v>
      </c>
      <c r="D316" s="45" t="s">
        <v>1579</v>
      </c>
      <c r="E316" s="45" t="s">
        <v>69</v>
      </c>
    </row>
    <row r="317" spans="1:5" ht="15.75" customHeight="1">
      <c r="A317" s="45">
        <v>23</v>
      </c>
      <c r="B317" s="51" t="s">
        <v>3945</v>
      </c>
      <c r="C317" s="45" t="s">
        <v>204</v>
      </c>
      <c r="D317" s="45" t="s">
        <v>1579</v>
      </c>
      <c r="E317" s="45" t="s">
        <v>69</v>
      </c>
    </row>
    <row r="318" spans="1:5" ht="15.75" customHeight="1">
      <c r="A318" s="45">
        <v>24</v>
      </c>
      <c r="B318" s="51" t="s">
        <v>3953</v>
      </c>
      <c r="C318" s="45" t="s">
        <v>204</v>
      </c>
      <c r="D318" s="45" t="s">
        <v>1579</v>
      </c>
      <c r="E318" s="45" t="s">
        <v>69</v>
      </c>
    </row>
    <row r="319" spans="1:5" ht="15.75" customHeight="1">
      <c r="A319" s="45">
        <v>25</v>
      </c>
      <c r="B319" s="51" t="s">
        <v>3961</v>
      </c>
      <c r="C319" s="45" t="s">
        <v>204</v>
      </c>
      <c r="D319" s="45" t="s">
        <v>1579</v>
      </c>
      <c r="E319" s="45" t="s">
        <v>69</v>
      </c>
    </row>
    <row r="320" spans="1:5" ht="15.75" customHeight="1">
      <c r="A320" s="45">
        <v>26</v>
      </c>
      <c r="B320" s="51" t="s">
        <v>3968</v>
      </c>
      <c r="C320" s="45" t="s">
        <v>204</v>
      </c>
      <c r="D320" s="45" t="s">
        <v>1579</v>
      </c>
      <c r="E320" s="45" t="s">
        <v>69</v>
      </c>
    </row>
    <row r="321" spans="1:5" ht="15.75" customHeight="1">
      <c r="A321" s="45">
        <v>27</v>
      </c>
      <c r="B321" s="51" t="s">
        <v>3976</v>
      </c>
      <c r="C321" s="45" t="s">
        <v>204</v>
      </c>
      <c r="D321" s="45" t="s">
        <v>1579</v>
      </c>
      <c r="E321" s="45" t="s">
        <v>69</v>
      </c>
    </row>
    <row r="322" spans="1:5" ht="15.75" customHeight="1">
      <c r="A322" s="45">
        <v>28</v>
      </c>
      <c r="B322" s="51" t="s">
        <v>3984</v>
      </c>
      <c r="C322" s="45" t="s">
        <v>204</v>
      </c>
      <c r="D322" s="45" t="s">
        <v>1579</v>
      </c>
      <c r="E322" s="45" t="s">
        <v>69</v>
      </c>
    </row>
    <row r="323" spans="1:5" ht="15.75" customHeight="1">
      <c r="A323" s="45">
        <v>29</v>
      </c>
      <c r="B323" s="51" t="s">
        <v>3991</v>
      </c>
      <c r="C323" s="45" t="s">
        <v>204</v>
      </c>
      <c r="D323" s="45" t="s">
        <v>1579</v>
      </c>
      <c r="E323" s="45" t="s">
        <v>69</v>
      </c>
    </row>
    <row r="324" spans="1:5" ht="15.75" customHeight="1">
      <c r="A324" s="45">
        <v>30</v>
      </c>
      <c r="B324" s="51" t="s">
        <v>3998</v>
      </c>
      <c r="C324" s="45" t="s">
        <v>204</v>
      </c>
      <c r="D324" s="45" t="s">
        <v>1579</v>
      </c>
      <c r="E324" s="45" t="s">
        <v>69</v>
      </c>
    </row>
    <row r="325" spans="1:5" ht="15.75" customHeight="1">
      <c r="A325" s="45">
        <v>31</v>
      </c>
      <c r="B325" s="51" t="s">
        <v>4006</v>
      </c>
      <c r="C325" s="45" t="s">
        <v>204</v>
      </c>
      <c r="D325" s="45" t="s">
        <v>1579</v>
      </c>
      <c r="E325" s="45" t="s">
        <v>69</v>
      </c>
    </row>
    <row r="326" spans="1:5" ht="15.75" customHeight="1">
      <c r="A326" s="45">
        <v>32</v>
      </c>
      <c r="B326" s="51" t="s">
        <v>4015</v>
      </c>
      <c r="C326" s="45" t="s">
        <v>204</v>
      </c>
      <c r="D326" s="45" t="s">
        <v>1579</v>
      </c>
      <c r="E326" s="45" t="s">
        <v>69</v>
      </c>
    </row>
    <row r="327" spans="1:5" ht="15.75" customHeight="1">
      <c r="A327" s="45">
        <v>33</v>
      </c>
      <c r="B327" s="51" t="s">
        <v>4022</v>
      </c>
      <c r="C327" s="45" t="s">
        <v>204</v>
      </c>
      <c r="D327" s="45" t="s">
        <v>1579</v>
      </c>
      <c r="E327" s="45" t="s">
        <v>69</v>
      </c>
    </row>
    <row r="328" spans="1:5" ht="15.75" customHeight="1">
      <c r="A328" s="45">
        <v>34</v>
      </c>
      <c r="B328" s="51" t="s">
        <v>4030</v>
      </c>
      <c r="C328" s="45" t="s">
        <v>204</v>
      </c>
      <c r="D328" s="45" t="s">
        <v>1579</v>
      </c>
      <c r="E328" s="45" t="s">
        <v>69</v>
      </c>
    </row>
    <row r="329" spans="1:5" ht="15.75" customHeight="1">
      <c r="A329" s="45">
        <v>35</v>
      </c>
      <c r="B329" s="51" t="s">
        <v>4037</v>
      </c>
      <c r="C329" s="45" t="s">
        <v>204</v>
      </c>
      <c r="D329" s="45" t="s">
        <v>1579</v>
      </c>
      <c r="E329" s="45" t="s">
        <v>69</v>
      </c>
    </row>
    <row r="330" spans="1:5" ht="15.75" customHeight="1">
      <c r="A330" s="45">
        <v>36</v>
      </c>
      <c r="B330" s="51" t="s">
        <v>4045</v>
      </c>
      <c r="C330" s="45" t="s">
        <v>204</v>
      </c>
      <c r="D330" s="45" t="s">
        <v>1579</v>
      </c>
      <c r="E330" s="45" t="s">
        <v>69</v>
      </c>
    </row>
    <row r="331" spans="1:5" ht="15.75" customHeight="1">
      <c r="A331" s="45">
        <v>37</v>
      </c>
      <c r="B331" s="51" t="s">
        <v>4051</v>
      </c>
      <c r="C331" s="45" t="s">
        <v>204</v>
      </c>
      <c r="D331" s="45" t="s">
        <v>1579</v>
      </c>
      <c r="E331" s="45" t="s">
        <v>69</v>
      </c>
    </row>
    <row r="332" spans="1:5" ht="15.75" customHeight="1">
      <c r="A332" s="45">
        <v>38</v>
      </c>
      <c r="B332" s="51" t="s">
        <v>4058</v>
      </c>
      <c r="C332" s="45" t="s">
        <v>204</v>
      </c>
      <c r="D332" s="45" t="s">
        <v>1579</v>
      </c>
      <c r="E332" s="45" t="s">
        <v>69</v>
      </c>
    </row>
    <row r="333" spans="1:5" ht="15.75" customHeight="1">
      <c r="A333" s="45">
        <v>39</v>
      </c>
      <c r="B333" s="51" t="s">
        <v>4067</v>
      </c>
      <c r="C333" s="45" t="s">
        <v>204</v>
      </c>
      <c r="D333" s="45" t="s">
        <v>1579</v>
      </c>
      <c r="E333" s="45" t="s">
        <v>69</v>
      </c>
    </row>
    <row r="334" spans="1:5" ht="15.75" customHeight="1">
      <c r="A334" s="45">
        <v>40</v>
      </c>
      <c r="B334" s="51" t="s">
        <v>4074</v>
      </c>
      <c r="C334" s="45" t="s">
        <v>204</v>
      </c>
      <c r="D334" s="45" t="s">
        <v>1579</v>
      </c>
      <c r="E334" s="45" t="s">
        <v>69</v>
      </c>
    </row>
    <row r="335" spans="1:5" ht="15.75" customHeight="1">
      <c r="A335" s="45">
        <v>41</v>
      </c>
      <c r="B335" s="51" t="s">
        <v>4079</v>
      </c>
      <c r="C335" s="45" t="s">
        <v>204</v>
      </c>
      <c r="D335" s="45" t="s">
        <v>1579</v>
      </c>
      <c r="E335" s="45" t="s">
        <v>69</v>
      </c>
    </row>
    <row r="336" spans="1:5" ht="15.75" customHeight="1">
      <c r="A336" s="45">
        <v>42</v>
      </c>
      <c r="B336" s="51" t="s">
        <v>4087</v>
      </c>
      <c r="C336" s="45" t="s">
        <v>204</v>
      </c>
      <c r="D336" s="45" t="s">
        <v>1579</v>
      </c>
      <c r="E336" s="45" t="s">
        <v>69</v>
      </c>
    </row>
    <row r="337" spans="1:5" ht="15.75" customHeight="1">
      <c r="A337" s="45">
        <v>43</v>
      </c>
      <c r="B337" s="51" t="s">
        <v>4093</v>
      </c>
      <c r="C337" s="45" t="s">
        <v>204</v>
      </c>
      <c r="D337" s="45" t="s">
        <v>1579</v>
      </c>
      <c r="E337" s="45" t="s">
        <v>69</v>
      </c>
    </row>
    <row r="338" spans="1:5" ht="15.75" customHeight="1">
      <c r="A338" s="45">
        <v>44</v>
      </c>
      <c r="B338" s="51" t="s">
        <v>4101</v>
      </c>
      <c r="C338" s="45" t="s">
        <v>204</v>
      </c>
      <c r="D338" s="45" t="s">
        <v>1579</v>
      </c>
      <c r="E338" s="45" t="s">
        <v>69</v>
      </c>
    </row>
    <row r="339" spans="1:5" ht="15.75" customHeight="1">
      <c r="A339" s="45">
        <v>45</v>
      </c>
      <c r="B339" s="51" t="s">
        <v>4106</v>
      </c>
      <c r="C339" s="45" t="s">
        <v>204</v>
      </c>
      <c r="D339" s="45" t="s">
        <v>1579</v>
      </c>
      <c r="E339" s="45" t="s">
        <v>69</v>
      </c>
    </row>
    <row r="340" spans="1:5" ht="15.75" customHeight="1">
      <c r="A340" s="45">
        <v>46</v>
      </c>
      <c r="B340" s="51" t="s">
        <v>4114</v>
      </c>
      <c r="C340" s="45" t="s">
        <v>204</v>
      </c>
      <c r="D340" s="45" t="s">
        <v>1579</v>
      </c>
      <c r="E340" s="45" t="s">
        <v>69</v>
      </c>
    </row>
    <row r="341" spans="1:5" ht="15.75" customHeight="1">
      <c r="A341" s="45">
        <v>47</v>
      </c>
      <c r="B341" s="51" t="s">
        <v>4121</v>
      </c>
      <c r="C341" s="45" t="s">
        <v>204</v>
      </c>
      <c r="D341" s="45" t="s">
        <v>1579</v>
      </c>
      <c r="E341" s="45" t="s">
        <v>69</v>
      </c>
    </row>
    <row r="342" spans="1:5" ht="15.75" customHeight="1">
      <c r="A342" s="45">
        <v>48</v>
      </c>
      <c r="B342" s="51" t="s">
        <v>4130</v>
      </c>
      <c r="C342" s="45" t="s">
        <v>204</v>
      </c>
      <c r="D342" s="45" t="s">
        <v>1579</v>
      </c>
      <c r="E342" s="45" t="s">
        <v>69</v>
      </c>
    </row>
    <row r="343" spans="1:5" ht="15.75" customHeight="1">
      <c r="A343" s="45">
        <v>49</v>
      </c>
      <c r="B343" s="51" t="s">
        <v>4138</v>
      </c>
      <c r="C343" s="45" t="s">
        <v>204</v>
      </c>
      <c r="D343" s="45" t="s">
        <v>1579</v>
      </c>
      <c r="E343" s="45" t="s">
        <v>69</v>
      </c>
    </row>
    <row r="344" spans="1:5" ht="15.75" customHeight="1">
      <c r="A344" s="45">
        <v>50</v>
      </c>
      <c r="B344" s="51" t="s">
        <v>4146</v>
      </c>
      <c r="C344" s="45" t="s">
        <v>204</v>
      </c>
      <c r="D344" s="45" t="s">
        <v>1579</v>
      </c>
      <c r="E344" s="45" t="s">
        <v>69</v>
      </c>
    </row>
    <row r="345" spans="1:5" ht="15.75" customHeight="1">
      <c r="A345" s="45">
        <v>51</v>
      </c>
      <c r="B345" s="51" t="s">
        <v>4151</v>
      </c>
      <c r="C345" s="45" t="s">
        <v>204</v>
      </c>
      <c r="D345" s="45" t="s">
        <v>1579</v>
      </c>
      <c r="E345" s="45" t="s">
        <v>69</v>
      </c>
    </row>
    <row r="346" spans="1:5" ht="15.75" customHeight="1">
      <c r="A346" s="45">
        <v>52</v>
      </c>
      <c r="B346" s="51" t="s">
        <v>4157</v>
      </c>
      <c r="C346" s="45" t="s">
        <v>204</v>
      </c>
      <c r="D346" s="45" t="s">
        <v>1579</v>
      </c>
      <c r="E346" s="45" t="s">
        <v>69</v>
      </c>
    </row>
    <row r="347" spans="1:5" ht="15.75" customHeight="1">
      <c r="A347" s="45">
        <v>53</v>
      </c>
      <c r="B347" s="51" t="s">
        <v>4163</v>
      </c>
      <c r="C347" s="45" t="s">
        <v>204</v>
      </c>
      <c r="D347" s="45" t="s">
        <v>1579</v>
      </c>
      <c r="E347" s="45" t="s">
        <v>69</v>
      </c>
    </row>
    <row r="348" spans="1:5" ht="15.75" customHeight="1">
      <c r="A348" s="45">
        <v>54</v>
      </c>
      <c r="B348" s="51" t="s">
        <v>4172</v>
      </c>
      <c r="C348" s="45" t="s">
        <v>204</v>
      </c>
      <c r="D348" s="45" t="s">
        <v>1579</v>
      </c>
      <c r="E348" s="45" t="s">
        <v>69</v>
      </c>
    </row>
    <row r="349" spans="1:5" ht="15.75" customHeight="1">
      <c r="A349" s="45">
        <v>55</v>
      </c>
      <c r="B349" s="51" t="s">
        <v>4179</v>
      </c>
      <c r="C349" s="45" t="s">
        <v>204</v>
      </c>
      <c r="D349" s="45" t="s">
        <v>1579</v>
      </c>
      <c r="E349" s="45" t="s">
        <v>69</v>
      </c>
    </row>
    <row r="350" spans="1:5" ht="15.75" customHeight="1">
      <c r="A350" s="45">
        <v>56</v>
      </c>
      <c r="B350" s="51" t="s">
        <v>4187</v>
      </c>
      <c r="C350" s="45" t="s">
        <v>204</v>
      </c>
      <c r="D350" s="45" t="s">
        <v>1579</v>
      </c>
      <c r="E350" s="45" t="s">
        <v>69</v>
      </c>
    </row>
    <row r="351" spans="1:5" ht="15.75" customHeight="1">
      <c r="A351" s="45">
        <v>57</v>
      </c>
      <c r="B351" s="51" t="s">
        <v>4194</v>
      </c>
      <c r="C351" s="45" t="s">
        <v>204</v>
      </c>
      <c r="D351" s="45" t="s">
        <v>1579</v>
      </c>
      <c r="E351" s="45" t="s">
        <v>69</v>
      </c>
    </row>
    <row r="352" spans="1:5" ht="15.75" customHeight="1">
      <c r="A352" s="45">
        <v>58</v>
      </c>
      <c r="B352" s="51" t="s">
        <v>4200</v>
      </c>
      <c r="C352" s="45" t="s">
        <v>204</v>
      </c>
      <c r="D352" s="45" t="s">
        <v>1579</v>
      </c>
      <c r="E352" s="45" t="s">
        <v>69</v>
      </c>
    </row>
    <row r="353" spans="1:5" ht="15.75" customHeight="1">
      <c r="A353" s="45">
        <v>59</v>
      </c>
      <c r="B353" s="51" t="s">
        <v>4208</v>
      </c>
      <c r="C353" s="45" t="s">
        <v>204</v>
      </c>
      <c r="D353" s="45" t="s">
        <v>1579</v>
      </c>
      <c r="E353" s="45" t="s">
        <v>69</v>
      </c>
    </row>
    <row r="354" spans="1:5" ht="15.75" customHeight="1">
      <c r="A354" s="45">
        <v>60</v>
      </c>
      <c r="B354" s="51" t="s">
        <v>4216</v>
      </c>
      <c r="C354" s="45" t="s">
        <v>204</v>
      </c>
      <c r="D354" s="45" t="s">
        <v>1579</v>
      </c>
      <c r="E354" s="45" t="s">
        <v>69</v>
      </c>
    </row>
    <row r="355" spans="1:5" ht="15.75" customHeight="1">
      <c r="A355" s="45">
        <v>61</v>
      </c>
      <c r="B355" s="51" t="s">
        <v>4222</v>
      </c>
      <c r="C355" s="45" t="s">
        <v>204</v>
      </c>
      <c r="D355" s="45" t="s">
        <v>1579</v>
      </c>
      <c r="E355" s="45" t="s">
        <v>69</v>
      </c>
    </row>
    <row r="356" spans="1:5" ht="15.75" customHeight="1">
      <c r="A356" s="45">
        <v>1</v>
      </c>
      <c r="B356" s="51" t="s">
        <v>4228</v>
      </c>
      <c r="C356" s="45" t="s">
        <v>4235</v>
      </c>
      <c r="D356" s="45" t="s">
        <v>1579</v>
      </c>
      <c r="E356" s="45" t="s">
        <v>69</v>
      </c>
    </row>
    <row r="357" spans="1:5" ht="15.75" customHeight="1">
      <c r="A357" s="45">
        <v>2</v>
      </c>
      <c r="B357" s="51" t="s">
        <v>4236</v>
      </c>
      <c r="C357" s="45" t="s">
        <v>4235</v>
      </c>
      <c r="D357" s="45" t="s">
        <v>1579</v>
      </c>
      <c r="E357" s="45" t="s">
        <v>69</v>
      </c>
    </row>
  </sheetData>
  <mergeCells count="1">
    <mergeCell ref="A1:E3"/>
  </mergeCells>
  <conditionalFormatting sqref="A1:E4">
    <cfRule type="expression" dxfId="1176" priority="3">
      <formula>$E$5:$E$20001="CONTRATADO"</formula>
    </cfRule>
  </conditionalFormatting>
  <conditionalFormatting sqref="A1:E4">
    <cfRule type="expression" dxfId="1175" priority="4">
      <formula>$E$5:$E$20001="DESCLASSIFICADO"</formula>
    </cfRule>
  </conditionalFormatting>
  <conditionalFormatting sqref="A1:E4">
    <cfRule type="expression" dxfId="1174" priority="5">
      <formula>$E$5:$E$20001="REMANEJADO"</formula>
    </cfRule>
  </conditionalFormatting>
  <conditionalFormatting sqref="A1:E4">
    <cfRule type="expression" dxfId="1173" priority="6">
      <formula>$E$5:$E$20001="1ª CONVOCAÇÃO"</formula>
    </cfRule>
  </conditionalFormatting>
  <conditionalFormatting sqref="A1:E4">
    <cfRule type="expression" dxfId="1172" priority="7">
      <formula>$E$5:$E$20001="2ª CONVOCAÇÃO"</formula>
    </cfRule>
  </conditionalFormatting>
  <conditionalFormatting sqref="A1:E4">
    <cfRule type="expression" dxfId="1171" priority="8">
      <formula>$E$5:$E$20001="NÃO ATENDE/AGUARDANDO RETORNO"</formula>
    </cfRule>
  </conditionalFormatting>
  <conditionalFormatting sqref="A1:E4">
    <cfRule type="expression" dxfId="1170" priority="17">
      <formula>$E$5:$E$20806="REMANEJADO"</formula>
    </cfRule>
  </conditionalFormatting>
  <conditionalFormatting sqref="A1:E4">
    <cfRule type="expression" dxfId="1169" priority="19">
      <formula>$E$5:$E$20806="2ª CONVOCAÇÃO"</formula>
    </cfRule>
  </conditionalFormatting>
  <conditionalFormatting sqref="A1:E4">
    <cfRule type="expression" dxfId="1168" priority="20">
      <formula>$E$5:$E$20806="NÃO ATENDE/AGUARDANDO RETORNO"</formula>
    </cfRule>
  </conditionalFormatting>
  <conditionalFormatting sqref="A1:E4">
    <cfRule type="expression" dxfId="1167" priority="21">
      <formula>$E$6:$E$20806="CONTRATADO"</formula>
    </cfRule>
  </conditionalFormatting>
  <conditionalFormatting sqref="A1:E4">
    <cfRule type="expression" dxfId="1166" priority="8417">
      <formula>$Z$6:$Z$20806="REMANEJADO"</formula>
    </cfRule>
  </conditionalFormatting>
  <conditionalFormatting sqref="A1:E4">
    <cfRule type="expression" dxfId="1165" priority="8420">
      <formula>$Z$6:$Z$20001="DESCLASSIFICADO"</formula>
    </cfRule>
  </conditionalFormatting>
  <conditionalFormatting sqref="A1:E4">
    <cfRule type="expression" dxfId="1164" priority="8423">
      <formula>$Z$6:$Z$20001="REMANEJADO"</formula>
    </cfRule>
  </conditionalFormatting>
  <conditionalFormatting sqref="A1:E4">
    <cfRule type="expression" dxfId="1163" priority="8426">
      <formula>$Z$6:$Z$20001="1ª CONVOCAÇÃO"</formula>
    </cfRule>
  </conditionalFormatting>
  <conditionalFormatting sqref="A1:E4">
    <cfRule type="expression" dxfId="1162" priority="8429">
      <formula>$Z$6:$Z$20001="2ª CONVOCAÇÃO"</formula>
    </cfRule>
  </conditionalFormatting>
  <conditionalFormatting sqref="A1:E4">
    <cfRule type="expression" dxfId="1161" priority="8432">
      <formula>$Z$6:$Z$20001="NÃO ATENDE/AGUARDANDO RETORNO"</formula>
    </cfRule>
  </conditionalFormatting>
  <conditionalFormatting sqref="A1:E4">
    <cfRule type="expression" dxfId="1160" priority="8435">
      <formula>$Z$6:$Z$20806="CONTRATADO"</formula>
    </cfRule>
  </conditionalFormatting>
  <conditionalFormatting sqref="A1:E4">
    <cfRule type="expression" dxfId="1159" priority="8438">
      <formula>$Z$6:$Z$20806="DESCLASSIFICADO"</formula>
    </cfRule>
  </conditionalFormatting>
  <conditionalFormatting sqref="A1:E4">
    <cfRule type="expression" dxfId="1158" priority="8441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sqref="A1:E3"/>
    </sheetView>
  </sheetViews>
  <sheetFormatPr defaultColWidth="14.42578125" defaultRowHeight="15"/>
  <cols>
    <col min="2" max="2" width="27.28515625" style="48" bestFit="1" customWidth="1"/>
    <col min="3" max="3" width="13.8554687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4277</v>
      </c>
      <c r="C5" s="45" t="s">
        <v>64</v>
      </c>
      <c r="D5" s="45" t="s">
        <v>4285</v>
      </c>
      <c r="E5" s="21" t="s">
        <v>325</v>
      </c>
    </row>
    <row r="6" spans="1:5" ht="15.75" customHeight="1">
      <c r="A6" s="45">
        <v>2</v>
      </c>
      <c r="B6" s="51" t="s">
        <v>4286</v>
      </c>
      <c r="C6" s="45" t="s">
        <v>64</v>
      </c>
      <c r="D6" s="45" t="s">
        <v>4285</v>
      </c>
      <c r="E6" s="21" t="s">
        <v>325</v>
      </c>
    </row>
  </sheetData>
  <mergeCells count="1">
    <mergeCell ref="A1:E3"/>
  </mergeCells>
  <conditionalFormatting sqref="A1:D4 E1:E6">
    <cfRule type="expression" dxfId="1157" priority="8445">
      <formula>$E$5:$E$20001="CONTRATADO"</formula>
    </cfRule>
  </conditionalFormatting>
  <conditionalFormatting sqref="E5:E6 A1:E4">
    <cfRule type="expression" dxfId="1156" priority="8448">
      <formula>$E$5:$E$20001="DESCLASSIFICADO"</formula>
    </cfRule>
  </conditionalFormatting>
  <conditionalFormatting sqref="E5:E6 A1:E4">
    <cfRule type="expression" dxfId="1155" priority="8451">
      <formula>$E$5:$E$20001="REMANEJADO"</formula>
    </cfRule>
  </conditionalFormatting>
  <conditionalFormatting sqref="E5:E6 A1:E4">
    <cfRule type="expression" dxfId="1154" priority="8454">
      <formula>$E$5:$E$20001="1ª CONVOCAÇÃO"</formula>
    </cfRule>
  </conditionalFormatting>
  <conditionalFormatting sqref="E5:E6 A1:E4">
    <cfRule type="expression" dxfId="1153" priority="8457">
      <formula>$E$5:$E$20001="2ª CONVOCAÇÃO"</formula>
    </cfRule>
  </conditionalFormatting>
  <conditionalFormatting sqref="E5:E6 A1:E4">
    <cfRule type="expression" dxfId="1152" priority="8460">
      <formula>$E$5:$E$20001="NÃO ATENDE/AGUARDANDO RETORNO"</formula>
    </cfRule>
  </conditionalFormatting>
  <conditionalFormatting sqref="E5:E6 A1:E4">
    <cfRule type="expression" dxfId="1151" priority="8485">
      <formula>$E$5:$E$20806="REMANEJADO"</formula>
    </cfRule>
  </conditionalFormatting>
  <conditionalFormatting sqref="E5:E6 A1:E4">
    <cfRule type="expression" dxfId="1150" priority="8491">
      <formula>$E$5:$E$20806="2ª CONVOCAÇÃO"</formula>
    </cfRule>
  </conditionalFormatting>
  <conditionalFormatting sqref="E5:E6 A1:E4">
    <cfRule type="expression" dxfId="1149" priority="8494">
      <formula>$E$5:$E$20806="NÃO ATENDE/AGUARDANDO RETORNO"</formula>
    </cfRule>
  </conditionalFormatting>
  <conditionalFormatting sqref="E5:E6 A1:E4">
    <cfRule type="expression" dxfId="1148" priority="8497">
      <formula>$E$6:$E$20806="CONTRATADO"</formula>
    </cfRule>
  </conditionalFormatting>
  <conditionalFormatting sqref="E5:E6 A1:E4">
    <cfRule type="expression" dxfId="1147" priority="8666">
      <formula>$Z$6:$Z$20806="REMANEJADO"</formula>
    </cfRule>
  </conditionalFormatting>
  <conditionalFormatting sqref="E5:E6 A1:E4">
    <cfRule type="expression" dxfId="1146" priority="8670">
      <formula>$Z$6:$Z$20001="DESCLASSIFICADO"</formula>
    </cfRule>
  </conditionalFormatting>
  <conditionalFormatting sqref="E5:E6 A1:E4">
    <cfRule type="expression" dxfId="1145" priority="8674">
      <formula>$Z$6:$Z$20001="REMANEJADO"</formula>
    </cfRule>
  </conditionalFormatting>
  <conditionalFormatting sqref="E5:E6 A1:E4">
    <cfRule type="expression" dxfId="1144" priority="8678">
      <formula>$Z$6:$Z$20001="1ª CONVOCAÇÃO"</formula>
    </cfRule>
  </conditionalFormatting>
  <conditionalFormatting sqref="E5:E6 A1:E4">
    <cfRule type="expression" dxfId="1143" priority="8682">
      <formula>$Z$6:$Z$20001="2ª CONVOCAÇÃO"</formula>
    </cfRule>
  </conditionalFormatting>
  <conditionalFormatting sqref="E5:E6 A1:E4">
    <cfRule type="expression" dxfId="1142" priority="8686">
      <formula>$Z$6:$Z$20001="NÃO ATENDE/AGUARDANDO RETORNO"</formula>
    </cfRule>
  </conditionalFormatting>
  <conditionalFormatting sqref="E5:E6 A1:E4">
    <cfRule type="expression" dxfId="1141" priority="8690">
      <formula>$Z$6:$Z$20806="CONTRATADO"</formula>
    </cfRule>
  </conditionalFormatting>
  <conditionalFormatting sqref="E5:E6 A1:E4">
    <cfRule type="expression" dxfId="1140" priority="8694">
      <formula>$Z$6:$Z$20806="DESCLASSIFICADO"</formula>
    </cfRule>
  </conditionalFormatting>
  <conditionalFormatting sqref="E5:E6 A1:E4">
    <cfRule type="expression" dxfId="1139" priority="8698">
      <formula>$Z$6:$Z$20806="1ª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17"/>
  <sheetViews>
    <sheetView zoomScaleNormal="100" workbookViewId="0">
      <selection sqref="A1:E3"/>
    </sheetView>
  </sheetViews>
  <sheetFormatPr defaultColWidth="14.42578125" defaultRowHeight="15"/>
  <cols>
    <col min="2" max="2" width="52.7109375" bestFit="1" customWidth="1"/>
    <col min="3" max="3" width="13.140625" bestFit="1" customWidth="1"/>
    <col min="4" max="4" width="10.85546875" bestFit="1" customWidth="1"/>
    <col min="5" max="5" width="18.710937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4294</v>
      </c>
      <c r="C5" s="30" t="s">
        <v>64</v>
      </c>
      <c r="D5" s="30" t="s">
        <v>4303</v>
      </c>
      <c r="E5" s="21" t="s">
        <v>69</v>
      </c>
    </row>
    <row r="6" spans="1:5" ht="15.75" customHeight="1">
      <c r="A6" s="28">
        <v>2</v>
      </c>
      <c r="B6" s="29" t="s">
        <v>4304</v>
      </c>
      <c r="C6" s="30" t="s">
        <v>64</v>
      </c>
      <c r="D6" s="30" t="s">
        <v>4303</v>
      </c>
      <c r="E6" s="21" t="s">
        <v>69</v>
      </c>
    </row>
    <row r="7" spans="1:5" ht="15.75" customHeight="1">
      <c r="A7" s="28">
        <v>3</v>
      </c>
      <c r="B7" s="29" t="s">
        <v>4313</v>
      </c>
      <c r="C7" s="30" t="s">
        <v>64</v>
      </c>
      <c r="D7" s="30" t="s">
        <v>4303</v>
      </c>
      <c r="E7" s="21" t="s">
        <v>69</v>
      </c>
    </row>
    <row r="8" spans="1:5" ht="15.75" customHeight="1">
      <c r="A8" s="28">
        <v>4</v>
      </c>
      <c r="B8" s="29" t="s">
        <v>4321</v>
      </c>
      <c r="C8" s="30" t="s">
        <v>64</v>
      </c>
      <c r="D8" s="30" t="s">
        <v>4303</v>
      </c>
      <c r="E8" s="21" t="s">
        <v>69</v>
      </c>
    </row>
    <row r="9" spans="1:5" ht="15.75" customHeight="1">
      <c r="A9" s="28">
        <v>5</v>
      </c>
      <c r="B9" s="29" t="s">
        <v>4328</v>
      </c>
      <c r="C9" s="30" t="s">
        <v>64</v>
      </c>
      <c r="D9" s="30" t="s">
        <v>4303</v>
      </c>
      <c r="E9" s="21" t="s">
        <v>69</v>
      </c>
    </row>
    <row r="10" spans="1:5" ht="15.75" customHeight="1">
      <c r="A10" s="28">
        <v>6</v>
      </c>
      <c r="B10" s="29" t="s">
        <v>4334</v>
      </c>
      <c r="C10" s="30" t="s">
        <v>64</v>
      </c>
      <c r="D10" s="30" t="s">
        <v>4303</v>
      </c>
      <c r="E10" s="21" t="s">
        <v>69</v>
      </c>
    </row>
    <row r="11" spans="1:5" ht="15.75" customHeight="1">
      <c r="A11" s="28">
        <v>7</v>
      </c>
      <c r="B11" s="29" t="s">
        <v>4341</v>
      </c>
      <c r="C11" s="30" t="s">
        <v>64</v>
      </c>
      <c r="D11" s="30" t="s">
        <v>4303</v>
      </c>
      <c r="E11" s="21" t="s">
        <v>69</v>
      </c>
    </row>
    <row r="12" spans="1:5" ht="15.75" customHeight="1">
      <c r="A12" s="28">
        <v>8</v>
      </c>
      <c r="B12" s="29" t="s">
        <v>4347</v>
      </c>
      <c r="C12" s="30" t="s">
        <v>64</v>
      </c>
      <c r="D12" s="30" t="s">
        <v>4303</v>
      </c>
      <c r="E12" s="21" t="s">
        <v>69</v>
      </c>
    </row>
    <row r="13" spans="1:5" ht="15.75" customHeight="1">
      <c r="A13" s="28">
        <v>9</v>
      </c>
      <c r="B13" s="29" t="s">
        <v>4353</v>
      </c>
      <c r="C13" s="30" t="s">
        <v>64</v>
      </c>
      <c r="D13" s="30" t="s">
        <v>4303</v>
      </c>
      <c r="E13" s="21" t="s">
        <v>69</v>
      </c>
    </row>
    <row r="14" spans="1:5" ht="15.75" customHeight="1">
      <c r="A14" s="28">
        <v>10</v>
      </c>
      <c r="B14" s="29" t="s">
        <v>4360</v>
      </c>
      <c r="C14" s="30" t="s">
        <v>64</v>
      </c>
      <c r="D14" s="30" t="s">
        <v>4303</v>
      </c>
      <c r="E14" s="21" t="s">
        <v>69</v>
      </c>
    </row>
    <row r="15" spans="1:5" ht="15.75" customHeight="1">
      <c r="A15" s="28">
        <v>1</v>
      </c>
      <c r="B15" s="29" t="s">
        <v>4367</v>
      </c>
      <c r="C15" s="30" t="s">
        <v>1005</v>
      </c>
      <c r="D15" s="30" t="s">
        <v>4303</v>
      </c>
      <c r="E15" s="21" t="s">
        <v>69</v>
      </c>
    </row>
    <row r="16" spans="1:5" ht="15.75" customHeight="1">
      <c r="A16" s="28">
        <v>2</v>
      </c>
      <c r="B16" s="29" t="s">
        <v>4375</v>
      </c>
      <c r="C16" s="30" t="s">
        <v>1005</v>
      </c>
      <c r="D16" s="30" t="s">
        <v>4303</v>
      </c>
      <c r="E16" s="21" t="s">
        <v>69</v>
      </c>
    </row>
    <row r="17" spans="1:5" ht="15.75" customHeight="1">
      <c r="A17" s="28">
        <v>3</v>
      </c>
      <c r="B17" s="29" t="s">
        <v>4384</v>
      </c>
      <c r="C17" s="30" t="s">
        <v>1005</v>
      </c>
      <c r="D17" s="30" t="s">
        <v>4303</v>
      </c>
      <c r="E17" s="21" t="s">
        <v>69</v>
      </c>
    </row>
  </sheetData>
  <mergeCells count="1">
    <mergeCell ref="A1:E3"/>
  </mergeCells>
  <conditionalFormatting sqref="A1:E17">
    <cfRule type="expression" dxfId="1138" priority="8999">
      <formula>$E$5:$E$20001="CONTRATADO"</formula>
    </cfRule>
  </conditionalFormatting>
  <conditionalFormatting sqref="A1:E17">
    <cfRule type="expression" dxfId="1137" priority="9001">
      <formula>$E$5:$E$20001="DESCLASSIFICADO"</formula>
    </cfRule>
  </conditionalFormatting>
  <conditionalFormatting sqref="A1:E17">
    <cfRule type="expression" dxfId="1136" priority="9003">
      <formula>$E$5:$E$20001="REMANEJADO"</formula>
    </cfRule>
  </conditionalFormatting>
  <conditionalFormatting sqref="A1:E17">
    <cfRule type="expression" dxfId="1135" priority="9005">
      <formula>$E$5:$E$20001="1ª CONVOCAÇÃO"</formula>
    </cfRule>
  </conditionalFormatting>
  <conditionalFormatting sqref="A1:E17">
    <cfRule type="expression" dxfId="1134" priority="9007">
      <formula>$E$5:$E$20001="2ª CONVOCAÇÃO"</formula>
    </cfRule>
  </conditionalFormatting>
  <conditionalFormatting sqref="A1:E17">
    <cfRule type="expression" dxfId="1133" priority="9009">
      <formula>$E$5:$E$20001="NÃO ATENDE/AGUARDANDO RETORNO"</formula>
    </cfRule>
  </conditionalFormatting>
  <conditionalFormatting sqref="A1:E17">
    <cfRule type="expression" dxfId="1132" priority="9025">
      <formula>$E$5:$E$20806="REMANEJADO"</formula>
    </cfRule>
  </conditionalFormatting>
  <conditionalFormatting sqref="A1:E17">
    <cfRule type="expression" dxfId="1131" priority="9029">
      <formula>$E$5:$E$20806="2ª CONVOCAÇÃO"</formula>
    </cfRule>
  </conditionalFormatting>
  <conditionalFormatting sqref="A1:E17">
    <cfRule type="expression" dxfId="1130" priority="9031">
      <formula>$E$5:$E$20806="NÃO ATENDE/AGUARDANDO RETORNO"</formula>
    </cfRule>
  </conditionalFormatting>
  <conditionalFormatting sqref="A1:E17">
    <cfRule type="expression" dxfId="1129" priority="9033">
      <formula>$E$6:$E$20806="CONTRATADO"</formula>
    </cfRule>
  </conditionalFormatting>
  <conditionalFormatting sqref="A1:E17">
    <cfRule type="expression" dxfId="1128" priority="9122">
      <formula>$Z$6:$Z$20806="REMANEJADO"</formula>
    </cfRule>
  </conditionalFormatting>
  <conditionalFormatting sqref="A1:E17">
    <cfRule type="expression" dxfId="1127" priority="9124">
      <formula>$Z$6:$Z$20001="DESCLASSIFICADO"</formula>
    </cfRule>
  </conditionalFormatting>
  <conditionalFormatting sqref="A1:E17">
    <cfRule type="expression" dxfId="1126" priority="9126">
      <formula>$Z$6:$Z$20001="REMANEJADO"</formula>
    </cfRule>
  </conditionalFormatting>
  <conditionalFormatting sqref="A1:E17">
    <cfRule type="expression" dxfId="1125" priority="9128">
      <formula>$Z$6:$Z$20001="1ª CONVOCAÇÃO"</formula>
    </cfRule>
  </conditionalFormatting>
  <conditionalFormatting sqref="A1:E17">
    <cfRule type="expression" dxfId="1124" priority="9130">
      <formula>$Z$6:$Z$20001="2ª CONVOCAÇÃO"</formula>
    </cfRule>
  </conditionalFormatting>
  <conditionalFormatting sqref="A1:E17">
    <cfRule type="expression" dxfId="1123" priority="9132">
      <formula>$Z$6:$Z$20001="NÃO ATENDE/AGUARDANDO RETORNO"</formula>
    </cfRule>
  </conditionalFormatting>
  <conditionalFormatting sqref="A1:E17">
    <cfRule type="expression" dxfId="1122" priority="9134">
      <formula>$Z$6:$Z$20806="CONTRATADO"</formula>
    </cfRule>
  </conditionalFormatting>
  <conditionalFormatting sqref="A1:E17">
    <cfRule type="expression" dxfId="1121" priority="9136">
      <formula>$Z$6:$Z$20806="DESCLASSIFICADO"</formula>
    </cfRule>
  </conditionalFormatting>
  <conditionalFormatting sqref="A1:E17">
    <cfRule type="expression" dxfId="1120" priority="9138">
      <formula>$Z$6:$Z$20806="1ª CONVOCAÇÃO"</formula>
    </cfRule>
  </conditionalFormatting>
  <dataValidations count="1">
    <dataValidation type="list" allowBlank="1" showErrorMessage="1" sqref="E5:E17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E3"/>
    </sheetView>
  </sheetViews>
  <sheetFormatPr defaultColWidth="14.42578125" defaultRowHeight="15"/>
  <cols>
    <col min="2" max="2" width="36.5703125" style="48" bestFit="1" customWidth="1"/>
    <col min="3" max="3" width="12.7109375" customWidth="1"/>
    <col min="4" max="4" width="14.7109375" bestFit="1" customWidth="1"/>
    <col min="5" max="5" width="21.14062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4390</v>
      </c>
      <c r="C5" s="45" t="s">
        <v>64</v>
      </c>
      <c r="D5" s="45" t="s">
        <v>4398</v>
      </c>
      <c r="E5" s="21" t="s">
        <v>325</v>
      </c>
    </row>
    <row r="6" spans="1:5" ht="15.75" customHeight="1">
      <c r="A6" s="45">
        <v>2</v>
      </c>
      <c r="B6" s="51" t="s">
        <v>4399</v>
      </c>
      <c r="C6" s="45" t="s">
        <v>64</v>
      </c>
      <c r="D6" s="45" t="s">
        <v>4398</v>
      </c>
      <c r="E6" s="21" t="s">
        <v>325</v>
      </c>
    </row>
    <row r="7" spans="1:5" ht="15.75" customHeight="1">
      <c r="A7" s="45">
        <v>3</v>
      </c>
      <c r="B7" s="51" t="s">
        <v>4407</v>
      </c>
      <c r="C7" s="45" t="s">
        <v>64</v>
      </c>
      <c r="D7" s="45" t="s">
        <v>4398</v>
      </c>
      <c r="E7" s="21" t="s">
        <v>6687</v>
      </c>
    </row>
    <row r="8" spans="1:5" ht="15.75" customHeight="1">
      <c r="A8" s="45">
        <v>4</v>
      </c>
      <c r="B8" s="51" t="s">
        <v>4415</v>
      </c>
      <c r="C8" s="45" t="s">
        <v>64</v>
      </c>
      <c r="D8" s="45" t="s">
        <v>4398</v>
      </c>
      <c r="E8" s="21" t="s">
        <v>325</v>
      </c>
    </row>
  </sheetData>
  <mergeCells count="1">
    <mergeCell ref="A1:E3"/>
  </mergeCells>
  <conditionalFormatting sqref="E1:E8 A1:D4">
    <cfRule type="expression" dxfId="1119" priority="9348">
      <formula>$E$5:$E$20001="CONTRATADO"</formula>
    </cfRule>
  </conditionalFormatting>
  <conditionalFormatting sqref="E5:E8 A1:E4">
    <cfRule type="expression" dxfId="1118" priority="9351">
      <formula>$E$5:$E$20001="DESCLASSIFICADO"</formula>
    </cfRule>
  </conditionalFormatting>
  <conditionalFormatting sqref="E5:E8 A1:E4">
    <cfRule type="expression" dxfId="1117" priority="9354">
      <formula>$E$5:$E$20001="REMANEJADO"</formula>
    </cfRule>
  </conditionalFormatting>
  <conditionalFormatting sqref="E5:E8 A1:E4">
    <cfRule type="expression" dxfId="1116" priority="9357">
      <formula>$E$5:$E$20001="1ª CONVOCAÇÃO"</formula>
    </cfRule>
  </conditionalFormatting>
  <conditionalFormatting sqref="E5:E8 A1:E4">
    <cfRule type="expression" dxfId="1115" priority="9360">
      <formula>$E$5:$E$20001="2ª CONVOCAÇÃO"</formula>
    </cfRule>
  </conditionalFormatting>
  <conditionalFormatting sqref="E5:E8 A1:E4">
    <cfRule type="expression" dxfId="1114" priority="9363">
      <formula>$E$5:$E$20001="NÃO ATENDE/AGUARDANDO RETORNO"</formula>
    </cfRule>
  </conditionalFormatting>
  <conditionalFormatting sqref="E5:E8 A1:E4">
    <cfRule type="expression" dxfId="1113" priority="9366">
      <formula>$E$5:$E$20806="REMANEJADO"</formula>
    </cfRule>
  </conditionalFormatting>
  <conditionalFormatting sqref="E5:E8 A1:E4">
    <cfRule type="expression" dxfId="1112" priority="9369">
      <formula>$E$5:$E$20806="2ª CONVOCAÇÃO"</formula>
    </cfRule>
  </conditionalFormatting>
  <conditionalFormatting sqref="E5:E8 A1:E4">
    <cfRule type="expression" dxfId="1111" priority="9372">
      <formula>$E$5:$E$20806="NÃO ATENDE/AGUARDANDO RETORNO"</formula>
    </cfRule>
  </conditionalFormatting>
  <conditionalFormatting sqref="E5:E8 A1:E4">
    <cfRule type="expression" dxfId="1110" priority="9375">
      <formula>$E$6:$E$20806="CONTRATADO"</formula>
    </cfRule>
  </conditionalFormatting>
  <conditionalFormatting sqref="E5:E8 A1:E4">
    <cfRule type="expression" dxfId="1109" priority="9378">
      <formula>$Z$6:$Z$20806="REMANEJADO"</formula>
    </cfRule>
  </conditionalFormatting>
  <conditionalFormatting sqref="E5:E8 A1:E4">
    <cfRule type="expression" dxfId="1108" priority="9381">
      <formula>$Z$6:$Z$20001="DESCLASSIFICADO"</formula>
    </cfRule>
  </conditionalFormatting>
  <conditionalFormatting sqref="E5:E8 A1:E4">
    <cfRule type="expression" dxfId="1107" priority="9384">
      <formula>$Z$6:$Z$20001="REMANEJADO"</formula>
    </cfRule>
  </conditionalFormatting>
  <conditionalFormatting sqref="E5:E8 A1:E4">
    <cfRule type="expression" dxfId="1106" priority="9387">
      <formula>$Z$6:$Z$20001="1ª CONVOCAÇÃO"</formula>
    </cfRule>
  </conditionalFormatting>
  <conditionalFormatting sqref="E5:E8 A1:E4">
    <cfRule type="expression" dxfId="1105" priority="9390">
      <formula>$Z$6:$Z$20001="2ª CONVOCAÇÃO"</formula>
    </cfRule>
  </conditionalFormatting>
  <conditionalFormatting sqref="E5:E8 A1:E4">
    <cfRule type="expression" dxfId="1104" priority="9393">
      <formula>$Z$6:$Z$20001="NÃO ATENDE/AGUARDANDO RETORNO"</formula>
    </cfRule>
  </conditionalFormatting>
  <conditionalFormatting sqref="E5:E8 A1:E4">
    <cfRule type="expression" dxfId="1103" priority="9396">
      <formula>$Z$6:$Z$20806="CONTRATADO"</formula>
    </cfRule>
  </conditionalFormatting>
  <conditionalFormatting sqref="E5:E8 A1:E4">
    <cfRule type="expression" dxfId="1102" priority="9399">
      <formula>$Z$6:$Z$20806="DESCLASSIFICADO"</formula>
    </cfRule>
  </conditionalFormatting>
  <conditionalFormatting sqref="E5:E8 A1:E4">
    <cfRule type="expression" dxfId="1101" priority="9402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E3"/>
    </sheetView>
  </sheetViews>
  <sheetFormatPr defaultColWidth="14.42578125" defaultRowHeight="15"/>
  <cols>
    <col min="2" max="2" width="43.28515625" style="48" bestFit="1" customWidth="1"/>
    <col min="3" max="3" width="9.85546875" customWidth="1"/>
    <col min="4" max="4" width="18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4420</v>
      </c>
      <c r="C5" s="45" t="s">
        <v>64</v>
      </c>
      <c r="D5" s="45" t="s">
        <v>4428</v>
      </c>
      <c r="E5" s="21" t="s">
        <v>325</v>
      </c>
    </row>
    <row r="6" spans="1:5" ht="15.75" customHeight="1">
      <c r="A6" s="45">
        <v>2</v>
      </c>
      <c r="B6" s="51" t="s">
        <v>4429</v>
      </c>
      <c r="C6" s="45" t="s">
        <v>64</v>
      </c>
      <c r="D6" s="45" t="s">
        <v>4428</v>
      </c>
      <c r="E6" s="21" t="s">
        <v>325</v>
      </c>
    </row>
    <row r="7" spans="1:5" ht="15.75" customHeight="1">
      <c r="A7" s="45">
        <v>3</v>
      </c>
      <c r="B7" s="51" t="s">
        <v>4435</v>
      </c>
      <c r="C7" s="45" t="s">
        <v>64</v>
      </c>
      <c r="D7" s="45" t="s">
        <v>4428</v>
      </c>
      <c r="E7" s="21" t="s">
        <v>69</v>
      </c>
    </row>
    <row r="8" spans="1:5" ht="15.75" customHeight="1">
      <c r="A8" s="45">
        <v>4</v>
      </c>
      <c r="B8" s="51" t="s">
        <v>4442</v>
      </c>
      <c r="C8" s="45" t="s">
        <v>64</v>
      </c>
      <c r="D8" s="45" t="s">
        <v>4428</v>
      </c>
      <c r="E8" s="21" t="s">
        <v>69</v>
      </c>
    </row>
  </sheetData>
  <mergeCells count="1">
    <mergeCell ref="A1:E3"/>
  </mergeCells>
  <conditionalFormatting sqref="A1:D4 E1:E8">
    <cfRule type="expression" dxfId="1100" priority="9406">
      <formula>$E$5:$E$20001="CONTRATADO"</formula>
    </cfRule>
  </conditionalFormatting>
  <conditionalFormatting sqref="E5:E8 A1:E4">
    <cfRule type="expression" dxfId="1099" priority="9409">
      <formula>$E$5:$E$20001="DESCLASSIFICADO"</formula>
    </cfRule>
  </conditionalFormatting>
  <conditionalFormatting sqref="E5:E8 A1:E4">
    <cfRule type="expression" dxfId="1098" priority="9412">
      <formula>$E$5:$E$20001="REMANEJADO"</formula>
    </cfRule>
  </conditionalFormatting>
  <conditionalFormatting sqref="E5:E8 A1:E4">
    <cfRule type="expression" dxfId="1097" priority="9415">
      <formula>$E$5:$E$20001="1ª CONVOCAÇÃO"</formula>
    </cfRule>
  </conditionalFormatting>
  <conditionalFormatting sqref="E5:E8 A1:E4">
    <cfRule type="expression" dxfId="1096" priority="9418">
      <formula>$E$5:$E$20001="2ª CONVOCAÇÃO"</formula>
    </cfRule>
  </conditionalFormatting>
  <conditionalFormatting sqref="E5:E8 A1:E4">
    <cfRule type="expression" dxfId="1095" priority="9421">
      <formula>$E$5:$E$20001="NÃO ATENDE/AGUARDANDO RETORNO"</formula>
    </cfRule>
  </conditionalFormatting>
  <conditionalFormatting sqref="E5:E8 A1:E4">
    <cfRule type="expression" dxfId="1094" priority="9446">
      <formula>$E$5:$E$20806="REMANEJADO"</formula>
    </cfRule>
  </conditionalFormatting>
  <conditionalFormatting sqref="E5:E8 A1:E4">
    <cfRule type="expression" dxfId="1093" priority="9452">
      <formula>$E$5:$E$20806="2ª CONVOCAÇÃO"</formula>
    </cfRule>
  </conditionalFormatting>
  <conditionalFormatting sqref="E5:E8 A1:E4">
    <cfRule type="expression" dxfId="1092" priority="9455">
      <formula>$E$5:$E$20806="NÃO ATENDE/AGUARDANDO RETORNO"</formula>
    </cfRule>
  </conditionalFormatting>
  <conditionalFormatting sqref="E5:E8 A1:E4">
    <cfRule type="expression" dxfId="1091" priority="9458">
      <formula>$E$6:$E$20806="CONTRATADO"</formula>
    </cfRule>
  </conditionalFormatting>
  <conditionalFormatting sqref="E5:E8 A1:E4">
    <cfRule type="expression" dxfId="1090" priority="9627">
      <formula>$Z$6:$Z$20806="REMANEJADO"</formula>
    </cfRule>
  </conditionalFormatting>
  <conditionalFormatting sqref="E5:E8 A1:E4">
    <cfRule type="expression" dxfId="1089" priority="9631">
      <formula>$Z$6:$Z$20001="DESCLASSIFICADO"</formula>
    </cfRule>
  </conditionalFormatting>
  <conditionalFormatting sqref="E5:E8 A1:E4">
    <cfRule type="expression" dxfId="1088" priority="9635">
      <formula>$Z$6:$Z$20001="REMANEJADO"</formula>
    </cfRule>
  </conditionalFormatting>
  <conditionalFormatting sqref="E5:E8 A1:E4">
    <cfRule type="expression" dxfId="1087" priority="9639">
      <formula>$Z$6:$Z$20001="1ª CONVOCAÇÃO"</formula>
    </cfRule>
  </conditionalFormatting>
  <conditionalFormatting sqref="E5:E8 A1:E4">
    <cfRule type="expression" dxfId="1086" priority="9643">
      <formula>$Z$6:$Z$20001="2ª CONVOCAÇÃO"</formula>
    </cfRule>
  </conditionalFormatting>
  <conditionalFormatting sqref="E5:E8 A1:E4">
    <cfRule type="expression" dxfId="1085" priority="9647">
      <formula>$Z$6:$Z$20001="NÃO ATENDE/AGUARDANDO RETORNO"</formula>
    </cfRule>
  </conditionalFormatting>
  <conditionalFormatting sqref="E5:E8 A1:E4">
    <cfRule type="expression" dxfId="1084" priority="9651">
      <formula>$Z$6:$Z$20806="CONTRATADO"</formula>
    </cfRule>
  </conditionalFormatting>
  <conditionalFormatting sqref="E5:E8 A1:E4">
    <cfRule type="expression" dxfId="1083" priority="9655">
      <formula>$Z$6:$Z$20806="DESCLASSIFICADO"</formula>
    </cfRule>
  </conditionalFormatting>
  <conditionalFormatting sqref="E5:E8 A1:E4">
    <cfRule type="expression" dxfId="1082" priority="9659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8.42578125" style="48" bestFit="1" customWidth="1"/>
    <col min="3" max="3" width="16.28515625" bestFit="1" customWidth="1"/>
    <col min="4" max="4" width="12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4448</v>
      </c>
      <c r="C5" s="45" t="s">
        <v>80</v>
      </c>
      <c r="D5" s="45" t="s">
        <v>4456</v>
      </c>
      <c r="E5" s="21" t="s">
        <v>325</v>
      </c>
    </row>
  </sheetData>
  <mergeCells count="1">
    <mergeCell ref="A1:E3"/>
  </mergeCells>
  <conditionalFormatting sqref="A1:D4 E1:E5">
    <cfRule type="expression" dxfId="1081" priority="9663">
      <formula>$E$5:$E$20001="CONTRATADO"</formula>
    </cfRule>
  </conditionalFormatting>
  <conditionalFormatting sqref="E5 A1:E4">
    <cfRule type="expression" dxfId="1080" priority="9666">
      <formula>$E$5:$E$20001="DESCLASSIFICADO"</formula>
    </cfRule>
  </conditionalFormatting>
  <conditionalFormatting sqref="E5 A1:E4">
    <cfRule type="expression" dxfId="1079" priority="9669">
      <formula>$E$5:$E$20001="REMANEJADO"</formula>
    </cfRule>
  </conditionalFormatting>
  <conditionalFormatting sqref="E5 A1:E4">
    <cfRule type="expression" dxfId="1078" priority="9672">
      <formula>$E$5:$E$20001="1ª CONVOCAÇÃO"</formula>
    </cfRule>
  </conditionalFormatting>
  <conditionalFormatting sqref="E5 A1:E4">
    <cfRule type="expression" dxfId="1077" priority="9675">
      <formula>$E$5:$E$20001="2ª CONVOCAÇÃO"</formula>
    </cfRule>
  </conditionalFormatting>
  <conditionalFormatting sqref="E5 A1:E4">
    <cfRule type="expression" dxfId="1076" priority="9678">
      <formula>$E$5:$E$20001="NÃO ATENDE/AGUARDANDO RETORNO"</formula>
    </cfRule>
  </conditionalFormatting>
  <conditionalFormatting sqref="E5 A1:E4">
    <cfRule type="expression" dxfId="1075" priority="9703">
      <formula>$E$5:$E$20806="REMANEJADO"</formula>
    </cfRule>
  </conditionalFormatting>
  <conditionalFormatting sqref="E5 A1:E4">
    <cfRule type="expression" dxfId="1074" priority="9709">
      <formula>$E$5:$E$20806="2ª CONVOCAÇÃO"</formula>
    </cfRule>
  </conditionalFormatting>
  <conditionalFormatting sqref="E5 A1:E4">
    <cfRule type="expression" dxfId="1073" priority="9712">
      <formula>$E$5:$E$20806="NÃO ATENDE/AGUARDANDO RETORNO"</formula>
    </cfRule>
  </conditionalFormatting>
  <conditionalFormatting sqref="E5 A1:E4">
    <cfRule type="expression" dxfId="1072" priority="9715">
      <formula>$E$6:$E$20806="CONTRATADO"</formula>
    </cfRule>
  </conditionalFormatting>
  <conditionalFormatting sqref="E5 A1:E4">
    <cfRule type="expression" dxfId="1071" priority="9884">
      <formula>$Z$6:$Z$20806="REMANEJADO"</formula>
    </cfRule>
  </conditionalFormatting>
  <conditionalFormatting sqref="E5 A1:E4">
    <cfRule type="expression" dxfId="1070" priority="9888">
      <formula>$Z$6:$Z$20001="DESCLASSIFICADO"</formula>
    </cfRule>
  </conditionalFormatting>
  <conditionalFormatting sqref="E5 A1:E4">
    <cfRule type="expression" dxfId="1069" priority="9892">
      <formula>$Z$6:$Z$20001="REMANEJADO"</formula>
    </cfRule>
  </conditionalFormatting>
  <conditionalFormatting sqref="E5 A1:E4">
    <cfRule type="expression" dxfId="1068" priority="9896">
      <formula>$Z$6:$Z$20001="1ª CONVOCAÇÃO"</formula>
    </cfRule>
  </conditionalFormatting>
  <conditionalFormatting sqref="E5 A1:E4">
    <cfRule type="expression" dxfId="1067" priority="9900">
      <formula>$Z$6:$Z$20001="2ª CONVOCAÇÃO"</formula>
    </cfRule>
  </conditionalFormatting>
  <conditionalFormatting sqref="E5 A1:E4">
    <cfRule type="expression" dxfId="1066" priority="9904">
      <formula>$Z$6:$Z$20001="NÃO ATENDE/AGUARDANDO RETORNO"</formula>
    </cfRule>
  </conditionalFormatting>
  <conditionalFormatting sqref="E5 A1:E4">
    <cfRule type="expression" dxfId="1065" priority="9908">
      <formula>$Z$6:$Z$20806="CONTRATADO"</formula>
    </cfRule>
  </conditionalFormatting>
  <conditionalFormatting sqref="E5 A1:E4">
    <cfRule type="expression" dxfId="1064" priority="9912">
      <formula>$Z$6:$Z$20806="DESCLASSIFICADO"</formula>
    </cfRule>
  </conditionalFormatting>
  <conditionalFormatting sqref="E5 A1:E4">
    <cfRule type="expression" dxfId="1063" priority="9916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Normal="100" workbookViewId="0"/>
  </sheetViews>
  <sheetFormatPr defaultColWidth="14.42578125" defaultRowHeight="15"/>
  <cols>
    <col min="2" max="2" width="33.5703125" customWidth="1"/>
    <col min="3" max="4" width="14.42578125" hidden="1"/>
    <col min="5" max="5" width="31.42578125" hidden="1" customWidth="1"/>
    <col min="6" max="6" width="14.42578125" hidden="1"/>
    <col min="7" max="7" width="14.5703125" hidden="1" customWidth="1"/>
    <col min="8" max="8" width="14.42578125" hidden="1"/>
    <col min="9" max="9" width="17.28515625" customWidth="1"/>
    <col min="10" max="11" width="14.42578125" hidden="1"/>
    <col min="12" max="12" width="18.140625" customWidth="1"/>
    <col min="13" max="13" width="14.42578125" hidden="1"/>
    <col min="14" max="14" width="38.85546875" customWidth="1"/>
    <col min="15" max="18" width="33.5703125" hidden="1" customWidth="1"/>
  </cols>
  <sheetData>
    <row r="1" spans="1:18" ht="1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"/>
      <c r="O1" s="14"/>
      <c r="P1" s="14"/>
      <c r="Q1" s="14"/>
      <c r="R1" s="14"/>
    </row>
    <row r="2" spans="1:18" ht="15" customHeight="1">
      <c r="A2" s="2" t="s">
        <v>6688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"/>
      <c r="O2" s="14"/>
      <c r="P2" s="14"/>
      <c r="Q2" s="14"/>
      <c r="R2" s="14"/>
    </row>
    <row r="3" spans="1:18" ht="15" customHeight="1">
      <c r="A3" s="1" t="s">
        <v>6689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"/>
      <c r="O3" s="14"/>
      <c r="P3" s="14"/>
      <c r="Q3" s="14"/>
      <c r="R3" s="14"/>
    </row>
    <row r="4" spans="1:18" ht="32.25" customHeigh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24</v>
      </c>
      <c r="F4" s="18" t="s">
        <v>25</v>
      </c>
      <c r="G4" s="18" t="s">
        <v>26</v>
      </c>
      <c r="H4" s="18" t="s">
        <v>30</v>
      </c>
      <c r="I4" s="18" t="s">
        <v>31</v>
      </c>
      <c r="J4" s="18" t="s">
        <v>35</v>
      </c>
      <c r="K4" s="18" t="s">
        <v>36</v>
      </c>
      <c r="L4" s="18" t="s">
        <v>41</v>
      </c>
      <c r="M4" s="18" t="s">
        <v>45</v>
      </c>
      <c r="N4" s="19" t="s">
        <v>0</v>
      </c>
      <c r="O4" s="43" t="s">
        <v>5</v>
      </c>
      <c r="P4" s="43" t="s">
        <v>6</v>
      </c>
      <c r="Q4" s="43" t="s">
        <v>7</v>
      </c>
      <c r="R4" s="43" t="s">
        <v>8</v>
      </c>
    </row>
    <row r="5" spans="1:18" ht="15.75" customHeight="1">
      <c r="A5" s="28">
        <v>1</v>
      </c>
      <c r="B5" s="29" t="s">
        <v>108</v>
      </c>
      <c r="C5" s="30" t="s">
        <v>109</v>
      </c>
      <c r="D5" s="31" t="s">
        <v>110</v>
      </c>
      <c r="E5" s="30" t="s">
        <v>116</v>
      </c>
      <c r="F5" s="28"/>
      <c r="G5" s="30" t="s">
        <v>117</v>
      </c>
      <c r="H5" s="30" t="s">
        <v>63</v>
      </c>
      <c r="I5" s="30" t="s">
        <v>64</v>
      </c>
      <c r="J5" s="28" t="s">
        <v>66</v>
      </c>
      <c r="K5" s="28" t="s">
        <v>67</v>
      </c>
      <c r="L5" s="30" t="s">
        <v>121</v>
      </c>
      <c r="M5" s="28">
        <v>6</v>
      </c>
      <c r="N5" s="21" t="s">
        <v>69</v>
      </c>
      <c r="O5" s="21"/>
      <c r="P5" s="21"/>
      <c r="Q5" s="21"/>
      <c r="R5" s="21"/>
    </row>
    <row r="6" spans="1:18" ht="15.75" customHeight="1">
      <c r="A6" s="28">
        <v>1</v>
      </c>
      <c r="B6" s="29" t="s">
        <v>1580</v>
      </c>
      <c r="C6" s="30" t="s">
        <v>1581</v>
      </c>
      <c r="D6" s="31" t="s">
        <v>1582</v>
      </c>
      <c r="E6" s="30" t="s">
        <v>1586</v>
      </c>
      <c r="F6" s="28" t="s">
        <v>1587</v>
      </c>
      <c r="G6" s="30" t="s">
        <v>1588</v>
      </c>
      <c r="H6" s="30" t="s">
        <v>63</v>
      </c>
      <c r="I6" s="30" t="s">
        <v>80</v>
      </c>
      <c r="J6" s="28" t="s">
        <v>134</v>
      </c>
      <c r="K6" s="28" t="s">
        <v>67</v>
      </c>
      <c r="L6" s="30" t="s">
        <v>1579</v>
      </c>
      <c r="M6" s="28">
        <v>3</v>
      </c>
      <c r="N6" s="44" t="s">
        <v>69</v>
      </c>
      <c r="O6" s="21"/>
      <c r="P6" s="21"/>
      <c r="Q6" s="21"/>
      <c r="R6" s="21"/>
    </row>
    <row r="7" spans="1:18" ht="15.75" customHeight="1">
      <c r="A7" s="28">
        <v>1</v>
      </c>
      <c r="B7" s="29" t="s">
        <v>2225</v>
      </c>
      <c r="C7" s="30" t="s">
        <v>2226</v>
      </c>
      <c r="D7" s="31" t="s">
        <v>2227</v>
      </c>
      <c r="E7" s="30" t="s">
        <v>2230</v>
      </c>
      <c r="F7" s="28" t="s">
        <v>2231</v>
      </c>
      <c r="G7" s="30" t="s">
        <v>2232</v>
      </c>
      <c r="H7" s="30" t="s">
        <v>63</v>
      </c>
      <c r="I7" s="30" t="s">
        <v>64</v>
      </c>
      <c r="J7" s="28" t="s">
        <v>134</v>
      </c>
      <c r="K7" s="28" t="s">
        <v>67</v>
      </c>
      <c r="L7" s="30" t="s">
        <v>1579</v>
      </c>
      <c r="M7" s="28">
        <v>5</v>
      </c>
      <c r="N7" s="44" t="s">
        <v>5198</v>
      </c>
      <c r="O7" s="21"/>
      <c r="P7" s="21"/>
      <c r="Q7" s="21"/>
      <c r="R7" s="21"/>
    </row>
    <row r="8" spans="1:18" ht="15.75" customHeight="1">
      <c r="A8" s="28">
        <v>2</v>
      </c>
      <c r="B8" s="29" t="s">
        <v>2541</v>
      </c>
      <c r="C8" s="30" t="s">
        <v>2542</v>
      </c>
      <c r="D8" s="31" t="s">
        <v>2543</v>
      </c>
      <c r="E8" s="30" t="s">
        <v>2547</v>
      </c>
      <c r="F8" s="28"/>
      <c r="G8" s="30" t="s">
        <v>2548</v>
      </c>
      <c r="H8" s="30" t="s">
        <v>63</v>
      </c>
      <c r="I8" s="30" t="s">
        <v>64</v>
      </c>
      <c r="J8" s="28" t="s">
        <v>134</v>
      </c>
      <c r="K8" s="28" t="s">
        <v>67</v>
      </c>
      <c r="L8" s="30" t="s">
        <v>1579</v>
      </c>
      <c r="M8" s="28">
        <v>7</v>
      </c>
      <c r="N8" s="44" t="s">
        <v>69</v>
      </c>
      <c r="O8" s="21"/>
      <c r="P8" s="21"/>
      <c r="Q8" s="21"/>
      <c r="R8" s="21"/>
    </row>
    <row r="9" spans="1:18" ht="15.75" customHeight="1">
      <c r="A9" s="28">
        <v>1</v>
      </c>
      <c r="B9" s="29" t="s">
        <v>3321</v>
      </c>
      <c r="C9" s="30" t="s">
        <v>3322</v>
      </c>
      <c r="D9" s="31" t="s">
        <v>3323</v>
      </c>
      <c r="E9" s="30" t="s">
        <v>3327</v>
      </c>
      <c r="F9" s="28" t="s">
        <v>3328</v>
      </c>
      <c r="G9" s="30" t="s">
        <v>3329</v>
      </c>
      <c r="H9" s="30" t="s">
        <v>63</v>
      </c>
      <c r="I9" s="30" t="s">
        <v>3302</v>
      </c>
      <c r="J9" s="28" t="s">
        <v>66</v>
      </c>
      <c r="K9" s="28" t="s">
        <v>67</v>
      </c>
      <c r="L9" s="30" t="s">
        <v>1579</v>
      </c>
      <c r="M9" s="28">
        <v>9</v>
      </c>
      <c r="N9" s="44" t="s">
        <v>6686</v>
      </c>
      <c r="O9" s="21"/>
      <c r="P9" s="21"/>
      <c r="Q9" s="21"/>
      <c r="R9" s="21"/>
    </row>
    <row r="10" spans="1:18" ht="15.75" customHeight="1">
      <c r="A10" s="28">
        <v>1</v>
      </c>
      <c r="B10" s="29" t="s">
        <v>3417</v>
      </c>
      <c r="C10" s="30" t="s">
        <v>3418</v>
      </c>
      <c r="D10" s="31" t="s">
        <v>3419</v>
      </c>
      <c r="E10" s="30" t="s">
        <v>3422</v>
      </c>
      <c r="F10" s="28"/>
      <c r="G10" s="30" t="s">
        <v>3423</v>
      </c>
      <c r="H10" s="30" t="s">
        <v>63</v>
      </c>
      <c r="I10" s="30" t="s">
        <v>3409</v>
      </c>
      <c r="J10" s="28" t="s">
        <v>66</v>
      </c>
      <c r="K10" s="28" t="s">
        <v>67</v>
      </c>
      <c r="L10" s="30" t="s">
        <v>1579</v>
      </c>
      <c r="M10" s="28">
        <v>3</v>
      </c>
      <c r="N10" s="44" t="s">
        <v>69</v>
      </c>
      <c r="O10" s="21"/>
      <c r="P10" s="21"/>
      <c r="Q10" s="21"/>
      <c r="R10" s="21"/>
    </row>
    <row r="11" spans="1:18" ht="15.75" customHeight="1">
      <c r="A11" s="28">
        <v>2</v>
      </c>
      <c r="B11" s="29" t="s">
        <v>3619</v>
      </c>
      <c r="C11" s="30"/>
      <c r="D11" s="31" t="s">
        <v>3620</v>
      </c>
      <c r="E11" s="30" t="s">
        <v>3623</v>
      </c>
      <c r="F11" s="28" t="s">
        <v>3624</v>
      </c>
      <c r="G11" s="30" t="s">
        <v>3625</v>
      </c>
      <c r="H11" s="30" t="s">
        <v>63</v>
      </c>
      <c r="I11" s="30" t="s">
        <v>3409</v>
      </c>
      <c r="J11" s="28" t="s">
        <v>66</v>
      </c>
      <c r="K11" s="28" t="s">
        <v>67</v>
      </c>
      <c r="L11" s="30" t="s">
        <v>1579</v>
      </c>
      <c r="M11" s="28">
        <v>3</v>
      </c>
      <c r="N11" s="44" t="s">
        <v>69</v>
      </c>
      <c r="O11" s="21"/>
      <c r="P11" s="21"/>
      <c r="Q11" s="21"/>
      <c r="R11" s="21"/>
    </row>
    <row r="12" spans="1:18" ht="15.75" customHeight="1">
      <c r="A12" s="28">
        <v>1</v>
      </c>
      <c r="B12" s="29" t="s">
        <v>6466</v>
      </c>
      <c r="C12" s="30" t="s">
        <v>6467</v>
      </c>
      <c r="D12" s="31" t="s">
        <v>6468</v>
      </c>
      <c r="E12" s="30" t="s">
        <v>6472</v>
      </c>
      <c r="F12" s="28"/>
      <c r="G12" s="30" t="s">
        <v>6473</v>
      </c>
      <c r="H12" s="30" t="s">
        <v>63</v>
      </c>
      <c r="I12" s="30" t="s">
        <v>64</v>
      </c>
      <c r="J12" s="28" t="s">
        <v>66</v>
      </c>
      <c r="K12" s="28" t="s">
        <v>67</v>
      </c>
      <c r="L12" s="30" t="s">
        <v>6449</v>
      </c>
      <c r="M12" s="28">
        <v>9</v>
      </c>
      <c r="N12" s="44" t="s">
        <v>6687</v>
      </c>
      <c r="O12" s="21"/>
      <c r="P12" s="21"/>
      <c r="Q12" s="21"/>
      <c r="R12" s="21"/>
    </row>
  </sheetData>
  <mergeCells count="3">
    <mergeCell ref="A1:M1"/>
    <mergeCell ref="A2:M2"/>
    <mergeCell ref="A3:M3"/>
  </mergeCells>
  <conditionalFormatting sqref="A5:R12">
    <cfRule type="expression" dxfId="1759" priority="2">
      <formula>$AM$6:$AM$20806="REMANEJADO"</formula>
    </cfRule>
  </conditionalFormatting>
  <conditionalFormatting sqref="A5:R12">
    <cfRule type="expression" dxfId="1758" priority="3">
      <formula>$N$5:$N$20001="CONTRATADO"</formula>
    </cfRule>
  </conditionalFormatting>
  <conditionalFormatting sqref="A5:R12">
    <cfRule type="expression" dxfId="1757" priority="4">
      <formula>$N$5:$N$20001="DESCLASSIFICADO"</formula>
    </cfRule>
  </conditionalFormatting>
  <conditionalFormatting sqref="A5:R12">
    <cfRule type="expression" dxfId="1756" priority="5">
      <formula>$N$5:$N$20001="REMANEJADO"</formula>
    </cfRule>
  </conditionalFormatting>
  <conditionalFormatting sqref="A5:R12">
    <cfRule type="expression" dxfId="1755" priority="6">
      <formula>$N$5:$N$20001="1ª CONVOCAÇÃO"</formula>
    </cfRule>
  </conditionalFormatting>
  <conditionalFormatting sqref="A5:R12">
    <cfRule type="expression" dxfId="1754" priority="7">
      <formula>$N$5:$N$20001="2ª CONVOCAÇÃO"</formula>
    </cfRule>
  </conditionalFormatting>
  <conditionalFormatting sqref="A5:R12">
    <cfRule type="expression" dxfId="1753" priority="8">
      <formula>$N$5:$N$20001="NÃO ATENDE/AGUARDANDO RETORNO"</formula>
    </cfRule>
  </conditionalFormatting>
  <conditionalFormatting sqref="A5:R12">
    <cfRule type="expression" dxfId="1752" priority="9">
      <formula>$N$5:$N$20001="CONTRATADO"</formula>
    </cfRule>
  </conditionalFormatting>
  <conditionalFormatting sqref="A5:R12">
    <cfRule type="expression" dxfId="1751" priority="10">
      <formula>$AM$6:$AM$20001="DESCLASSIFICADO"</formula>
    </cfRule>
  </conditionalFormatting>
  <conditionalFormatting sqref="A5:R12">
    <cfRule type="expression" dxfId="1750" priority="11">
      <formula>$AM$6:$AM$20001="REMANEJADO"</formula>
    </cfRule>
  </conditionalFormatting>
  <conditionalFormatting sqref="A5:R12">
    <cfRule type="expression" dxfId="1749" priority="12">
      <formula>$AM$6:$AM$20001="1ª CONVOCAÇÃO"</formula>
    </cfRule>
  </conditionalFormatting>
  <conditionalFormatting sqref="A5:R12">
    <cfRule type="expression" dxfId="1748" priority="13">
      <formula>$AM$6:$AM$20001="2ª CONVOCAÇÃO"</formula>
    </cfRule>
  </conditionalFormatting>
  <conditionalFormatting sqref="A5:R12">
    <cfRule type="expression" dxfId="1747" priority="14">
      <formula>$AM$6:$AM$20001="NÃO ATENDE/AGUARDANDO RETORNO"</formula>
    </cfRule>
  </conditionalFormatting>
  <conditionalFormatting sqref="A5:R12">
    <cfRule type="expression" dxfId="1746" priority="15">
      <formula>$AM$6:$AM$20806="CONTRATADO"</formula>
    </cfRule>
  </conditionalFormatting>
  <conditionalFormatting sqref="A5:R12">
    <cfRule type="expression" dxfId="1745" priority="16">
      <formula>$AM$6:$AM$20806="DESCLASSIFICADO"</formula>
    </cfRule>
  </conditionalFormatting>
  <conditionalFormatting sqref="A5:R12">
    <cfRule type="expression" dxfId="1744" priority="17">
      <formula>$N$5:$N$20806="REMANEJADO"</formula>
    </cfRule>
  </conditionalFormatting>
  <conditionalFormatting sqref="A5:R12">
    <cfRule type="expression" dxfId="1743" priority="18">
      <formula>$AM$6:$AM$20806="1ª CONVOCAÇÃO"</formula>
    </cfRule>
  </conditionalFormatting>
  <conditionalFormatting sqref="A5:R12">
    <cfRule type="expression" dxfId="1742" priority="19">
      <formula>$N$5:$N$20806="2ª CONVOCAÇÃO"</formula>
    </cfRule>
  </conditionalFormatting>
  <conditionalFormatting sqref="A5:R12">
    <cfRule type="expression" dxfId="1741" priority="20">
      <formula>$N$5:$N$20806="NÃO ATENDE/AGUARDANDO RETORNO"</formula>
    </cfRule>
  </conditionalFormatting>
  <conditionalFormatting sqref="A5:R12">
    <cfRule type="expression" dxfId="1740" priority="21">
      <formula>$N$6:$N$20806="CONTRATADO"</formula>
    </cfRule>
  </conditionalFormatting>
  <conditionalFormatting sqref="O5:R5">
    <cfRule type="expression" dxfId="1739" priority="22">
      <formula>#REF!="NÃO ATENDE/AGUARDANDO RETORNO"</formula>
    </cfRule>
  </conditionalFormatting>
  <conditionalFormatting sqref="A1:R12">
    <cfRule type="expression" dxfId="1738" priority="23">
      <formula>$AM$6:$AM$19973="REMANEJADO"</formula>
    </cfRule>
  </conditionalFormatting>
  <conditionalFormatting sqref="A1:R12">
    <cfRule type="expression" dxfId="1737" priority="24">
      <formula>$N$5:$N$19168="CONTRATADO"</formula>
    </cfRule>
  </conditionalFormatting>
  <conditionalFormatting sqref="A1:R12">
    <cfRule type="expression" dxfId="1736" priority="25">
      <formula>$N$5:$N$19168="DESCLASSIFICADO"</formula>
    </cfRule>
  </conditionalFormatting>
  <conditionalFormatting sqref="A1:R12">
    <cfRule type="expression" dxfId="1735" priority="26">
      <formula>$N$5:$N$19168="REMANEJADO"</formula>
    </cfRule>
  </conditionalFormatting>
  <conditionalFormatting sqref="A1:R12">
    <cfRule type="expression" dxfId="1734" priority="27">
      <formula>$N$5:$N$19168="1ª CONVOCAÇÃO"</formula>
    </cfRule>
  </conditionalFormatting>
  <conditionalFormatting sqref="A1:R12">
    <cfRule type="expression" dxfId="1733" priority="28">
      <formula>$N$5:$N$19168="2ª CONVOCAÇÃO"</formula>
    </cfRule>
  </conditionalFormatting>
  <conditionalFormatting sqref="A1:R12">
    <cfRule type="expression" dxfId="1732" priority="29">
      <formula>$N$5:$N$19168="NÃO ATENDE/AGUARDANDO RETORNO"</formula>
    </cfRule>
  </conditionalFormatting>
  <conditionalFormatting sqref="N1:N12">
    <cfRule type="expression" dxfId="1731" priority="30">
      <formula>$N$5:$N$19168="CONTRATADO"</formula>
    </cfRule>
  </conditionalFormatting>
  <conditionalFormatting sqref="A1:R12">
    <cfRule type="expression" dxfId="1730" priority="31">
      <formula>$AM$6:$AM$19168="DESCLASSIFICADO"</formula>
    </cfRule>
  </conditionalFormatting>
  <conditionalFormatting sqref="A1:R12">
    <cfRule type="expression" dxfId="1729" priority="32">
      <formula>$AM$6:$AM$19168="REMANEJADO"</formula>
    </cfRule>
  </conditionalFormatting>
  <conditionalFormatting sqref="A1:R12">
    <cfRule type="expression" dxfId="1728" priority="33">
      <formula>$AM$6:$AM$19168="1ª CONVOCAÇÃO"</formula>
    </cfRule>
  </conditionalFormatting>
  <conditionalFormatting sqref="A1:R12">
    <cfRule type="expression" dxfId="1727" priority="34">
      <formula>$AM$6:$AM$19168="2ª CONVOCAÇÃO"</formula>
    </cfRule>
  </conditionalFormatting>
  <conditionalFormatting sqref="A1:R12">
    <cfRule type="expression" dxfId="1726" priority="35">
      <formula>$AM$6:$AM$19168="NÃO ATENDE/AGUARDANDO RETORNO"</formula>
    </cfRule>
  </conditionalFormatting>
  <conditionalFormatting sqref="A1:R12">
    <cfRule type="expression" dxfId="1725" priority="36">
      <formula>$AM$6:$AM$19973="CONTRATADO"</formula>
    </cfRule>
  </conditionalFormatting>
  <conditionalFormatting sqref="A1:R12">
    <cfRule type="expression" dxfId="1724" priority="37">
      <formula>$AM$6:$AM$19973="DESCLASSIFICADO"</formula>
    </cfRule>
  </conditionalFormatting>
  <conditionalFormatting sqref="A1:R12">
    <cfRule type="expression" dxfId="1723" priority="38">
      <formula>$N$5:$N$19973="REMANEJADO"</formula>
    </cfRule>
  </conditionalFormatting>
  <conditionalFormatting sqref="A1:R12">
    <cfRule type="expression" dxfId="1722" priority="39">
      <formula>$AM$6:$AM$19973="1ª CONVOCAÇÃO"</formula>
    </cfRule>
  </conditionalFormatting>
  <conditionalFormatting sqref="A1:R12">
    <cfRule type="expression" dxfId="1721" priority="40">
      <formula>$N$5:$N$19973="2ª CONVOCAÇÃO"</formula>
    </cfRule>
  </conditionalFormatting>
  <conditionalFormatting sqref="A1:R12">
    <cfRule type="expression" dxfId="1720" priority="41">
      <formula>$N$5:$N$19973="NÃO ATENDE/AGUARDANDO RETORNO"</formula>
    </cfRule>
  </conditionalFormatting>
  <conditionalFormatting sqref="A1:R12">
    <cfRule type="expression" dxfId="1719" priority="42">
      <formula>$N$6:$N$19973="CONTRATADO"</formula>
    </cfRule>
  </conditionalFormatting>
  <dataValidations count="1">
    <dataValidation type="list" allowBlank="1" showErrorMessage="1" sqref="N5:N12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8"/>
  <sheetViews>
    <sheetView topLeftCell="A4" zoomScaleNormal="100" workbookViewId="0">
      <selection activeCell="B38" sqref="B38:B40"/>
    </sheetView>
  </sheetViews>
  <sheetFormatPr defaultColWidth="14.42578125" defaultRowHeight="15"/>
  <cols>
    <col min="1" max="1" width="13.5703125" customWidth="1"/>
    <col min="2" max="2" width="41.42578125" style="48" bestFit="1" customWidth="1"/>
    <col min="3" max="3" width="16.28515625" bestFit="1" customWidth="1"/>
    <col min="4" max="4" width="14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47" t="s">
        <v>6691</v>
      </c>
    </row>
    <row r="5" spans="1:5" ht="15.75" customHeight="1">
      <c r="A5" s="45">
        <v>1</v>
      </c>
      <c r="B5" s="51" t="s">
        <v>4457</v>
      </c>
      <c r="C5" s="45" t="s">
        <v>80</v>
      </c>
      <c r="D5" s="45" t="s">
        <v>4464</v>
      </c>
      <c r="E5" s="45" t="s">
        <v>325</v>
      </c>
    </row>
    <row r="6" spans="1:5" ht="15.75" customHeight="1">
      <c r="A6" s="45">
        <v>1</v>
      </c>
      <c r="B6" s="51" t="s">
        <v>4465</v>
      </c>
      <c r="C6" s="45" t="s">
        <v>64</v>
      </c>
      <c r="D6" s="45" t="s">
        <v>4464</v>
      </c>
      <c r="E6" s="45" t="s">
        <v>325</v>
      </c>
    </row>
    <row r="7" spans="1:5" ht="15.75" customHeight="1">
      <c r="A7" s="45">
        <v>2</v>
      </c>
      <c r="B7" s="51" t="s">
        <v>4475</v>
      </c>
      <c r="C7" s="45" t="s">
        <v>64</v>
      </c>
      <c r="D7" s="45" t="s">
        <v>4464</v>
      </c>
      <c r="E7" s="45" t="s">
        <v>325</v>
      </c>
    </row>
    <row r="8" spans="1:5" ht="15.75" customHeight="1">
      <c r="A8" s="45">
        <v>3</v>
      </c>
      <c r="B8" s="51" t="s">
        <v>4483</v>
      </c>
      <c r="C8" s="45" t="s">
        <v>64</v>
      </c>
      <c r="D8" s="45" t="s">
        <v>4464</v>
      </c>
      <c r="E8" s="45" t="s">
        <v>325</v>
      </c>
    </row>
  </sheetData>
  <mergeCells count="1">
    <mergeCell ref="A1:E3"/>
  </mergeCells>
  <conditionalFormatting sqref="A1:E4">
    <cfRule type="expression" dxfId="1062" priority="3">
      <formula>$E$5:$E$20001="CONTRATADO"</formula>
    </cfRule>
  </conditionalFormatting>
  <conditionalFormatting sqref="A1:E4">
    <cfRule type="expression" dxfId="1061" priority="4">
      <formula>$E$5:$E$20001="DESCLASSIFICADO"</formula>
    </cfRule>
  </conditionalFormatting>
  <conditionalFormatting sqref="A1:E4">
    <cfRule type="expression" dxfId="1060" priority="5">
      <formula>$E$5:$E$20001="REMANEJADO"</formula>
    </cfRule>
  </conditionalFormatting>
  <conditionalFormatting sqref="A1:E4">
    <cfRule type="expression" dxfId="1059" priority="6">
      <formula>$E$5:$E$20001="1ª CONVOCAÇÃO"</formula>
    </cfRule>
  </conditionalFormatting>
  <conditionalFormatting sqref="A1:E4">
    <cfRule type="expression" dxfId="1058" priority="7">
      <formula>$E$5:$E$20001="2ª CONVOCAÇÃO"</formula>
    </cfRule>
  </conditionalFormatting>
  <conditionalFormatting sqref="A1:E4">
    <cfRule type="expression" dxfId="1057" priority="8">
      <formula>$E$5:$E$20001="NÃO ATENDE/AGUARDANDO RETORNO"</formula>
    </cfRule>
  </conditionalFormatting>
  <conditionalFormatting sqref="A1:E4">
    <cfRule type="expression" dxfId="1056" priority="17">
      <formula>$E$5:$E$20806="REMANEJADO"</formula>
    </cfRule>
  </conditionalFormatting>
  <conditionalFormatting sqref="A1:E4">
    <cfRule type="expression" dxfId="1055" priority="19">
      <formula>$E$5:$E$20806="2ª CONVOCAÇÃO"</formula>
    </cfRule>
  </conditionalFormatting>
  <conditionalFormatting sqref="A1:E4">
    <cfRule type="expression" dxfId="1054" priority="20">
      <formula>$E$5:$E$20806="NÃO ATENDE/AGUARDANDO RETORNO"</formula>
    </cfRule>
  </conditionalFormatting>
  <conditionalFormatting sqref="A1:E4">
    <cfRule type="expression" dxfId="1053" priority="21">
      <formula>$E$6:$E$20806="CONTRATADO"</formula>
    </cfRule>
  </conditionalFormatting>
  <conditionalFormatting sqref="A1:E4">
    <cfRule type="expression" dxfId="1052" priority="10045">
      <formula>$Z$6:$Z$20806="REMANEJADO"</formula>
    </cfRule>
  </conditionalFormatting>
  <conditionalFormatting sqref="A1:E4">
    <cfRule type="expression" dxfId="1051" priority="10048">
      <formula>$Z$6:$Z$20001="DESCLASSIFICADO"</formula>
    </cfRule>
  </conditionalFormatting>
  <conditionalFormatting sqref="A1:E4">
    <cfRule type="expression" dxfId="1050" priority="10051">
      <formula>$Z$6:$Z$20001="REMANEJADO"</formula>
    </cfRule>
  </conditionalFormatting>
  <conditionalFormatting sqref="A1:E4">
    <cfRule type="expression" dxfId="1049" priority="10054">
      <formula>$Z$6:$Z$20001="1ª CONVOCAÇÃO"</formula>
    </cfRule>
  </conditionalFormatting>
  <conditionalFormatting sqref="A1:E4">
    <cfRule type="expression" dxfId="1048" priority="10057">
      <formula>$Z$6:$Z$20001="2ª CONVOCAÇÃO"</formula>
    </cfRule>
  </conditionalFormatting>
  <conditionalFormatting sqref="A1:E4">
    <cfRule type="expression" dxfId="1047" priority="10060">
      <formula>$Z$6:$Z$20001="NÃO ATENDE/AGUARDANDO RETORNO"</formula>
    </cfRule>
  </conditionalFormatting>
  <conditionalFormatting sqref="A1:E4">
    <cfRule type="expression" dxfId="1046" priority="10063">
      <formula>$Z$6:$Z$20806="CONTRATADO"</formula>
    </cfRule>
  </conditionalFormatting>
  <conditionalFormatting sqref="A1:E4">
    <cfRule type="expression" dxfId="1045" priority="10066">
      <formula>$Z$6:$Z$20806="DESCLASSIFICADO"</formula>
    </cfRule>
  </conditionalFormatting>
  <conditionalFormatting sqref="A1:E4">
    <cfRule type="expression" dxfId="1044" priority="10069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activeCell="A4" sqref="A4"/>
    </sheetView>
  </sheetViews>
  <sheetFormatPr defaultColWidth="14.42578125" defaultRowHeight="15"/>
  <cols>
    <col min="2" max="2" width="29.85546875" style="48" bestFit="1" customWidth="1"/>
    <col min="3" max="3" width="8" bestFit="1" customWidth="1"/>
    <col min="4" max="4" width="12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40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4492</v>
      </c>
      <c r="C5" s="45" t="s">
        <v>64</v>
      </c>
      <c r="D5" s="45" t="s">
        <v>4502</v>
      </c>
      <c r="E5" s="21" t="s">
        <v>325</v>
      </c>
    </row>
    <row r="6" spans="1:5" ht="15.75" customHeight="1">
      <c r="A6" s="28">
        <v>2</v>
      </c>
      <c r="B6" s="50" t="s">
        <v>4503</v>
      </c>
      <c r="C6" s="30" t="s">
        <v>64</v>
      </c>
      <c r="D6" s="30" t="s">
        <v>4502</v>
      </c>
      <c r="E6" s="21" t="s">
        <v>69</v>
      </c>
    </row>
  </sheetData>
  <mergeCells count="1">
    <mergeCell ref="A1:E3"/>
  </mergeCells>
  <conditionalFormatting sqref="A1:D4 E1:E6 A6:D6">
    <cfRule type="expression" dxfId="1043" priority="2">
      <formula>$Z$6:$Z$20806="REMANEJADO"</formula>
    </cfRule>
  </conditionalFormatting>
  <conditionalFormatting sqref="A1:D4 A6:D6 E1:E6">
    <cfRule type="expression" dxfId="1042" priority="3">
      <formula>$E$5:$E$20001="CONTRATADO"</formula>
    </cfRule>
  </conditionalFormatting>
  <conditionalFormatting sqref="A1:D4 A6:D6 E1:E6">
    <cfRule type="expression" dxfId="1041" priority="4">
      <formula>$E$5:$E$20001="DESCLASSIFICADO"</formula>
    </cfRule>
  </conditionalFormatting>
  <conditionalFormatting sqref="A1:D4 A6:D6 E1:E6">
    <cfRule type="expression" dxfId="1040" priority="5">
      <formula>$E$5:$E$20001="REMANEJADO"</formula>
    </cfRule>
  </conditionalFormatting>
  <conditionalFormatting sqref="A1:D4 A6:D6 E1:E6">
    <cfRule type="expression" dxfId="1039" priority="6">
      <formula>$E$5:$E$20001="1ª CONVOCAÇÃO"</formula>
    </cfRule>
  </conditionalFormatting>
  <conditionalFormatting sqref="A1:D4 A6:D6 E1:E6">
    <cfRule type="expression" dxfId="1038" priority="7">
      <formula>$E$5:$E$20001="2ª CONVOCAÇÃO"</formula>
    </cfRule>
  </conditionalFormatting>
  <conditionalFormatting sqref="A1:D4 A6:D6 E1:E6">
    <cfRule type="expression" dxfId="1037" priority="8">
      <formula>$E$5:$E$20001="NÃO ATENDE/AGUARDANDO RETORNO"</formula>
    </cfRule>
  </conditionalFormatting>
  <conditionalFormatting sqref="A1:D4 E1:E6 A6:D6">
    <cfRule type="expression" dxfId="1036" priority="10">
      <formula>$Z$6:$Z$20001="DESCLASSIFICADO"</formula>
    </cfRule>
  </conditionalFormatting>
  <conditionalFormatting sqref="A1:D4 E1:E6 A6:D6">
    <cfRule type="expression" dxfId="1035" priority="11">
      <formula>$Z$6:$Z$20001="REMANEJADO"</formula>
    </cfRule>
  </conditionalFormatting>
  <conditionalFormatting sqref="A1:D4 E1:E6 A6:D6">
    <cfRule type="expression" dxfId="1034" priority="12">
      <formula>$Z$6:$Z$20001="1ª CONVOCAÇÃO"</formula>
    </cfRule>
  </conditionalFormatting>
  <conditionalFormatting sqref="A1:D4 E1:E6 A6:D6">
    <cfRule type="expression" dxfId="1033" priority="13">
      <formula>$Z$6:$Z$20001="2ª CONVOCAÇÃO"</formula>
    </cfRule>
  </conditionalFormatting>
  <conditionalFormatting sqref="A1:D4 E1:E6 A6:D6">
    <cfRule type="expression" dxfId="1032" priority="14">
      <formula>$Z$6:$Z$20001="NÃO ATENDE/AGUARDANDO RETORNO"</formula>
    </cfRule>
  </conditionalFormatting>
  <conditionalFormatting sqref="A1:D4 E1:E6 A6:D6">
    <cfRule type="expression" dxfId="1031" priority="15">
      <formula>$Z$6:$Z$20806="CONTRATADO"</formula>
    </cfRule>
  </conditionalFormatting>
  <conditionalFormatting sqref="A1:D4 E1:E6 A6:D6">
    <cfRule type="expression" dxfId="1030" priority="16">
      <formula>$Z$6:$Z$20806="DESCLASSIFICADO"</formula>
    </cfRule>
  </conditionalFormatting>
  <conditionalFormatting sqref="A1:D4 A6:D6 E1:E6">
    <cfRule type="expression" dxfId="1029" priority="17">
      <formula>$E$5:$E$20806="REMANEJADO"</formula>
    </cfRule>
  </conditionalFormatting>
  <conditionalFormatting sqref="A1:D4 E1:E6 A6:D6">
    <cfRule type="expression" dxfId="1028" priority="18">
      <formula>$Z$6:$Z$20806="1ª CONVOCAÇÃO"</formula>
    </cfRule>
  </conditionalFormatting>
  <conditionalFormatting sqref="A1:D4 A6:D6 E1:E6">
    <cfRule type="expression" dxfId="1027" priority="19">
      <formula>$E$5:$E$20806="2ª CONVOCAÇÃO"</formula>
    </cfRule>
  </conditionalFormatting>
  <conditionalFormatting sqref="A1:D4 A6:D6 E1:E6">
    <cfRule type="expression" dxfId="1026" priority="20">
      <formula>$E$5:$E$20806="NÃO ATENDE/AGUARDANDO RETORNO"</formula>
    </cfRule>
  </conditionalFormatting>
  <conditionalFormatting sqref="A1:D4 A6:D6 E1:E6">
    <cfRule type="expression" dxfId="1025" priority="21">
      <formula>$E$6:$E$20806="CONTRATADO"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B11" sqref="B11"/>
    </sheetView>
  </sheetViews>
  <sheetFormatPr defaultColWidth="14.42578125" defaultRowHeight="15"/>
  <cols>
    <col min="2" max="2" width="36" bestFit="1" customWidth="1"/>
    <col min="3" max="3" width="8" bestFit="1" customWidth="1"/>
    <col min="4" max="4" width="10.855468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4510</v>
      </c>
      <c r="C5" s="30" t="s">
        <v>64</v>
      </c>
      <c r="D5" s="30" t="s">
        <v>4519</v>
      </c>
      <c r="E5" s="21" t="s">
        <v>69</v>
      </c>
    </row>
    <row r="6" spans="1:5" ht="15.75" customHeight="1">
      <c r="A6" s="28">
        <v>2</v>
      </c>
      <c r="B6" s="29" t="s">
        <v>4520</v>
      </c>
      <c r="C6" s="30" t="s">
        <v>64</v>
      </c>
      <c r="D6" s="30" t="s">
        <v>4519</v>
      </c>
      <c r="E6" s="21" t="s">
        <v>69</v>
      </c>
    </row>
    <row r="7" spans="1:5" ht="15.75" customHeight="1">
      <c r="A7" s="28">
        <v>3</v>
      </c>
      <c r="B7" s="29" t="s">
        <v>4528</v>
      </c>
      <c r="C7" s="30" t="s">
        <v>64</v>
      </c>
      <c r="D7" s="30" t="s">
        <v>4519</v>
      </c>
      <c r="E7" s="21" t="s">
        <v>69</v>
      </c>
    </row>
    <row r="8" spans="1:5" ht="15.75" customHeight="1">
      <c r="A8" s="28">
        <v>4</v>
      </c>
      <c r="B8" s="29" t="s">
        <v>4535</v>
      </c>
      <c r="C8" s="30" t="s">
        <v>64</v>
      </c>
      <c r="D8" s="30" t="s">
        <v>4519</v>
      </c>
      <c r="E8" s="21" t="s">
        <v>69</v>
      </c>
    </row>
    <row r="9" spans="1:5" ht="15.75" customHeight="1">
      <c r="A9" s="28">
        <v>5</v>
      </c>
      <c r="B9" s="29" t="s">
        <v>4541</v>
      </c>
      <c r="C9" s="30" t="s">
        <v>64</v>
      </c>
      <c r="D9" s="30" t="s">
        <v>4519</v>
      </c>
      <c r="E9" s="21" t="s">
        <v>69</v>
      </c>
    </row>
    <row r="10" spans="1:5" ht="15.75" customHeight="1">
      <c r="A10" s="28">
        <v>6</v>
      </c>
      <c r="B10" s="29" t="s">
        <v>4547</v>
      </c>
      <c r="C10" s="30" t="s">
        <v>64</v>
      </c>
      <c r="D10" s="30" t="s">
        <v>4519</v>
      </c>
      <c r="E10" s="21" t="s">
        <v>69</v>
      </c>
    </row>
    <row r="11" spans="1:5" ht="15.75" customHeight="1">
      <c r="A11" s="28">
        <v>7</v>
      </c>
      <c r="B11" s="29" t="s">
        <v>4554</v>
      </c>
      <c r="C11" s="30" t="s">
        <v>64</v>
      </c>
      <c r="D11" s="30" t="s">
        <v>4519</v>
      </c>
      <c r="E11" s="21" t="s">
        <v>69</v>
      </c>
    </row>
    <row r="12" spans="1:5" ht="15.75" customHeight="1">
      <c r="A12" s="28">
        <v>8</v>
      </c>
      <c r="B12" s="29" t="s">
        <v>4560</v>
      </c>
      <c r="C12" s="30" t="s">
        <v>64</v>
      </c>
      <c r="D12" s="30" t="s">
        <v>4519</v>
      </c>
      <c r="E12" s="21" t="s">
        <v>69</v>
      </c>
    </row>
    <row r="13" spans="1:5" ht="15.75" customHeight="1">
      <c r="A13" s="28">
        <v>9</v>
      </c>
      <c r="B13" s="29" t="s">
        <v>4566</v>
      </c>
      <c r="C13" s="30" t="s">
        <v>64</v>
      </c>
      <c r="D13" s="30" t="s">
        <v>4519</v>
      </c>
      <c r="E13" s="21" t="s">
        <v>69</v>
      </c>
    </row>
    <row r="14" spans="1:5" ht="15.75" customHeight="1">
      <c r="A14" s="28">
        <v>10</v>
      </c>
      <c r="B14" s="29" t="s">
        <v>4573</v>
      </c>
      <c r="C14" s="30" t="s">
        <v>64</v>
      </c>
      <c r="D14" s="30" t="s">
        <v>4519</v>
      </c>
      <c r="E14" s="21" t="s">
        <v>69</v>
      </c>
    </row>
    <row r="15" spans="1:5" ht="15.75" customHeight="1">
      <c r="A15" s="28">
        <v>11</v>
      </c>
      <c r="B15" s="29" t="s">
        <v>4579</v>
      </c>
      <c r="C15" s="30" t="s">
        <v>64</v>
      </c>
      <c r="D15" s="30" t="s">
        <v>4519</v>
      </c>
      <c r="E15" s="21" t="s">
        <v>69</v>
      </c>
    </row>
  </sheetData>
  <mergeCells count="1">
    <mergeCell ref="A1:E3"/>
  </mergeCells>
  <conditionalFormatting sqref="A1:E15">
    <cfRule type="expression" dxfId="1024" priority="10370">
      <formula>$E$5:$E$20001="CONTRATADO"</formula>
    </cfRule>
  </conditionalFormatting>
  <conditionalFormatting sqref="A1:E15">
    <cfRule type="expression" dxfId="1023" priority="10372">
      <formula>$E$5:$E$20001="DESCLASSIFICADO"</formula>
    </cfRule>
  </conditionalFormatting>
  <conditionalFormatting sqref="A1:E15">
    <cfRule type="expression" dxfId="1022" priority="10374">
      <formula>$E$5:$E$20001="REMANEJADO"</formula>
    </cfRule>
  </conditionalFormatting>
  <conditionalFormatting sqref="A1:E15">
    <cfRule type="expression" dxfId="1021" priority="10376">
      <formula>$E$5:$E$20001="1ª CONVOCAÇÃO"</formula>
    </cfRule>
  </conditionalFormatting>
  <conditionalFormatting sqref="A1:E15">
    <cfRule type="expression" dxfId="1020" priority="10378">
      <formula>$E$5:$E$20001="2ª CONVOCAÇÃO"</formula>
    </cfRule>
  </conditionalFormatting>
  <conditionalFormatting sqref="A1:E15">
    <cfRule type="expression" dxfId="1019" priority="10380">
      <formula>$E$5:$E$20001="NÃO ATENDE/AGUARDANDO RETORNO"</formula>
    </cfRule>
  </conditionalFormatting>
  <conditionalFormatting sqref="A1:E15">
    <cfRule type="expression" dxfId="1018" priority="10396">
      <formula>$E$5:$E$20806="REMANEJADO"</formula>
    </cfRule>
  </conditionalFormatting>
  <conditionalFormatting sqref="A1:E15">
    <cfRule type="expression" dxfId="1017" priority="10400">
      <formula>$E$5:$E$20806="2ª CONVOCAÇÃO"</formula>
    </cfRule>
  </conditionalFormatting>
  <conditionalFormatting sqref="A1:E15">
    <cfRule type="expression" dxfId="1016" priority="10402">
      <formula>$E$5:$E$20806="NÃO ATENDE/AGUARDANDO RETORNO"</formula>
    </cfRule>
  </conditionalFormatting>
  <conditionalFormatting sqref="A1:E15">
    <cfRule type="expression" dxfId="1015" priority="10404">
      <formula>$E$6:$E$20806="CONTRATADO"</formula>
    </cfRule>
  </conditionalFormatting>
  <conditionalFormatting sqref="A1:E15">
    <cfRule type="expression" dxfId="1014" priority="10493">
      <formula>$Z$6:$Z$20806="REMANEJADO"</formula>
    </cfRule>
  </conditionalFormatting>
  <conditionalFormatting sqref="A1:E15">
    <cfRule type="expression" dxfId="1013" priority="10495">
      <formula>$Z$6:$Z$20001="DESCLASSIFICADO"</formula>
    </cfRule>
  </conditionalFormatting>
  <conditionalFormatting sqref="A1:E15">
    <cfRule type="expression" dxfId="1012" priority="10497">
      <formula>$Z$6:$Z$20001="REMANEJADO"</formula>
    </cfRule>
  </conditionalFormatting>
  <conditionalFormatting sqref="A1:E15">
    <cfRule type="expression" dxfId="1011" priority="10499">
      <formula>$Z$6:$Z$20001="1ª CONVOCAÇÃO"</formula>
    </cfRule>
  </conditionalFormatting>
  <conditionalFormatting sqref="A1:E15">
    <cfRule type="expression" dxfId="1010" priority="10501">
      <formula>$Z$6:$Z$20001="2ª CONVOCAÇÃO"</formula>
    </cfRule>
  </conditionalFormatting>
  <conditionalFormatting sqref="A1:E15">
    <cfRule type="expression" dxfId="1009" priority="10503">
      <formula>$Z$6:$Z$20001="NÃO ATENDE/AGUARDANDO RETORNO"</formula>
    </cfRule>
  </conditionalFormatting>
  <conditionalFormatting sqref="A1:E15">
    <cfRule type="expression" dxfId="1008" priority="10505">
      <formula>$Z$6:$Z$20806="CONTRATADO"</formula>
    </cfRule>
  </conditionalFormatting>
  <conditionalFormatting sqref="A1:E15">
    <cfRule type="expression" dxfId="1007" priority="10507">
      <formula>$Z$6:$Z$20806="DESCLASSIFICADO"</formula>
    </cfRule>
  </conditionalFormatting>
  <conditionalFormatting sqref="A1:E15">
    <cfRule type="expression" dxfId="1006" priority="10509">
      <formula>$Z$6:$Z$20806="1ª CONVOCAÇÃO"</formula>
    </cfRule>
  </conditionalFormatting>
  <dataValidations count="1">
    <dataValidation type="list" allowBlank="1" showErrorMessage="1" sqref="E5:E1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4.140625" customWidth="1"/>
    <col min="3" max="3" width="8" customWidth="1"/>
    <col min="4" max="4" width="17.285156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41.2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4585</v>
      </c>
      <c r="C5" s="30" t="s">
        <v>64</v>
      </c>
      <c r="D5" s="30" t="s">
        <v>4591</v>
      </c>
      <c r="E5" s="21" t="s">
        <v>69</v>
      </c>
    </row>
  </sheetData>
  <mergeCells count="1">
    <mergeCell ref="A1:E3"/>
  </mergeCells>
  <conditionalFormatting sqref="A1:E5">
    <cfRule type="expression" dxfId="1005" priority="10810">
      <formula>$E$5:$E$20001="CONTRATADO"</formula>
    </cfRule>
  </conditionalFormatting>
  <conditionalFormatting sqref="A1:E5">
    <cfRule type="expression" dxfId="1004" priority="10812">
      <formula>$E$5:$E$20001="DESCLASSIFICADO"</formula>
    </cfRule>
  </conditionalFormatting>
  <conditionalFormatting sqref="A1:E5">
    <cfRule type="expression" dxfId="1003" priority="10814">
      <formula>$E$5:$E$20001="REMANEJADO"</formula>
    </cfRule>
  </conditionalFormatting>
  <conditionalFormatting sqref="A1:E5">
    <cfRule type="expression" dxfId="1002" priority="10816">
      <formula>$E$5:$E$20001="1ª CONVOCAÇÃO"</formula>
    </cfRule>
  </conditionalFormatting>
  <conditionalFormatting sqref="A1:E5">
    <cfRule type="expression" dxfId="1001" priority="10818">
      <formula>$E$5:$E$20001="2ª CONVOCAÇÃO"</formula>
    </cfRule>
  </conditionalFormatting>
  <conditionalFormatting sqref="A1:E5">
    <cfRule type="expression" dxfId="1000" priority="10820">
      <formula>$E$5:$E$20001="NÃO ATENDE/AGUARDANDO RETORNO"</formula>
    </cfRule>
  </conditionalFormatting>
  <conditionalFormatting sqref="A1:E5">
    <cfRule type="expression" dxfId="999" priority="10836">
      <formula>$E$5:$E$20806="REMANEJADO"</formula>
    </cfRule>
  </conditionalFormatting>
  <conditionalFormatting sqref="A1:E5">
    <cfRule type="expression" dxfId="998" priority="10840">
      <formula>$E$5:$E$20806="2ª CONVOCAÇÃO"</formula>
    </cfRule>
  </conditionalFormatting>
  <conditionalFormatting sqref="A1:E5">
    <cfRule type="expression" dxfId="997" priority="10842">
      <formula>$E$5:$E$20806="NÃO ATENDE/AGUARDANDO RETORNO"</formula>
    </cfRule>
  </conditionalFormatting>
  <conditionalFormatting sqref="A1:E5">
    <cfRule type="expression" dxfId="996" priority="10844">
      <formula>$E$6:$E$20806="CONTRATADO"</formula>
    </cfRule>
  </conditionalFormatting>
  <conditionalFormatting sqref="A1:E5">
    <cfRule type="expression" dxfId="995" priority="10933">
      <formula>$Z$6:$Z$20806="REMANEJADO"</formula>
    </cfRule>
  </conditionalFormatting>
  <conditionalFormatting sqref="A1:E5">
    <cfRule type="expression" dxfId="994" priority="10935">
      <formula>$Z$6:$Z$20001="DESCLASSIFICADO"</formula>
    </cfRule>
  </conditionalFormatting>
  <conditionalFormatting sqref="A1:E5">
    <cfRule type="expression" dxfId="993" priority="10937">
      <formula>$Z$6:$Z$20001="REMANEJADO"</formula>
    </cfRule>
  </conditionalFormatting>
  <conditionalFormatting sqref="A1:E5">
    <cfRule type="expression" dxfId="992" priority="10939">
      <formula>$Z$6:$Z$20001="1ª CONVOCAÇÃO"</formula>
    </cfRule>
  </conditionalFormatting>
  <conditionalFormatting sqref="A1:E5">
    <cfRule type="expression" dxfId="991" priority="10941">
      <formula>$Z$6:$Z$20001="2ª CONVOCAÇÃO"</formula>
    </cfRule>
  </conditionalFormatting>
  <conditionalFormatting sqref="A1:E5">
    <cfRule type="expression" dxfId="990" priority="10943">
      <formula>$Z$6:$Z$20001="NÃO ATENDE/AGUARDANDO RETORNO"</formula>
    </cfRule>
  </conditionalFormatting>
  <conditionalFormatting sqref="A1:E5">
    <cfRule type="expression" dxfId="989" priority="10945">
      <formula>$Z$6:$Z$20806="CONTRATADO"</formula>
    </cfRule>
  </conditionalFormatting>
  <conditionalFormatting sqref="A1:E5">
    <cfRule type="expression" dxfId="988" priority="10947">
      <formula>$Z$6:$Z$20806="DESCLASSIFICADO"</formula>
    </cfRule>
  </conditionalFormatting>
  <conditionalFormatting sqref="A1:E5">
    <cfRule type="expression" dxfId="987" priority="10949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Normal="100" workbookViewId="0">
      <selection sqref="A1:E3"/>
    </sheetView>
  </sheetViews>
  <sheetFormatPr defaultColWidth="14.42578125" defaultRowHeight="15"/>
  <cols>
    <col min="2" max="2" width="30.85546875" style="48" customWidth="1"/>
    <col min="3" max="3" width="16.28515625" bestFit="1" customWidth="1"/>
    <col min="4" max="4" width="13.42578125" bestFit="1" customWidth="1"/>
    <col min="5" max="5" width="16.5703125" bestFit="1" customWidth="1"/>
  </cols>
  <sheetData>
    <row r="1" spans="1:5" ht="18.75" customHeight="1">
      <c r="A1" s="52" t="s">
        <v>6696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7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4592</v>
      </c>
      <c r="C5" s="45" t="s">
        <v>80</v>
      </c>
      <c r="D5" s="45" t="s">
        <v>4601</v>
      </c>
      <c r="E5" s="21" t="s">
        <v>69</v>
      </c>
    </row>
    <row r="6" spans="1:5" ht="15.75" customHeight="1">
      <c r="A6" s="45">
        <v>1</v>
      </c>
      <c r="B6" s="51" t="s">
        <v>4602</v>
      </c>
      <c r="C6" s="45" t="s">
        <v>64</v>
      </c>
      <c r="D6" s="45" t="s">
        <v>4601</v>
      </c>
      <c r="E6" s="21" t="s">
        <v>325</v>
      </c>
    </row>
    <row r="7" spans="1:5" ht="15.75" customHeight="1">
      <c r="A7" s="45">
        <v>2</v>
      </c>
      <c r="B7" s="51" t="s">
        <v>4609</v>
      </c>
      <c r="C7" s="45" t="s">
        <v>64</v>
      </c>
      <c r="D7" s="45" t="s">
        <v>4601</v>
      </c>
      <c r="E7" s="21" t="s">
        <v>325</v>
      </c>
    </row>
  </sheetData>
  <mergeCells count="1">
    <mergeCell ref="A1:E3"/>
  </mergeCells>
  <conditionalFormatting sqref="A1:D4 E1:E7">
    <cfRule type="expression" dxfId="986" priority="10953">
      <formula>$E$5:$E$20001="CONTRATADO"</formula>
    </cfRule>
  </conditionalFormatting>
  <conditionalFormatting sqref="E5:E7 A1:E4">
    <cfRule type="expression" dxfId="985" priority="10956">
      <formula>$E$5:$E$20001="DESCLASSIFICADO"</formula>
    </cfRule>
  </conditionalFormatting>
  <conditionalFormatting sqref="E5:E7 A1:E4">
    <cfRule type="expression" dxfId="984" priority="10959">
      <formula>$E$5:$E$20001="REMANEJADO"</formula>
    </cfRule>
  </conditionalFormatting>
  <conditionalFormatting sqref="E5:E7 A1:E4">
    <cfRule type="expression" dxfId="983" priority="10962">
      <formula>$E$5:$E$20001="1ª CONVOCAÇÃO"</formula>
    </cfRule>
  </conditionalFormatting>
  <conditionalFormatting sqref="E5:E7 A1:E4">
    <cfRule type="expression" dxfId="982" priority="10965">
      <formula>$E$5:$E$20001="2ª CONVOCAÇÃO"</formula>
    </cfRule>
  </conditionalFormatting>
  <conditionalFormatting sqref="E5:E7 A1:E4">
    <cfRule type="expression" dxfId="981" priority="10968">
      <formula>$E$5:$E$20001="NÃO ATENDE/AGUARDANDO RETORNO"</formula>
    </cfRule>
  </conditionalFormatting>
  <conditionalFormatting sqref="E5:E7 A1:E4">
    <cfRule type="expression" dxfId="980" priority="10993">
      <formula>$E$5:$E$20806="REMANEJADO"</formula>
    </cfRule>
  </conditionalFormatting>
  <conditionalFormatting sqref="E5:E7 A1:E4">
    <cfRule type="expression" dxfId="979" priority="10999">
      <formula>$E$5:$E$20806="2ª CONVOCAÇÃO"</formula>
    </cfRule>
  </conditionalFormatting>
  <conditionalFormatting sqref="E5:E7 A1:E4">
    <cfRule type="expression" dxfId="978" priority="11002">
      <formula>$E$5:$E$20806="NÃO ATENDE/AGUARDANDO RETORNO"</formula>
    </cfRule>
  </conditionalFormatting>
  <conditionalFormatting sqref="E5:E7 A1:E4">
    <cfRule type="expression" dxfId="977" priority="11005">
      <formula>$E$6:$E$20806="CONTRATADO"</formula>
    </cfRule>
  </conditionalFormatting>
  <conditionalFormatting sqref="E5:E7 A1:E4">
    <cfRule type="expression" dxfId="976" priority="11174">
      <formula>$Z$6:$Z$20806="REMANEJADO"</formula>
    </cfRule>
  </conditionalFormatting>
  <conditionalFormatting sqref="E5:E7 A1:E4">
    <cfRule type="expression" dxfId="975" priority="11178">
      <formula>$Z$6:$Z$20001="DESCLASSIFICADO"</formula>
    </cfRule>
  </conditionalFormatting>
  <conditionalFormatting sqref="E5:E7 A1:E4">
    <cfRule type="expression" dxfId="974" priority="11182">
      <formula>$Z$6:$Z$20001="REMANEJADO"</formula>
    </cfRule>
  </conditionalFormatting>
  <conditionalFormatting sqref="E5:E7 A1:E4">
    <cfRule type="expression" dxfId="973" priority="11186">
      <formula>$Z$6:$Z$20001="1ª CONVOCAÇÃO"</formula>
    </cfRule>
  </conditionalFormatting>
  <conditionalFormatting sqref="E5:E7 A1:E4">
    <cfRule type="expression" dxfId="972" priority="11190">
      <formula>$Z$6:$Z$20001="2ª CONVOCAÇÃO"</formula>
    </cfRule>
  </conditionalFormatting>
  <conditionalFormatting sqref="E5:E7 A1:E4">
    <cfRule type="expression" dxfId="971" priority="11194">
      <formula>$Z$6:$Z$20001="NÃO ATENDE/AGUARDANDO RETORNO"</formula>
    </cfRule>
  </conditionalFormatting>
  <conditionalFormatting sqref="E5:E7 A1:E4">
    <cfRule type="expression" dxfId="970" priority="11198">
      <formula>$Z$6:$Z$20806="CONTRATADO"</formula>
    </cfRule>
  </conditionalFormatting>
  <conditionalFormatting sqref="E5:E7 A1:E4">
    <cfRule type="expression" dxfId="969" priority="11202">
      <formula>$Z$6:$Z$20806="DESCLASSIFICADO"</formula>
    </cfRule>
  </conditionalFormatting>
  <conditionalFormatting sqref="E5:E7 A1:E4">
    <cfRule type="expression" dxfId="968" priority="11206">
      <formula>$Z$6:$Z$20806="1ª CONVOCAÇÃO"</formula>
    </cfRule>
  </conditionalFormatting>
  <dataValidations count="1">
    <dataValidation type="list" allowBlank="1" showErrorMessage="1" sqref="E5:E7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0.140625" bestFit="1" customWidth="1"/>
    <col min="3" max="3" width="8" bestFit="1" customWidth="1"/>
    <col min="4" max="4" width="14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42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4615</v>
      </c>
      <c r="C5" s="30" t="s">
        <v>64</v>
      </c>
      <c r="D5" s="30" t="s">
        <v>4623</v>
      </c>
      <c r="E5" s="21" t="s">
        <v>69</v>
      </c>
    </row>
  </sheetData>
  <mergeCells count="1">
    <mergeCell ref="A1:E3"/>
  </mergeCells>
  <conditionalFormatting sqref="A1:E5">
    <cfRule type="expression" dxfId="967" priority="11507">
      <formula>$E$5:$E$20001="CONTRATADO"</formula>
    </cfRule>
  </conditionalFormatting>
  <conditionalFormatting sqref="A1:E5">
    <cfRule type="expression" dxfId="966" priority="11509">
      <formula>$E$5:$E$20001="DESCLASSIFICADO"</formula>
    </cfRule>
  </conditionalFormatting>
  <conditionalFormatting sqref="A1:E5">
    <cfRule type="expression" dxfId="965" priority="11511">
      <formula>$E$5:$E$20001="REMANEJADO"</formula>
    </cfRule>
  </conditionalFormatting>
  <conditionalFormatting sqref="A1:E5">
    <cfRule type="expression" dxfId="964" priority="11513">
      <formula>$E$5:$E$20001="1ª CONVOCAÇÃO"</formula>
    </cfRule>
  </conditionalFormatting>
  <conditionalFormatting sqref="A1:E5">
    <cfRule type="expression" dxfId="963" priority="11515">
      <formula>$E$5:$E$20001="2ª CONVOCAÇÃO"</formula>
    </cfRule>
  </conditionalFormatting>
  <conditionalFormatting sqref="A1:E5">
    <cfRule type="expression" dxfId="962" priority="11517">
      <formula>$E$5:$E$20001="NÃO ATENDE/AGUARDANDO RETORNO"</formula>
    </cfRule>
  </conditionalFormatting>
  <conditionalFormatting sqref="A1:E5">
    <cfRule type="expression" dxfId="961" priority="11533">
      <formula>$E$5:$E$20806="REMANEJADO"</formula>
    </cfRule>
  </conditionalFormatting>
  <conditionalFormatting sqref="A1:E5">
    <cfRule type="expression" dxfId="960" priority="11537">
      <formula>$E$5:$E$20806="2ª CONVOCAÇÃO"</formula>
    </cfRule>
  </conditionalFormatting>
  <conditionalFormatting sqref="A1:E5">
    <cfRule type="expression" dxfId="959" priority="11539">
      <formula>$E$5:$E$20806="NÃO ATENDE/AGUARDANDO RETORNO"</formula>
    </cfRule>
  </conditionalFormatting>
  <conditionalFormatting sqref="A1:E5">
    <cfRule type="expression" dxfId="958" priority="11541">
      <formula>$E$6:$E$20806="CONTRATADO"</formula>
    </cfRule>
  </conditionalFormatting>
  <conditionalFormatting sqref="A1:E5">
    <cfRule type="expression" dxfId="957" priority="11630">
      <formula>$Z$6:$Z$20806="REMANEJADO"</formula>
    </cfRule>
  </conditionalFormatting>
  <conditionalFormatting sqref="A1:E5">
    <cfRule type="expression" dxfId="956" priority="11632">
      <formula>$Z$6:$Z$20001="DESCLASSIFICADO"</formula>
    </cfRule>
  </conditionalFormatting>
  <conditionalFormatting sqref="A1:E5">
    <cfRule type="expression" dxfId="955" priority="11634">
      <formula>$Z$6:$Z$20001="REMANEJADO"</formula>
    </cfRule>
  </conditionalFormatting>
  <conditionalFormatting sqref="A1:E5">
    <cfRule type="expression" dxfId="954" priority="11636">
      <formula>$Z$6:$Z$20001="1ª CONVOCAÇÃO"</formula>
    </cfRule>
  </conditionalFormatting>
  <conditionalFormatting sqref="A1:E5">
    <cfRule type="expression" dxfId="953" priority="11638">
      <formula>$Z$6:$Z$20001="2ª CONVOCAÇÃO"</formula>
    </cfRule>
  </conditionalFormatting>
  <conditionalFormatting sqref="A1:E5">
    <cfRule type="expression" dxfId="952" priority="11640">
      <formula>$Z$6:$Z$20001="NÃO ATENDE/AGUARDANDO RETORNO"</formula>
    </cfRule>
  </conditionalFormatting>
  <conditionalFormatting sqref="A1:E5">
    <cfRule type="expression" dxfId="951" priority="11642">
      <formula>$Z$6:$Z$20806="CONTRATADO"</formula>
    </cfRule>
  </conditionalFormatting>
  <conditionalFormatting sqref="A1:E5">
    <cfRule type="expression" dxfId="950" priority="11644">
      <formula>$Z$6:$Z$20806="DESCLASSIFICADO"</formula>
    </cfRule>
  </conditionalFormatting>
  <conditionalFormatting sqref="A1:E5">
    <cfRule type="expression" dxfId="949" priority="11646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Normal="100" workbookViewId="0">
      <selection sqref="A1:E3"/>
    </sheetView>
  </sheetViews>
  <sheetFormatPr defaultColWidth="14.42578125" defaultRowHeight="15"/>
  <cols>
    <col min="2" max="2" width="32" style="48" bestFit="1" customWidth="1"/>
    <col min="3" max="3" width="16.28515625" bestFit="1" customWidth="1"/>
    <col min="4" max="4" width="15.425781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4624</v>
      </c>
      <c r="C5" s="45" t="s">
        <v>80</v>
      </c>
      <c r="D5" s="45" t="s">
        <v>4633</v>
      </c>
      <c r="E5" s="45" t="s">
        <v>69</v>
      </c>
    </row>
    <row r="6" spans="1:5" ht="15.75" customHeight="1">
      <c r="A6" s="45">
        <v>1</v>
      </c>
      <c r="B6" s="51" t="s">
        <v>4634</v>
      </c>
      <c r="C6" s="45" t="s">
        <v>64</v>
      </c>
      <c r="D6" s="45" t="s">
        <v>4633</v>
      </c>
      <c r="E6" s="45" t="s">
        <v>325</v>
      </c>
    </row>
    <row r="7" spans="1:5" ht="15.75" customHeight="1">
      <c r="A7" s="45">
        <v>2</v>
      </c>
      <c r="B7" s="51" t="s">
        <v>4641</v>
      </c>
      <c r="C7" s="45" t="s">
        <v>64</v>
      </c>
      <c r="D7" s="45" t="s">
        <v>4633</v>
      </c>
      <c r="E7" s="45" t="s">
        <v>5198</v>
      </c>
    </row>
    <row r="8" spans="1:5" ht="15.75" customHeight="1">
      <c r="A8" s="45">
        <v>3</v>
      </c>
      <c r="B8" s="51" t="s">
        <v>4650</v>
      </c>
      <c r="C8" s="45" t="s">
        <v>64</v>
      </c>
      <c r="D8" s="45" t="s">
        <v>4633</v>
      </c>
      <c r="E8" s="45" t="s">
        <v>325</v>
      </c>
    </row>
    <row r="9" spans="1:5" ht="15.75" customHeight="1">
      <c r="A9" s="45">
        <v>4</v>
      </c>
      <c r="B9" s="51" t="s">
        <v>4657</v>
      </c>
      <c r="C9" s="45" t="s">
        <v>64</v>
      </c>
      <c r="D9" s="45" t="s">
        <v>4633</v>
      </c>
      <c r="E9" s="45" t="s">
        <v>69</v>
      </c>
    </row>
    <row r="10" spans="1:5" ht="15.75" customHeight="1">
      <c r="A10" s="45">
        <v>5</v>
      </c>
      <c r="B10" s="51" t="s">
        <v>4663</v>
      </c>
      <c r="C10" s="45" t="s">
        <v>64</v>
      </c>
      <c r="D10" s="45" t="s">
        <v>4633</v>
      </c>
      <c r="E10" s="45" t="s">
        <v>69</v>
      </c>
    </row>
  </sheetData>
  <mergeCells count="1">
    <mergeCell ref="A1:E3"/>
  </mergeCells>
  <conditionalFormatting sqref="A1:E4">
    <cfRule type="expression" dxfId="948" priority="3">
      <formula>$E$5:$E$20001="CONTRATADO"</formula>
    </cfRule>
  </conditionalFormatting>
  <conditionalFormatting sqref="A1:E4">
    <cfRule type="expression" dxfId="947" priority="4">
      <formula>$E$5:$E$20001="DESCLASSIFICADO"</formula>
    </cfRule>
  </conditionalFormatting>
  <conditionalFormatting sqref="A1:E4">
    <cfRule type="expression" dxfId="946" priority="5">
      <formula>$E$5:$E$20001="REMANEJADO"</formula>
    </cfRule>
  </conditionalFormatting>
  <conditionalFormatting sqref="A1:E4">
    <cfRule type="expression" dxfId="945" priority="6">
      <formula>$E$5:$E$20001="1ª CONVOCAÇÃO"</formula>
    </cfRule>
  </conditionalFormatting>
  <conditionalFormatting sqref="A1:E4">
    <cfRule type="expression" dxfId="944" priority="7">
      <formula>$E$5:$E$20001="2ª CONVOCAÇÃO"</formula>
    </cfRule>
  </conditionalFormatting>
  <conditionalFormatting sqref="A1:E4">
    <cfRule type="expression" dxfId="943" priority="8">
      <formula>$E$5:$E$20001="NÃO ATENDE/AGUARDANDO RETORNO"</formula>
    </cfRule>
  </conditionalFormatting>
  <conditionalFormatting sqref="A1:E4">
    <cfRule type="expression" dxfId="942" priority="17">
      <formula>$E$5:$E$20806="REMANEJADO"</formula>
    </cfRule>
  </conditionalFormatting>
  <conditionalFormatting sqref="A1:E4">
    <cfRule type="expression" dxfId="941" priority="19">
      <formula>$E$5:$E$20806="2ª CONVOCAÇÃO"</formula>
    </cfRule>
  </conditionalFormatting>
  <conditionalFormatting sqref="A1:E4">
    <cfRule type="expression" dxfId="940" priority="20">
      <formula>$E$5:$E$20806="NÃO ATENDE/AGUARDANDO RETORNO"</formula>
    </cfRule>
  </conditionalFormatting>
  <conditionalFormatting sqref="A1:E4">
    <cfRule type="expression" dxfId="939" priority="21">
      <formula>$E$6:$E$20806="CONTRATADO"</formula>
    </cfRule>
  </conditionalFormatting>
  <conditionalFormatting sqref="A1:E4">
    <cfRule type="expression" dxfId="938" priority="12881">
      <formula>$Z$6:$Z$20806="REMANEJADO"</formula>
    </cfRule>
  </conditionalFormatting>
  <conditionalFormatting sqref="A1:E4">
    <cfRule type="expression" dxfId="937" priority="12884">
      <formula>$Z$6:$Z$20001="DESCLASSIFICADO"</formula>
    </cfRule>
  </conditionalFormatting>
  <conditionalFormatting sqref="A1:E4">
    <cfRule type="expression" dxfId="936" priority="12887">
      <formula>$Z$6:$Z$20001="REMANEJADO"</formula>
    </cfRule>
  </conditionalFormatting>
  <conditionalFormatting sqref="A1:E4">
    <cfRule type="expression" dxfId="935" priority="12890">
      <formula>$Z$6:$Z$20001="1ª CONVOCAÇÃO"</formula>
    </cfRule>
  </conditionalFormatting>
  <conditionalFormatting sqref="A1:E4">
    <cfRule type="expression" dxfId="934" priority="12893">
      <formula>$Z$6:$Z$20001="2ª CONVOCAÇÃO"</formula>
    </cfRule>
  </conditionalFormatting>
  <conditionalFormatting sqref="A1:E4">
    <cfRule type="expression" dxfId="933" priority="12896">
      <formula>$Z$6:$Z$20001="NÃO ATENDE/AGUARDANDO RETORNO"</formula>
    </cfRule>
  </conditionalFormatting>
  <conditionalFormatting sqref="A1:E4">
    <cfRule type="expression" dxfId="932" priority="12899">
      <formula>$Z$6:$Z$20806="CONTRATADO"</formula>
    </cfRule>
  </conditionalFormatting>
  <conditionalFormatting sqref="A1:E4">
    <cfRule type="expression" dxfId="931" priority="12902">
      <formula>$Z$6:$Z$20806="DESCLASSIFICADO"</formula>
    </cfRule>
  </conditionalFormatting>
  <conditionalFormatting sqref="A1:E4">
    <cfRule type="expression" dxfId="930" priority="12905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B4" sqref="B4"/>
    </sheetView>
  </sheetViews>
  <sheetFormatPr defaultColWidth="14.42578125" defaultRowHeight="15"/>
  <cols>
    <col min="2" max="2" width="26.42578125" style="48" customWidth="1"/>
    <col min="3" max="3" width="8" bestFit="1" customWidth="1"/>
    <col min="4" max="4" width="17.425781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51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4669</v>
      </c>
      <c r="C5" s="45" t="s">
        <v>64</v>
      </c>
      <c r="D5" s="45" t="s">
        <v>4677</v>
      </c>
      <c r="E5" s="21" t="s">
        <v>325</v>
      </c>
    </row>
  </sheetData>
  <mergeCells count="1">
    <mergeCell ref="A1:E3"/>
  </mergeCells>
  <conditionalFormatting sqref="E1:E5 A1:D4">
    <cfRule type="expression" dxfId="929" priority="11650">
      <formula>$E$5:$E$20001="CONTRATADO"</formula>
    </cfRule>
  </conditionalFormatting>
  <conditionalFormatting sqref="E5 A1:E4">
    <cfRule type="expression" dxfId="928" priority="11653">
      <formula>$E$5:$E$20001="DESCLASSIFICADO"</formula>
    </cfRule>
  </conditionalFormatting>
  <conditionalFormatting sqref="E5 A1:E4">
    <cfRule type="expression" dxfId="927" priority="11656">
      <formula>$E$5:$E$20001="REMANEJADO"</formula>
    </cfRule>
  </conditionalFormatting>
  <conditionalFormatting sqref="E5 A1:E4">
    <cfRule type="expression" dxfId="926" priority="11659">
      <formula>$E$5:$E$20001="1ª CONVOCAÇÃO"</formula>
    </cfRule>
  </conditionalFormatting>
  <conditionalFormatting sqref="E5 A1:E4">
    <cfRule type="expression" dxfId="925" priority="11662">
      <formula>$E$5:$E$20001="2ª CONVOCAÇÃO"</formula>
    </cfRule>
  </conditionalFormatting>
  <conditionalFormatting sqref="E5 A1:E4">
    <cfRule type="expression" dxfId="924" priority="11665">
      <formula>$E$5:$E$20001="NÃO ATENDE/AGUARDANDO RETORNO"</formula>
    </cfRule>
  </conditionalFormatting>
  <conditionalFormatting sqref="E5 A1:E4">
    <cfRule type="expression" dxfId="923" priority="11690">
      <formula>$E$5:$E$20806="REMANEJADO"</formula>
    </cfRule>
  </conditionalFormatting>
  <conditionalFormatting sqref="E5 A1:E4">
    <cfRule type="expression" dxfId="922" priority="11696">
      <formula>$E$5:$E$20806="2ª CONVOCAÇÃO"</formula>
    </cfRule>
  </conditionalFormatting>
  <conditionalFormatting sqref="E5 A1:E4">
    <cfRule type="expression" dxfId="921" priority="11699">
      <formula>$E$5:$E$20806="NÃO ATENDE/AGUARDANDO RETORNO"</formula>
    </cfRule>
  </conditionalFormatting>
  <conditionalFormatting sqref="E5 A1:E4">
    <cfRule type="expression" dxfId="920" priority="11702">
      <formula>$E$6:$E$20806="CONTRATADO"</formula>
    </cfRule>
  </conditionalFormatting>
  <conditionalFormatting sqref="E5 A1:E4">
    <cfRule type="expression" dxfId="919" priority="11871">
      <formula>$Z$6:$Z$20806="REMANEJADO"</formula>
    </cfRule>
  </conditionalFormatting>
  <conditionalFormatting sqref="E5 A1:E4">
    <cfRule type="expression" dxfId="918" priority="11875">
      <formula>$Z$6:$Z$20001="DESCLASSIFICADO"</formula>
    </cfRule>
  </conditionalFormatting>
  <conditionalFormatting sqref="E5 A1:E4">
    <cfRule type="expression" dxfId="917" priority="11879">
      <formula>$Z$6:$Z$20001="REMANEJADO"</formula>
    </cfRule>
  </conditionalFormatting>
  <conditionalFormatting sqref="E5 A1:E4">
    <cfRule type="expression" dxfId="916" priority="11883">
      <formula>$Z$6:$Z$20001="1ª CONVOCAÇÃO"</formula>
    </cfRule>
  </conditionalFormatting>
  <conditionalFormatting sqref="E5 A1:E4">
    <cfRule type="expression" dxfId="915" priority="11887">
      <formula>$Z$6:$Z$20001="2ª CONVOCAÇÃO"</formula>
    </cfRule>
  </conditionalFormatting>
  <conditionalFormatting sqref="E5 A1:E4">
    <cfRule type="expression" dxfId="914" priority="11891">
      <formula>$Z$6:$Z$20001="NÃO ATENDE/AGUARDANDO RETORNO"</formula>
    </cfRule>
  </conditionalFormatting>
  <conditionalFormatting sqref="E5 A1:E4">
    <cfRule type="expression" dxfId="913" priority="11895">
      <formula>$Z$6:$Z$20806="CONTRATADO"</formula>
    </cfRule>
  </conditionalFormatting>
  <conditionalFormatting sqref="E5 A1:E4">
    <cfRule type="expression" dxfId="912" priority="11899">
      <formula>$Z$6:$Z$20806="DESCLASSIFICADO"</formula>
    </cfRule>
  </conditionalFormatting>
  <conditionalFormatting sqref="E5 A1:E4">
    <cfRule type="expression" dxfId="911" priority="11903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B6" sqref="A6:B6"/>
    </sheetView>
  </sheetViews>
  <sheetFormatPr defaultColWidth="14.42578125" defaultRowHeight="15"/>
  <cols>
    <col min="2" max="2" width="36.85546875" bestFit="1" customWidth="1"/>
    <col min="3" max="3" width="8" bestFit="1" customWidth="1"/>
    <col min="4" max="4" width="17.285156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3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4678</v>
      </c>
      <c r="C5" s="30" t="s">
        <v>64</v>
      </c>
      <c r="D5" s="30" t="s">
        <v>4687</v>
      </c>
      <c r="E5" s="21" t="s">
        <v>69</v>
      </c>
    </row>
    <row r="6" spans="1:5" ht="15.75" customHeight="1">
      <c r="A6" s="28">
        <v>2</v>
      </c>
      <c r="B6" s="29" t="s">
        <v>4688</v>
      </c>
      <c r="C6" s="30" t="s">
        <v>64</v>
      </c>
      <c r="D6" s="30" t="s">
        <v>4687</v>
      </c>
      <c r="E6" s="21" t="s">
        <v>69</v>
      </c>
    </row>
    <row r="7" spans="1:5" ht="15.75" customHeight="1">
      <c r="A7" s="28">
        <v>3</v>
      </c>
      <c r="B7" s="29" t="s">
        <v>4695</v>
      </c>
      <c r="C7" s="30" t="s">
        <v>64</v>
      </c>
      <c r="D7" s="30" t="s">
        <v>4687</v>
      </c>
      <c r="E7" s="21" t="s">
        <v>69</v>
      </c>
    </row>
    <row r="8" spans="1:5" ht="15.75" customHeight="1">
      <c r="A8" s="28">
        <v>4</v>
      </c>
      <c r="B8" s="29" t="s">
        <v>4701</v>
      </c>
      <c r="C8" s="30" t="s">
        <v>64</v>
      </c>
      <c r="D8" s="30" t="s">
        <v>4687</v>
      </c>
      <c r="E8" s="21" t="s">
        <v>69</v>
      </c>
    </row>
  </sheetData>
  <mergeCells count="1">
    <mergeCell ref="A1:E3"/>
  </mergeCells>
  <conditionalFormatting sqref="A1:E8">
    <cfRule type="expression" dxfId="910" priority="12204">
      <formula>$E$5:$E$20001="CONTRATADO"</formula>
    </cfRule>
  </conditionalFormatting>
  <conditionalFormatting sqref="A1:E8">
    <cfRule type="expression" dxfId="909" priority="12206">
      <formula>$E$5:$E$20001="DESCLASSIFICADO"</formula>
    </cfRule>
  </conditionalFormatting>
  <conditionalFormatting sqref="A1:E8">
    <cfRule type="expression" dxfId="908" priority="12208">
      <formula>$E$5:$E$20001="REMANEJADO"</formula>
    </cfRule>
  </conditionalFormatting>
  <conditionalFormatting sqref="A1:E8">
    <cfRule type="expression" dxfId="907" priority="12210">
      <formula>$E$5:$E$20001="1ª CONVOCAÇÃO"</formula>
    </cfRule>
  </conditionalFormatting>
  <conditionalFormatting sqref="A1:E8">
    <cfRule type="expression" dxfId="906" priority="12212">
      <formula>$E$5:$E$20001="2ª CONVOCAÇÃO"</formula>
    </cfRule>
  </conditionalFormatting>
  <conditionalFormatting sqref="A1:E8">
    <cfRule type="expression" dxfId="905" priority="12214">
      <formula>$E$5:$E$20001="NÃO ATENDE/AGUARDANDO RETORNO"</formula>
    </cfRule>
  </conditionalFormatting>
  <conditionalFormatting sqref="A1:E8">
    <cfRule type="expression" dxfId="904" priority="12230">
      <formula>$E$5:$E$20806="REMANEJADO"</formula>
    </cfRule>
  </conditionalFormatting>
  <conditionalFormatting sqref="A1:E8">
    <cfRule type="expression" dxfId="903" priority="12234">
      <formula>$E$5:$E$20806="2ª CONVOCAÇÃO"</formula>
    </cfRule>
  </conditionalFormatting>
  <conditionalFormatting sqref="A1:E8">
    <cfRule type="expression" dxfId="902" priority="12236">
      <formula>$E$5:$E$20806="NÃO ATENDE/AGUARDANDO RETORNO"</formula>
    </cfRule>
  </conditionalFormatting>
  <conditionalFormatting sqref="A1:E8">
    <cfRule type="expression" dxfId="901" priority="12238">
      <formula>$E$6:$E$20806="CONTRATADO"</formula>
    </cfRule>
  </conditionalFormatting>
  <conditionalFormatting sqref="A1:E8">
    <cfRule type="expression" dxfId="900" priority="12327">
      <formula>$Z$6:$Z$20806="REMANEJADO"</formula>
    </cfRule>
  </conditionalFormatting>
  <conditionalFormatting sqref="A1:E8">
    <cfRule type="expression" dxfId="899" priority="12329">
      <formula>$Z$6:$Z$20001="DESCLASSIFICADO"</formula>
    </cfRule>
  </conditionalFormatting>
  <conditionalFormatting sqref="A1:E8">
    <cfRule type="expression" dxfId="898" priority="12331">
      <formula>$Z$6:$Z$20001="REMANEJADO"</formula>
    </cfRule>
  </conditionalFormatting>
  <conditionalFormatting sqref="A1:E8">
    <cfRule type="expression" dxfId="897" priority="12333">
      <formula>$Z$6:$Z$20001="1ª CONVOCAÇÃO"</formula>
    </cfRule>
  </conditionalFormatting>
  <conditionalFormatting sqref="A1:E8">
    <cfRule type="expression" dxfId="896" priority="12335">
      <formula>$Z$6:$Z$20001="2ª CONVOCAÇÃO"</formula>
    </cfRule>
  </conditionalFormatting>
  <conditionalFormatting sqref="A1:E8">
    <cfRule type="expression" dxfId="895" priority="12337">
      <formula>$Z$6:$Z$20001="NÃO ATENDE/AGUARDANDO RETORNO"</formula>
    </cfRule>
  </conditionalFormatting>
  <conditionalFormatting sqref="A1:E8">
    <cfRule type="expression" dxfId="894" priority="12339">
      <formula>$Z$6:$Z$20806="CONTRATADO"</formula>
    </cfRule>
  </conditionalFormatting>
  <conditionalFormatting sqref="A1:E8">
    <cfRule type="expression" dxfId="893" priority="12341">
      <formula>$Z$6:$Z$20806="DESCLASSIFICADO"</formula>
    </cfRule>
  </conditionalFormatting>
  <conditionalFormatting sqref="A1:E8">
    <cfRule type="expression" dxfId="892" priority="12343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sqref="A1:E3"/>
    </sheetView>
  </sheetViews>
  <sheetFormatPr defaultColWidth="14.42578125" defaultRowHeight="15"/>
  <cols>
    <col min="2" max="2" width="35.7109375" style="48" bestFit="1" customWidth="1"/>
    <col min="3" max="3" width="17.42578125" customWidth="1"/>
    <col min="4" max="4" width="15.28515625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4708</v>
      </c>
      <c r="C5" s="45" t="s">
        <v>64</v>
      </c>
      <c r="D5" s="45" t="s">
        <v>4718</v>
      </c>
      <c r="E5" s="45" t="s">
        <v>325</v>
      </c>
    </row>
    <row r="6" spans="1:5" ht="15.75" customHeight="1">
      <c r="A6" s="45">
        <v>2</v>
      </c>
      <c r="B6" s="51" t="s">
        <v>4719</v>
      </c>
      <c r="C6" s="45" t="s">
        <v>64</v>
      </c>
      <c r="D6" s="45" t="s">
        <v>4718</v>
      </c>
      <c r="E6" s="45" t="s">
        <v>325</v>
      </c>
    </row>
    <row r="7" spans="1:5" ht="15.75" customHeight="1">
      <c r="A7" s="45">
        <v>3</v>
      </c>
      <c r="B7" s="51" t="s">
        <v>4727</v>
      </c>
      <c r="C7" s="45" t="s">
        <v>64</v>
      </c>
      <c r="D7" s="45" t="s">
        <v>4718</v>
      </c>
      <c r="E7" s="45" t="s">
        <v>6687</v>
      </c>
    </row>
    <row r="8" spans="1:5" ht="15.75" customHeight="1">
      <c r="A8" s="45">
        <v>1</v>
      </c>
      <c r="B8" s="51" t="s">
        <v>4734</v>
      </c>
      <c r="C8" s="45" t="s">
        <v>204</v>
      </c>
      <c r="D8" s="45" t="s">
        <v>4718</v>
      </c>
      <c r="E8" s="45" t="s">
        <v>325</v>
      </c>
    </row>
    <row r="9" spans="1:5" ht="15.75" customHeight="1">
      <c r="A9" s="45">
        <v>1</v>
      </c>
      <c r="B9" s="51" t="s">
        <v>4741</v>
      </c>
      <c r="C9" s="45" t="s">
        <v>4235</v>
      </c>
      <c r="D9" s="45" t="s">
        <v>4718</v>
      </c>
      <c r="E9" s="45" t="s">
        <v>69</v>
      </c>
    </row>
  </sheetData>
  <mergeCells count="1">
    <mergeCell ref="A1:E3"/>
  </mergeCells>
  <conditionalFormatting sqref="A1:E4">
    <cfRule type="expression" dxfId="891" priority="3">
      <formula>$E$5:$E$20001="CONTRATADO"</formula>
    </cfRule>
  </conditionalFormatting>
  <conditionalFormatting sqref="A1:E4">
    <cfRule type="expression" dxfId="890" priority="4">
      <formula>$E$5:$E$20001="DESCLASSIFICADO"</formula>
    </cfRule>
  </conditionalFormatting>
  <conditionalFormatting sqref="A1:E4">
    <cfRule type="expression" dxfId="889" priority="5">
      <formula>$E$5:$E$20001="REMANEJADO"</formula>
    </cfRule>
  </conditionalFormatting>
  <conditionalFormatting sqref="A1:E4">
    <cfRule type="expression" dxfId="888" priority="6">
      <formula>$E$5:$E$20001="1ª CONVOCAÇÃO"</formula>
    </cfRule>
  </conditionalFormatting>
  <conditionalFormatting sqref="A1:E4">
    <cfRule type="expression" dxfId="887" priority="7">
      <formula>$E$5:$E$20001="2ª CONVOCAÇÃO"</formula>
    </cfRule>
  </conditionalFormatting>
  <conditionalFormatting sqref="A1:E4">
    <cfRule type="expression" dxfId="886" priority="8">
      <formula>$E$5:$E$20001="NÃO ATENDE/AGUARDANDO RETORNO"</formula>
    </cfRule>
  </conditionalFormatting>
  <conditionalFormatting sqref="A1:E4">
    <cfRule type="expression" dxfId="885" priority="17">
      <formula>$E$5:$E$20806="REMANEJADO"</formula>
    </cfRule>
  </conditionalFormatting>
  <conditionalFormatting sqref="A1:E4">
    <cfRule type="expression" dxfId="884" priority="19">
      <formula>$E$5:$E$20806="2ª CONVOCAÇÃO"</formula>
    </cfRule>
  </conditionalFormatting>
  <conditionalFormatting sqref="A1:E4">
    <cfRule type="expression" dxfId="883" priority="20">
      <formula>$E$5:$E$20806="NÃO ATENDE/AGUARDANDO RETORNO"</formula>
    </cfRule>
  </conditionalFormatting>
  <conditionalFormatting sqref="A1:E4">
    <cfRule type="expression" dxfId="882" priority="21">
      <formula>$E$6:$E$20806="CONTRATADO"</formula>
    </cfRule>
  </conditionalFormatting>
  <conditionalFormatting sqref="A1:E4">
    <cfRule type="expression" dxfId="881" priority="12728">
      <formula>$Z$6:$Z$20806="REMANEJADO"</formula>
    </cfRule>
  </conditionalFormatting>
  <conditionalFormatting sqref="A1:E4">
    <cfRule type="expression" dxfId="880" priority="12731">
      <formula>$Z$6:$Z$20001="DESCLASSIFICADO"</formula>
    </cfRule>
  </conditionalFormatting>
  <conditionalFormatting sqref="A1:E4">
    <cfRule type="expression" dxfId="879" priority="12734">
      <formula>$Z$6:$Z$20001="REMANEJADO"</formula>
    </cfRule>
  </conditionalFormatting>
  <conditionalFormatting sqref="A1:E4">
    <cfRule type="expression" dxfId="878" priority="12737">
      <formula>$Z$6:$Z$20001="1ª CONVOCAÇÃO"</formula>
    </cfRule>
  </conditionalFormatting>
  <conditionalFormatting sqref="A1:E4">
    <cfRule type="expression" dxfId="877" priority="12740">
      <formula>$Z$6:$Z$20001="2ª CONVOCAÇÃO"</formula>
    </cfRule>
  </conditionalFormatting>
  <conditionalFormatting sqref="A1:E4">
    <cfRule type="expression" dxfId="876" priority="12743">
      <formula>$Z$6:$Z$20001="NÃO ATENDE/AGUARDANDO RETORNO"</formula>
    </cfRule>
  </conditionalFormatting>
  <conditionalFormatting sqref="A1:E4">
    <cfRule type="expression" dxfId="875" priority="12746">
      <formula>$Z$6:$Z$20806="CONTRATADO"</formula>
    </cfRule>
  </conditionalFormatting>
  <conditionalFormatting sqref="A1:E4">
    <cfRule type="expression" dxfId="874" priority="12749">
      <formula>$Z$6:$Z$20806="DESCLASSIFICADO"</formula>
    </cfRule>
  </conditionalFormatting>
  <conditionalFormatting sqref="A1:E4">
    <cfRule type="expression" dxfId="873" priority="12752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Normal="100" workbookViewId="0">
      <pane ySplit="4" topLeftCell="A5" activePane="bottomLeft" state="frozen"/>
      <selection pane="bottomLeft" activeCell="E20" sqref="E20"/>
    </sheetView>
  </sheetViews>
  <sheetFormatPr defaultColWidth="14.42578125" defaultRowHeight="15"/>
  <cols>
    <col min="1" max="1" width="15.7109375" style="6" customWidth="1"/>
    <col min="2" max="2" width="43.140625" bestFit="1" customWidth="1"/>
    <col min="3" max="3" width="19.85546875" style="6" bestFit="1" customWidth="1"/>
    <col min="4" max="4" width="24.28515625" style="6" customWidth="1"/>
    <col min="5" max="5" width="16.5703125" bestFit="1" customWidth="1"/>
  </cols>
  <sheetData>
    <row r="1" spans="1:5" ht="41.85" customHeight="1">
      <c r="A1" s="52" t="s">
        <v>6690</v>
      </c>
      <c r="B1" s="52"/>
      <c r="C1" s="52"/>
      <c r="D1" s="52"/>
      <c r="E1" s="52"/>
    </row>
    <row r="2" spans="1:5" ht="38.85" customHeight="1">
      <c r="A2" s="52"/>
      <c r="B2" s="52"/>
      <c r="C2" s="52"/>
      <c r="D2" s="52"/>
      <c r="E2" s="52"/>
    </row>
    <row r="3" spans="1:5" ht="35.1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247</v>
      </c>
      <c r="C5" s="30" t="s">
        <v>80</v>
      </c>
      <c r="D5" s="30" t="s">
        <v>256</v>
      </c>
      <c r="E5" s="21" t="s">
        <v>69</v>
      </c>
    </row>
    <row r="6" spans="1:5" ht="15.75" customHeight="1">
      <c r="A6" s="28">
        <v>1</v>
      </c>
      <c r="B6" s="29" t="s">
        <v>257</v>
      </c>
      <c r="C6" s="30" t="s">
        <v>266</v>
      </c>
      <c r="D6" s="30" t="s">
        <v>256</v>
      </c>
      <c r="E6" s="44" t="s">
        <v>69</v>
      </c>
    </row>
    <row r="7" spans="1:5" ht="15.75" customHeight="1">
      <c r="A7" s="28">
        <v>2</v>
      </c>
      <c r="B7" s="29" t="s">
        <v>267</v>
      </c>
      <c r="C7" s="30" t="s">
        <v>266</v>
      </c>
      <c r="D7" s="30" t="s">
        <v>256</v>
      </c>
      <c r="E7" s="44" t="s">
        <v>69</v>
      </c>
    </row>
    <row r="8" spans="1:5" ht="15.75" customHeight="1">
      <c r="A8" s="45">
        <v>1</v>
      </c>
      <c r="B8" s="46" t="s">
        <v>277</v>
      </c>
      <c r="C8" s="45" t="s">
        <v>64</v>
      </c>
      <c r="D8" s="45" t="s">
        <v>256</v>
      </c>
      <c r="E8" s="44" t="s">
        <v>325</v>
      </c>
    </row>
    <row r="9" spans="1:5" ht="15.75" customHeight="1">
      <c r="A9" s="45">
        <v>2</v>
      </c>
      <c r="B9" s="46" t="s">
        <v>285</v>
      </c>
      <c r="C9" s="45" t="s">
        <v>64</v>
      </c>
      <c r="D9" s="45" t="s">
        <v>256</v>
      </c>
      <c r="E9" s="44" t="s">
        <v>325</v>
      </c>
    </row>
    <row r="10" spans="1:5" ht="15.75" customHeight="1">
      <c r="A10" s="45">
        <v>3</v>
      </c>
      <c r="B10" s="46" t="s">
        <v>291</v>
      </c>
      <c r="C10" s="45" t="s">
        <v>64</v>
      </c>
      <c r="D10" s="45" t="s">
        <v>256</v>
      </c>
      <c r="E10" s="44" t="s">
        <v>325</v>
      </c>
    </row>
    <row r="11" spans="1:5" ht="15.75" customHeight="1">
      <c r="A11" s="45">
        <v>4</v>
      </c>
      <c r="B11" s="46" t="s">
        <v>300</v>
      </c>
      <c r="C11" s="45" t="s">
        <v>64</v>
      </c>
      <c r="D11" s="45" t="s">
        <v>256</v>
      </c>
      <c r="E11" s="44" t="s">
        <v>5</v>
      </c>
    </row>
    <row r="12" spans="1:5" ht="15.75" customHeight="1">
      <c r="A12" s="45">
        <v>5</v>
      </c>
      <c r="B12" s="46" t="s">
        <v>309</v>
      </c>
      <c r="C12" s="45" t="s">
        <v>64</v>
      </c>
      <c r="D12" s="45" t="s">
        <v>256</v>
      </c>
      <c r="E12" s="44" t="s">
        <v>5</v>
      </c>
    </row>
    <row r="13" spans="1:5" ht="15.75" customHeight="1">
      <c r="A13" s="45">
        <v>6</v>
      </c>
      <c r="B13" s="46" t="s">
        <v>317</v>
      </c>
      <c r="C13" s="45" t="s">
        <v>64</v>
      </c>
      <c r="D13" s="45" t="s">
        <v>256</v>
      </c>
      <c r="E13" s="44" t="s">
        <v>325</v>
      </c>
    </row>
    <row r="14" spans="1:5" ht="15.75" customHeight="1">
      <c r="A14" s="45">
        <v>7</v>
      </c>
      <c r="B14" s="46" t="s">
        <v>326</v>
      </c>
      <c r="C14" s="45" t="s">
        <v>64</v>
      </c>
      <c r="D14" s="45" t="s">
        <v>256</v>
      </c>
      <c r="E14" s="44" t="s">
        <v>5</v>
      </c>
    </row>
    <row r="15" spans="1:5" ht="15.75" customHeight="1">
      <c r="A15" s="45">
        <v>8</v>
      </c>
      <c r="B15" s="46" t="s">
        <v>332</v>
      </c>
      <c r="C15" s="45" t="s">
        <v>64</v>
      </c>
      <c r="D15" s="45" t="s">
        <v>256</v>
      </c>
      <c r="E15" s="44" t="s">
        <v>325</v>
      </c>
    </row>
    <row r="16" spans="1:5" ht="15.75" customHeight="1">
      <c r="A16" s="45">
        <v>9</v>
      </c>
      <c r="B16" s="46" t="s">
        <v>339</v>
      </c>
      <c r="C16" s="45" t="s">
        <v>64</v>
      </c>
      <c r="D16" s="45" t="s">
        <v>256</v>
      </c>
      <c r="E16" s="44" t="s">
        <v>5</v>
      </c>
    </row>
    <row r="17" spans="1:5" ht="15.75" customHeight="1">
      <c r="A17" s="45">
        <v>10</v>
      </c>
      <c r="B17" s="46" t="s">
        <v>349</v>
      </c>
      <c r="C17" s="45" t="s">
        <v>64</v>
      </c>
      <c r="D17" s="45" t="s">
        <v>256</v>
      </c>
      <c r="E17" s="44" t="s">
        <v>325</v>
      </c>
    </row>
    <row r="18" spans="1:5" ht="15.75" customHeight="1">
      <c r="A18" s="45">
        <v>11</v>
      </c>
      <c r="B18" s="46" t="s">
        <v>357</v>
      </c>
      <c r="C18" s="45" t="s">
        <v>64</v>
      </c>
      <c r="D18" s="45" t="s">
        <v>256</v>
      </c>
      <c r="E18" s="44" t="s">
        <v>325</v>
      </c>
    </row>
    <row r="19" spans="1:5" ht="15.75" customHeight="1">
      <c r="A19" s="45">
        <v>12</v>
      </c>
      <c r="B19" s="46" t="s">
        <v>365</v>
      </c>
      <c r="C19" s="45" t="s">
        <v>64</v>
      </c>
      <c r="D19" s="45" t="s">
        <v>256</v>
      </c>
      <c r="E19" s="44" t="s">
        <v>325</v>
      </c>
    </row>
    <row r="20" spans="1:5" ht="15.75" customHeight="1">
      <c r="A20" s="45">
        <v>13</v>
      </c>
      <c r="B20" s="46" t="s">
        <v>372</v>
      </c>
      <c r="C20" s="45" t="s">
        <v>64</v>
      </c>
      <c r="D20" s="45" t="s">
        <v>256</v>
      </c>
      <c r="E20" s="44" t="s">
        <v>5</v>
      </c>
    </row>
    <row r="21" spans="1:5" ht="15.75" customHeight="1">
      <c r="A21" s="45">
        <v>14</v>
      </c>
      <c r="B21" s="46" t="s">
        <v>381</v>
      </c>
      <c r="C21" s="45" t="s">
        <v>64</v>
      </c>
      <c r="D21" s="45" t="s">
        <v>256</v>
      </c>
      <c r="E21" s="44" t="s">
        <v>325</v>
      </c>
    </row>
    <row r="22" spans="1:5" ht="15.75" customHeight="1">
      <c r="A22" s="45">
        <v>15</v>
      </c>
      <c r="B22" s="46" t="s">
        <v>389</v>
      </c>
      <c r="C22" s="45" t="s">
        <v>64</v>
      </c>
      <c r="D22" s="45" t="s">
        <v>256</v>
      </c>
      <c r="E22" s="44" t="s">
        <v>5</v>
      </c>
    </row>
    <row r="23" spans="1:5" ht="15.75" customHeight="1">
      <c r="A23" s="45">
        <v>16</v>
      </c>
      <c r="B23" s="46" t="s">
        <v>396</v>
      </c>
      <c r="C23" s="45" t="s">
        <v>64</v>
      </c>
      <c r="D23" s="45" t="s">
        <v>256</v>
      </c>
      <c r="E23" s="44" t="s">
        <v>5</v>
      </c>
    </row>
    <row r="24" spans="1:5" ht="15.75" customHeight="1">
      <c r="A24" s="45">
        <v>17</v>
      </c>
      <c r="B24" s="46" t="s">
        <v>405</v>
      </c>
      <c r="C24" s="45" t="s">
        <v>64</v>
      </c>
      <c r="D24" s="45" t="s">
        <v>256</v>
      </c>
      <c r="E24" s="44" t="s">
        <v>5</v>
      </c>
    </row>
    <row r="25" spans="1:5" ht="15.75" customHeight="1">
      <c r="A25" s="45">
        <v>18</v>
      </c>
      <c r="B25" s="46" t="s">
        <v>414</v>
      </c>
      <c r="C25" s="45" t="s">
        <v>64</v>
      </c>
      <c r="D25" s="45" t="s">
        <v>256</v>
      </c>
      <c r="E25" s="44" t="s">
        <v>5</v>
      </c>
    </row>
    <row r="26" spans="1:5" ht="15.75" customHeight="1">
      <c r="A26" s="45">
        <v>19</v>
      </c>
      <c r="B26" s="46" t="s">
        <v>423</v>
      </c>
      <c r="C26" s="45" t="s">
        <v>64</v>
      </c>
      <c r="D26" s="45" t="s">
        <v>256</v>
      </c>
      <c r="E26" s="44" t="s">
        <v>325</v>
      </c>
    </row>
    <row r="27" spans="1:5" ht="15.75" customHeight="1">
      <c r="A27" s="45">
        <v>20</v>
      </c>
      <c r="B27" s="46" t="s">
        <v>432</v>
      </c>
      <c r="C27" s="45" t="s">
        <v>64</v>
      </c>
      <c r="D27" s="45" t="s">
        <v>256</v>
      </c>
      <c r="E27" s="44" t="s">
        <v>5</v>
      </c>
    </row>
    <row r="28" spans="1:5" ht="15.75" customHeight="1">
      <c r="A28" s="45">
        <v>21</v>
      </c>
      <c r="B28" s="46" t="s">
        <v>442</v>
      </c>
      <c r="C28" s="45" t="s">
        <v>64</v>
      </c>
      <c r="D28" s="45" t="s">
        <v>256</v>
      </c>
      <c r="E28" s="44" t="s">
        <v>5</v>
      </c>
    </row>
    <row r="29" spans="1:5" ht="15.75" customHeight="1">
      <c r="A29" s="45">
        <v>22</v>
      </c>
      <c r="B29" s="46" t="s">
        <v>449</v>
      </c>
      <c r="C29" s="45" t="s">
        <v>64</v>
      </c>
      <c r="D29" s="45" t="s">
        <v>256</v>
      </c>
      <c r="E29" s="44" t="s">
        <v>5</v>
      </c>
    </row>
    <row r="30" spans="1:5" ht="15.75" customHeight="1">
      <c r="A30" s="45">
        <v>23</v>
      </c>
      <c r="B30" s="46" t="s">
        <v>457</v>
      </c>
      <c r="C30" s="45" t="s">
        <v>64</v>
      </c>
      <c r="D30" s="45" t="s">
        <v>256</v>
      </c>
      <c r="E30" s="44" t="s">
        <v>5</v>
      </c>
    </row>
    <row r="31" spans="1:5" ht="15.75" customHeight="1">
      <c r="A31" s="45">
        <v>24</v>
      </c>
      <c r="B31" s="46" t="s">
        <v>463</v>
      </c>
      <c r="C31" s="45" t="s">
        <v>64</v>
      </c>
      <c r="D31" s="45" t="s">
        <v>256</v>
      </c>
      <c r="E31" s="44" t="s">
        <v>5</v>
      </c>
    </row>
    <row r="32" spans="1:5" ht="15.75" customHeight="1">
      <c r="A32" s="28">
        <v>25</v>
      </c>
      <c r="B32" s="29" t="s">
        <v>469</v>
      </c>
      <c r="C32" s="30" t="s">
        <v>64</v>
      </c>
      <c r="D32" s="30" t="s">
        <v>256</v>
      </c>
      <c r="E32" s="44" t="s">
        <v>69</v>
      </c>
    </row>
    <row r="33" spans="1:5" ht="15.75" customHeight="1">
      <c r="A33" s="28">
        <v>26</v>
      </c>
      <c r="B33" s="29" t="s">
        <v>477</v>
      </c>
      <c r="C33" s="30" t="s">
        <v>64</v>
      </c>
      <c r="D33" s="30" t="s">
        <v>256</v>
      </c>
      <c r="E33" s="44" t="s">
        <v>69</v>
      </c>
    </row>
    <row r="34" spans="1:5" ht="15.75" customHeight="1">
      <c r="A34" s="28">
        <v>27</v>
      </c>
      <c r="B34" s="29" t="s">
        <v>485</v>
      </c>
      <c r="C34" s="30" t="s">
        <v>64</v>
      </c>
      <c r="D34" s="30" t="s">
        <v>256</v>
      </c>
      <c r="E34" s="44" t="s">
        <v>69</v>
      </c>
    </row>
    <row r="35" spans="1:5" ht="15.75" customHeight="1">
      <c r="A35" s="28">
        <v>28</v>
      </c>
      <c r="B35" s="29" t="s">
        <v>493</v>
      </c>
      <c r="C35" s="30" t="s">
        <v>64</v>
      </c>
      <c r="D35" s="30" t="s">
        <v>256</v>
      </c>
      <c r="E35" s="44" t="s">
        <v>69</v>
      </c>
    </row>
    <row r="36" spans="1:5" ht="15.75" customHeight="1">
      <c r="A36" s="28">
        <v>29</v>
      </c>
      <c r="B36" s="29" t="s">
        <v>501</v>
      </c>
      <c r="C36" s="30" t="s">
        <v>64</v>
      </c>
      <c r="D36" s="30" t="s">
        <v>256</v>
      </c>
      <c r="E36" s="44" t="s">
        <v>69</v>
      </c>
    </row>
    <row r="37" spans="1:5" ht="15.75" customHeight="1">
      <c r="A37" s="28">
        <v>30</v>
      </c>
      <c r="B37" s="29" t="s">
        <v>509</v>
      </c>
      <c r="C37" s="30" t="s">
        <v>64</v>
      </c>
      <c r="D37" s="30" t="s">
        <v>256</v>
      </c>
      <c r="E37" s="44" t="s">
        <v>69</v>
      </c>
    </row>
    <row r="38" spans="1:5" ht="15.75" customHeight="1">
      <c r="A38" s="28">
        <v>31</v>
      </c>
      <c r="B38" s="29" t="s">
        <v>517</v>
      </c>
      <c r="C38" s="30" t="s">
        <v>64</v>
      </c>
      <c r="D38" s="30" t="s">
        <v>256</v>
      </c>
      <c r="E38" s="44" t="s">
        <v>69</v>
      </c>
    </row>
    <row r="39" spans="1:5" ht="15.75" customHeight="1">
      <c r="A39" s="28">
        <v>32</v>
      </c>
      <c r="B39" s="29" t="s">
        <v>525</v>
      </c>
      <c r="C39" s="30" t="s">
        <v>64</v>
      </c>
      <c r="D39" s="30" t="s">
        <v>256</v>
      </c>
      <c r="E39" s="44" t="s">
        <v>69</v>
      </c>
    </row>
    <row r="40" spans="1:5" ht="15.75" customHeight="1">
      <c r="A40" s="28">
        <v>33</v>
      </c>
      <c r="B40" s="29" t="s">
        <v>533</v>
      </c>
      <c r="C40" s="30" t="s">
        <v>64</v>
      </c>
      <c r="D40" s="30" t="s">
        <v>256</v>
      </c>
      <c r="E40" s="44" t="s">
        <v>69</v>
      </c>
    </row>
    <row r="41" spans="1:5" ht="15.75" customHeight="1">
      <c r="A41" s="28">
        <v>1</v>
      </c>
      <c r="B41" s="29" t="s">
        <v>540</v>
      </c>
      <c r="C41" s="30" t="s">
        <v>548</v>
      </c>
      <c r="D41" s="30" t="s">
        <v>256</v>
      </c>
      <c r="E41" s="44" t="s">
        <v>69</v>
      </c>
    </row>
    <row r="42" spans="1:5" ht="15.75" customHeight="1">
      <c r="A42" s="28">
        <v>2</v>
      </c>
      <c r="B42" s="29" t="s">
        <v>549</v>
      </c>
      <c r="C42" s="30" t="s">
        <v>548</v>
      </c>
      <c r="D42" s="30" t="s">
        <v>256</v>
      </c>
      <c r="E42" s="44" t="s">
        <v>69</v>
      </c>
    </row>
    <row r="43" spans="1:5" ht="15.75" customHeight="1">
      <c r="A43" s="28">
        <v>3</v>
      </c>
      <c r="B43" s="29" t="s">
        <v>558</v>
      </c>
      <c r="C43" s="30" t="s">
        <v>548</v>
      </c>
      <c r="D43" s="30" t="s">
        <v>256</v>
      </c>
      <c r="E43" s="44" t="s">
        <v>69</v>
      </c>
    </row>
    <row r="44" spans="1:5" ht="15.75" customHeight="1">
      <c r="A44" s="28">
        <v>4</v>
      </c>
      <c r="B44" s="29" t="s">
        <v>566</v>
      </c>
      <c r="C44" s="30" t="s">
        <v>204</v>
      </c>
      <c r="D44" s="30" t="s">
        <v>256</v>
      </c>
      <c r="E44" s="44" t="s">
        <v>69</v>
      </c>
    </row>
    <row r="45" spans="1:5" ht="15.75" customHeight="1">
      <c r="A45" s="28">
        <v>5</v>
      </c>
      <c r="B45" s="29" t="s">
        <v>573</v>
      </c>
      <c r="C45" s="30" t="s">
        <v>204</v>
      </c>
      <c r="D45" s="30" t="s">
        <v>256</v>
      </c>
      <c r="E45" s="44" t="s">
        <v>69</v>
      </c>
    </row>
    <row r="46" spans="1:5" ht="15.75" customHeight="1">
      <c r="A46" s="28">
        <v>6</v>
      </c>
      <c r="B46" s="29" t="s">
        <v>581</v>
      </c>
      <c r="C46" s="30" t="s">
        <v>204</v>
      </c>
      <c r="D46" s="30" t="s">
        <v>256</v>
      </c>
      <c r="E46" s="44" t="s">
        <v>69</v>
      </c>
    </row>
    <row r="47" spans="1:5" ht="15.75" customHeight="1">
      <c r="A47" s="28">
        <v>7</v>
      </c>
      <c r="B47" s="29" t="s">
        <v>590</v>
      </c>
      <c r="C47" s="30" t="s">
        <v>204</v>
      </c>
      <c r="D47" s="30" t="s">
        <v>256</v>
      </c>
      <c r="E47" s="44" t="s">
        <v>69</v>
      </c>
    </row>
    <row r="48" spans="1:5" ht="15.75" customHeight="1">
      <c r="A48" s="28">
        <v>8</v>
      </c>
      <c r="B48" s="29" t="s">
        <v>598</v>
      </c>
      <c r="C48" s="30" t="s">
        <v>204</v>
      </c>
      <c r="D48" s="30" t="s">
        <v>256</v>
      </c>
      <c r="E48" s="44" t="s">
        <v>69</v>
      </c>
    </row>
    <row r="49" spans="1:5" ht="15.75" customHeight="1">
      <c r="A49" s="28">
        <v>9</v>
      </c>
      <c r="B49" s="29" t="s">
        <v>606</v>
      </c>
      <c r="C49" s="30" t="s">
        <v>204</v>
      </c>
      <c r="D49" s="30" t="s">
        <v>256</v>
      </c>
      <c r="E49" s="44" t="s">
        <v>69</v>
      </c>
    </row>
    <row r="50" spans="1:5" ht="15.75" customHeight="1">
      <c r="A50" s="28">
        <v>10</v>
      </c>
      <c r="B50" s="29" t="s">
        <v>613</v>
      </c>
      <c r="C50" s="30" t="s">
        <v>204</v>
      </c>
      <c r="D50" s="30" t="s">
        <v>256</v>
      </c>
      <c r="E50" s="44" t="s">
        <v>69</v>
      </c>
    </row>
  </sheetData>
  <mergeCells count="1">
    <mergeCell ref="A1:E3"/>
  </mergeCells>
  <conditionalFormatting sqref="A4:D7 E4:E50 A32:D50 A1:E3">
    <cfRule type="expression" dxfId="1718" priority="2">
      <formula>$Z$6:$Z$20806="REMANEJADO"</formula>
    </cfRule>
  </conditionalFormatting>
  <conditionalFormatting sqref="A32:D50 A1:D7 E1:E50">
    <cfRule type="expression" dxfId="1717" priority="3">
      <formula>$E$5:$E$20001="CONTRATADO"</formula>
    </cfRule>
  </conditionalFormatting>
  <conditionalFormatting sqref="A4:D7 A32:D50 E4:E50 A1:E3">
    <cfRule type="expression" dxfId="1716" priority="4">
      <formula>$E$5:$E$20001="DESCLASSIFICADO"</formula>
    </cfRule>
  </conditionalFormatting>
  <conditionalFormatting sqref="A4:D7 A32:D50 E4:E50 A1:E3">
    <cfRule type="expression" dxfId="1715" priority="5">
      <formula>$E$5:$E$20001="REMANEJADO"</formula>
    </cfRule>
  </conditionalFormatting>
  <conditionalFormatting sqref="A4:D7 A32:D50 E4:E50 A1:E3">
    <cfRule type="expression" dxfId="1714" priority="6">
      <formula>$E$5:$E$20001="1ª CONVOCAÇÃO"</formula>
    </cfRule>
  </conditionalFormatting>
  <conditionalFormatting sqref="A4:D7 A32:D50 E4:E50 A1:E3">
    <cfRule type="expression" dxfId="1713" priority="7">
      <formula>$E$5:$E$20001="2ª CONVOCAÇÃO"</formula>
    </cfRule>
  </conditionalFormatting>
  <conditionalFormatting sqref="A4:D7 A32:D50 E4:E50 A1:E3">
    <cfRule type="expression" dxfId="1712" priority="8">
      <formula>$E$5:$E$20001="NÃO ATENDE/AGUARDANDO RETORNO"</formula>
    </cfRule>
  </conditionalFormatting>
  <conditionalFormatting sqref="A4:D7 E4:E50 A32:D50 A1:E3">
    <cfRule type="expression" dxfId="1711" priority="10">
      <formula>$Z$6:$Z$20001="DESCLASSIFICADO"</formula>
    </cfRule>
  </conditionalFormatting>
  <conditionalFormatting sqref="A4:D7 E4:E50 A32:D50 A1:E3">
    <cfRule type="expression" dxfId="1710" priority="11">
      <formula>$Z$6:$Z$20001="REMANEJADO"</formula>
    </cfRule>
  </conditionalFormatting>
  <conditionalFormatting sqref="A4:D7 E4:E50 A32:D50 A1:E3">
    <cfRule type="expression" dxfId="1709" priority="12">
      <formula>$Z$6:$Z$20001="1ª CONVOCAÇÃO"</formula>
    </cfRule>
  </conditionalFormatting>
  <conditionalFormatting sqref="A4:D7 E4:E50 A32:D50 A1:E3">
    <cfRule type="expression" dxfId="1708" priority="13">
      <formula>$Z$6:$Z$20001="2ª CONVOCAÇÃO"</formula>
    </cfRule>
  </conditionalFormatting>
  <conditionalFormatting sqref="A4:D7 E4:E50 A32:D50 A1:E3">
    <cfRule type="expression" dxfId="1707" priority="14">
      <formula>$Z$6:$Z$20001="NÃO ATENDE/AGUARDANDO RETORNO"</formula>
    </cfRule>
  </conditionalFormatting>
  <conditionalFormatting sqref="A4:D7 E4:E50 A32:D50 A1:E3">
    <cfRule type="expression" dxfId="1706" priority="15">
      <formula>$Z$6:$Z$20806="CONTRATADO"</formula>
    </cfRule>
  </conditionalFormatting>
  <conditionalFormatting sqref="A4:D7 E4:E50 A32:D50 A1:E3">
    <cfRule type="expression" dxfId="1705" priority="16">
      <formula>$Z$6:$Z$20806="DESCLASSIFICADO"</formula>
    </cfRule>
  </conditionalFormatting>
  <conditionalFormatting sqref="A4:D7 A32:D50 E4:E50 A1:E3">
    <cfRule type="expression" dxfId="1704" priority="17">
      <formula>$E$5:$E$20806="REMANEJADO"</formula>
    </cfRule>
  </conditionalFormatting>
  <conditionalFormatting sqref="A4:D7 E4:E50 A32:D50 A1:E3">
    <cfRule type="expression" dxfId="1703" priority="18">
      <formula>$Z$6:$Z$20806="1ª CONVOCAÇÃO"</formula>
    </cfRule>
  </conditionalFormatting>
  <conditionalFormatting sqref="A4:D7 A32:D50 E4:E50 A1:E3">
    <cfRule type="expression" dxfId="1702" priority="19">
      <formula>$E$5:$E$20806="2ª CONVOCAÇÃO"</formula>
    </cfRule>
  </conditionalFormatting>
  <conditionalFormatting sqref="A4:D7 A32:D50 E4:E50 A1:E3">
    <cfRule type="expression" dxfId="1701" priority="20">
      <formula>$E$5:$E$20806="NÃO ATENDE/AGUARDANDO RETORNO"</formula>
    </cfRule>
  </conditionalFormatting>
  <conditionalFormatting sqref="A4:D7 A32:D50 E4:E50 A1:E3">
    <cfRule type="expression" dxfId="1700" priority="21">
      <formula>$E$6:$E$20806="CONTRATADO"</formula>
    </cfRule>
  </conditionalFormatting>
  <dataValidations count="1">
    <dataValidation type="list" allowBlank="1" showErrorMessage="1" sqref="E5:E50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E3"/>
    </sheetView>
  </sheetViews>
  <sheetFormatPr defaultColWidth="14.42578125" defaultRowHeight="15"/>
  <cols>
    <col min="2" max="2" width="42.7109375" style="48" bestFit="1" customWidth="1"/>
    <col min="3" max="3" width="8" bestFit="1" customWidth="1"/>
    <col min="4" max="4" width="13.7109375" bestFit="1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4750</v>
      </c>
      <c r="C5" s="45" t="s">
        <v>64</v>
      </c>
      <c r="D5" s="45" t="s">
        <v>4757</v>
      </c>
      <c r="E5" s="21" t="s">
        <v>325</v>
      </c>
    </row>
    <row r="6" spans="1:5" ht="15.75" customHeight="1">
      <c r="A6" s="45">
        <v>2</v>
      </c>
      <c r="B6" s="51" t="s">
        <v>4758</v>
      </c>
      <c r="C6" s="45" t="s">
        <v>64</v>
      </c>
      <c r="D6" s="45" t="s">
        <v>4757</v>
      </c>
      <c r="E6" s="21" t="s">
        <v>325</v>
      </c>
    </row>
    <row r="7" spans="1:5" ht="15.75" customHeight="1">
      <c r="A7" s="45">
        <v>3</v>
      </c>
      <c r="B7" s="51" t="s">
        <v>4764</v>
      </c>
      <c r="C7" s="45" t="s">
        <v>64</v>
      </c>
      <c r="D7" s="45" t="s">
        <v>4757</v>
      </c>
      <c r="E7" s="21" t="s">
        <v>325</v>
      </c>
    </row>
    <row r="8" spans="1:5" ht="15.75" customHeight="1">
      <c r="A8" s="45">
        <v>4</v>
      </c>
      <c r="B8" s="51" t="s">
        <v>4770</v>
      </c>
      <c r="C8" s="45" t="s">
        <v>64</v>
      </c>
      <c r="D8" s="45" t="s">
        <v>4757</v>
      </c>
      <c r="E8" s="21" t="s">
        <v>6687</v>
      </c>
    </row>
  </sheetData>
  <mergeCells count="1">
    <mergeCell ref="A1:E3"/>
  </mergeCells>
  <conditionalFormatting sqref="A1:D4 E1:E8">
    <cfRule type="expression" dxfId="872" priority="12347">
      <formula>$E$5:$E$20001="CONTRATADO"</formula>
    </cfRule>
  </conditionalFormatting>
  <conditionalFormatting sqref="E5:E8 A1:E4">
    <cfRule type="expression" dxfId="871" priority="12350">
      <formula>$E$5:$E$20001="DESCLASSIFICADO"</formula>
    </cfRule>
  </conditionalFormatting>
  <conditionalFormatting sqref="E5:E8 A1:E4">
    <cfRule type="expression" dxfId="870" priority="12353">
      <formula>$E$5:$E$20001="REMANEJADO"</formula>
    </cfRule>
  </conditionalFormatting>
  <conditionalFormatting sqref="E5:E8 A1:E4">
    <cfRule type="expression" dxfId="869" priority="12356">
      <formula>$E$5:$E$20001="1ª CONVOCAÇÃO"</formula>
    </cfRule>
  </conditionalFormatting>
  <conditionalFormatting sqref="E5:E8 A1:E4">
    <cfRule type="expression" dxfId="868" priority="12359">
      <formula>$E$5:$E$20001="2ª CONVOCAÇÃO"</formula>
    </cfRule>
  </conditionalFormatting>
  <conditionalFormatting sqref="E5:E8 A1:E4">
    <cfRule type="expression" dxfId="867" priority="12362">
      <formula>$E$5:$E$20001="NÃO ATENDE/AGUARDANDO RETORNO"</formula>
    </cfRule>
  </conditionalFormatting>
  <conditionalFormatting sqref="E5:E8 A1:E4">
    <cfRule type="expression" dxfId="866" priority="12387">
      <formula>$E$5:$E$20806="REMANEJADO"</formula>
    </cfRule>
  </conditionalFormatting>
  <conditionalFormatting sqref="E5:E8 A1:E4">
    <cfRule type="expression" dxfId="865" priority="12393">
      <formula>$E$5:$E$20806="2ª CONVOCAÇÃO"</formula>
    </cfRule>
  </conditionalFormatting>
  <conditionalFormatting sqref="E5:E8 A1:E4">
    <cfRule type="expression" dxfId="864" priority="12396">
      <formula>$E$5:$E$20806="NÃO ATENDE/AGUARDANDO RETORNO"</formula>
    </cfRule>
  </conditionalFormatting>
  <conditionalFormatting sqref="E5:E8 A1:E4">
    <cfRule type="expression" dxfId="863" priority="12399">
      <formula>$E$6:$E$20806="CONTRATADO"</formula>
    </cfRule>
  </conditionalFormatting>
  <conditionalFormatting sqref="E5:E8 A1:E4">
    <cfRule type="expression" dxfId="862" priority="12568">
      <formula>$Z$6:$Z$20806="REMANEJADO"</formula>
    </cfRule>
  </conditionalFormatting>
  <conditionalFormatting sqref="E5:E8 A1:E4">
    <cfRule type="expression" dxfId="861" priority="12572">
      <formula>$Z$6:$Z$20001="DESCLASSIFICADO"</formula>
    </cfRule>
  </conditionalFormatting>
  <conditionalFormatting sqref="E5:E8 A1:E4">
    <cfRule type="expression" dxfId="860" priority="12576">
      <formula>$Z$6:$Z$20001="REMANEJADO"</formula>
    </cfRule>
  </conditionalFormatting>
  <conditionalFormatting sqref="E5:E8 A1:E4">
    <cfRule type="expression" dxfId="859" priority="12580">
      <formula>$Z$6:$Z$20001="1ª CONVOCAÇÃO"</formula>
    </cfRule>
  </conditionalFormatting>
  <conditionalFormatting sqref="E5:E8 A1:E4">
    <cfRule type="expression" dxfId="858" priority="12584">
      <formula>$Z$6:$Z$20001="2ª CONVOCAÇÃO"</formula>
    </cfRule>
  </conditionalFormatting>
  <conditionalFormatting sqref="E5:E8 A1:E4">
    <cfRule type="expression" dxfId="857" priority="12588">
      <formula>$Z$6:$Z$20001="NÃO ATENDE/AGUARDANDO RETORNO"</formula>
    </cfRule>
  </conditionalFormatting>
  <conditionalFormatting sqref="E5:E8 A1:E4">
    <cfRule type="expression" dxfId="856" priority="12592">
      <formula>$Z$6:$Z$20806="CONTRATADO"</formula>
    </cfRule>
  </conditionalFormatting>
  <conditionalFormatting sqref="E5:E8 A1:E4">
    <cfRule type="expression" dxfId="855" priority="12596">
      <formula>$Z$6:$Z$20806="DESCLASSIFICADO"</formula>
    </cfRule>
  </conditionalFormatting>
  <conditionalFormatting sqref="E5:E8 A1:E4">
    <cfRule type="expression" dxfId="854" priority="12600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ySplit="4" topLeftCell="A5" activePane="bottomLeft" state="frozen"/>
      <selection pane="bottomLeft" sqref="A1:E3"/>
    </sheetView>
  </sheetViews>
  <sheetFormatPr defaultColWidth="14.42578125" defaultRowHeight="15"/>
  <cols>
    <col min="2" max="2" width="46" style="48" bestFit="1" customWidth="1"/>
    <col min="3" max="3" width="16.28515625" customWidth="1"/>
    <col min="4" max="4" width="14.7109375" customWidth="1"/>
    <col min="5" max="5" width="39.570312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4775</v>
      </c>
      <c r="C5" s="45" t="s">
        <v>64</v>
      </c>
      <c r="D5" s="45" t="s">
        <v>4784</v>
      </c>
      <c r="E5" s="45" t="s">
        <v>5198</v>
      </c>
    </row>
    <row r="6" spans="1:5" ht="15.75" customHeight="1">
      <c r="A6" s="45">
        <v>2</v>
      </c>
      <c r="B6" s="51" t="s">
        <v>4785</v>
      </c>
      <c r="C6" s="45" t="s">
        <v>64</v>
      </c>
      <c r="D6" s="45" t="s">
        <v>4784</v>
      </c>
      <c r="E6" s="45" t="s">
        <v>325</v>
      </c>
    </row>
    <row r="7" spans="1:5" ht="15.75" customHeight="1">
      <c r="A7" s="45">
        <v>3</v>
      </c>
      <c r="B7" s="51" t="s">
        <v>4791</v>
      </c>
      <c r="C7" s="45" t="s">
        <v>64</v>
      </c>
      <c r="D7" s="45" t="s">
        <v>4784</v>
      </c>
      <c r="E7" s="45" t="s">
        <v>325</v>
      </c>
    </row>
    <row r="8" spans="1:5" ht="15.75" customHeight="1">
      <c r="A8" s="45">
        <v>4</v>
      </c>
      <c r="B8" s="51" t="s">
        <v>4799</v>
      </c>
      <c r="C8" s="45" t="s">
        <v>64</v>
      </c>
      <c r="D8" s="45" t="s">
        <v>4784</v>
      </c>
      <c r="E8" s="45" t="s">
        <v>69</v>
      </c>
    </row>
    <row r="9" spans="1:5" ht="15.75" customHeight="1">
      <c r="A9" s="45">
        <v>5</v>
      </c>
      <c r="B9" s="51" t="s">
        <v>4807</v>
      </c>
      <c r="C9" s="45" t="s">
        <v>64</v>
      </c>
      <c r="D9" s="45" t="s">
        <v>4784</v>
      </c>
      <c r="E9" s="45" t="s">
        <v>6686</v>
      </c>
    </row>
    <row r="10" spans="1:5" ht="15.75" customHeight="1">
      <c r="A10" s="45">
        <v>6</v>
      </c>
      <c r="B10" s="51" t="s">
        <v>4814</v>
      </c>
      <c r="C10" s="45" t="s">
        <v>64</v>
      </c>
      <c r="D10" s="45" t="s">
        <v>4784</v>
      </c>
      <c r="E10" s="45" t="s">
        <v>325</v>
      </c>
    </row>
    <row r="11" spans="1:5" ht="15.75" customHeight="1">
      <c r="A11" s="45">
        <v>7</v>
      </c>
      <c r="B11" s="51" t="s">
        <v>4823</v>
      </c>
      <c r="C11" s="45" t="s">
        <v>64</v>
      </c>
      <c r="D11" s="45" t="s">
        <v>4784</v>
      </c>
      <c r="E11" s="45" t="s">
        <v>325</v>
      </c>
    </row>
    <row r="12" spans="1:5" ht="15.75" customHeight="1">
      <c r="A12" s="45">
        <v>8</v>
      </c>
      <c r="B12" s="51" t="s">
        <v>4830</v>
      </c>
      <c r="C12" s="45" t="s">
        <v>64</v>
      </c>
      <c r="D12" s="45" t="s">
        <v>4784</v>
      </c>
      <c r="E12" s="45" t="s">
        <v>69</v>
      </c>
    </row>
    <row r="13" spans="1:5" ht="15.75" customHeight="1">
      <c r="A13" s="45">
        <v>9</v>
      </c>
      <c r="B13" s="51" t="s">
        <v>4837</v>
      </c>
      <c r="C13" s="45" t="s">
        <v>64</v>
      </c>
      <c r="D13" s="45" t="s">
        <v>4784</v>
      </c>
      <c r="E13" s="45" t="s">
        <v>69</v>
      </c>
    </row>
    <row r="14" spans="1:5" ht="15.75" customHeight="1">
      <c r="A14" s="45">
        <v>10</v>
      </c>
      <c r="B14" s="51" t="s">
        <v>4843</v>
      </c>
      <c r="C14" s="45" t="s">
        <v>64</v>
      </c>
      <c r="D14" s="45" t="s">
        <v>4784</v>
      </c>
      <c r="E14" s="45" t="s">
        <v>69</v>
      </c>
    </row>
    <row r="15" spans="1:5" ht="15.75" customHeight="1">
      <c r="A15" s="45">
        <v>11</v>
      </c>
      <c r="B15" s="51" t="s">
        <v>4849</v>
      </c>
      <c r="C15" s="45" t="s">
        <v>64</v>
      </c>
      <c r="D15" s="45" t="s">
        <v>4784</v>
      </c>
      <c r="E15" s="45" t="s">
        <v>325</v>
      </c>
    </row>
    <row r="16" spans="1:5" ht="15.75" customHeight="1">
      <c r="A16" s="45">
        <v>12</v>
      </c>
      <c r="B16" s="51" t="s">
        <v>4856</v>
      </c>
      <c r="C16" s="45" t="s">
        <v>64</v>
      </c>
      <c r="D16" s="45" t="s">
        <v>4784</v>
      </c>
      <c r="E16" s="45" t="s">
        <v>69</v>
      </c>
    </row>
    <row r="17" spans="1:5" ht="15.75" customHeight="1">
      <c r="A17" s="45">
        <v>13</v>
      </c>
      <c r="B17" s="51" t="s">
        <v>4863</v>
      </c>
      <c r="C17" s="45" t="s">
        <v>64</v>
      </c>
      <c r="D17" s="45" t="s">
        <v>4784</v>
      </c>
      <c r="E17" s="45" t="s">
        <v>69</v>
      </c>
    </row>
    <row r="18" spans="1:5" ht="15.75" customHeight="1">
      <c r="A18" s="45">
        <v>14</v>
      </c>
      <c r="B18" s="51" t="s">
        <v>4869</v>
      </c>
      <c r="C18" s="45" t="s">
        <v>64</v>
      </c>
      <c r="D18" s="45" t="s">
        <v>4784</v>
      </c>
      <c r="E18" s="45" t="s">
        <v>69</v>
      </c>
    </row>
    <row r="19" spans="1:5" ht="15.75" customHeight="1">
      <c r="A19" s="45">
        <v>15</v>
      </c>
      <c r="B19" s="51" t="s">
        <v>4876</v>
      </c>
      <c r="C19" s="45" t="s">
        <v>64</v>
      </c>
      <c r="D19" s="45" t="s">
        <v>4784</v>
      </c>
      <c r="E19" s="45" t="s">
        <v>69</v>
      </c>
    </row>
    <row r="20" spans="1:5" ht="15.75" customHeight="1">
      <c r="A20" s="45">
        <v>16</v>
      </c>
      <c r="B20" s="51" t="s">
        <v>4883</v>
      </c>
      <c r="C20" s="45" t="s">
        <v>64</v>
      </c>
      <c r="D20" s="45" t="s">
        <v>4784</v>
      </c>
      <c r="E20" s="45" t="s">
        <v>69</v>
      </c>
    </row>
    <row r="21" spans="1:5" ht="15.75" customHeight="1">
      <c r="A21" s="45">
        <v>17</v>
      </c>
      <c r="B21" s="51" t="s">
        <v>4889</v>
      </c>
      <c r="C21" s="45" t="s">
        <v>64</v>
      </c>
      <c r="D21" s="45" t="s">
        <v>4784</v>
      </c>
      <c r="E21" s="45" t="s">
        <v>69</v>
      </c>
    </row>
    <row r="22" spans="1:5" ht="15.75" customHeight="1">
      <c r="A22" s="45">
        <v>18</v>
      </c>
      <c r="B22" s="51" t="s">
        <v>4897</v>
      </c>
      <c r="C22" s="45" t="s">
        <v>64</v>
      </c>
      <c r="D22" s="45" t="s">
        <v>4784</v>
      </c>
      <c r="E22" s="45" t="s">
        <v>69</v>
      </c>
    </row>
    <row r="23" spans="1:5" ht="15.75" customHeight="1">
      <c r="A23" s="45">
        <v>19</v>
      </c>
      <c r="B23" s="51" t="s">
        <v>4905</v>
      </c>
      <c r="C23" s="45" t="s">
        <v>64</v>
      </c>
      <c r="D23" s="45" t="s">
        <v>4784</v>
      </c>
      <c r="E23" s="45" t="s">
        <v>325</v>
      </c>
    </row>
    <row r="24" spans="1:5" ht="15.75" customHeight="1">
      <c r="A24" s="45">
        <v>1</v>
      </c>
      <c r="B24" s="51" t="s">
        <v>4913</v>
      </c>
      <c r="C24" s="45" t="s">
        <v>4235</v>
      </c>
      <c r="D24" s="45" t="s">
        <v>4784</v>
      </c>
      <c r="E24" s="45" t="s">
        <v>69</v>
      </c>
    </row>
  </sheetData>
  <mergeCells count="1">
    <mergeCell ref="A1:E3"/>
  </mergeCells>
  <conditionalFormatting sqref="A1:E4">
    <cfRule type="expression" dxfId="853" priority="3">
      <formula>$E$5:$E$20001="CONTRATADO"</formula>
    </cfRule>
  </conditionalFormatting>
  <conditionalFormatting sqref="A1:E4">
    <cfRule type="expression" dxfId="852" priority="4">
      <formula>$E$5:$E$20001="DESCLASSIFICADO"</formula>
    </cfRule>
  </conditionalFormatting>
  <conditionalFormatting sqref="A1:E4">
    <cfRule type="expression" dxfId="851" priority="5">
      <formula>$E$5:$E$20001="REMANEJADO"</formula>
    </cfRule>
  </conditionalFormatting>
  <conditionalFormatting sqref="A1:E4">
    <cfRule type="expression" dxfId="850" priority="6">
      <formula>$E$5:$E$20001="1ª CONVOCAÇÃO"</formula>
    </cfRule>
  </conditionalFormatting>
  <conditionalFormatting sqref="A1:E4">
    <cfRule type="expression" dxfId="849" priority="7">
      <formula>$E$5:$E$20001="2ª CONVOCAÇÃO"</formula>
    </cfRule>
  </conditionalFormatting>
  <conditionalFormatting sqref="A1:E4">
    <cfRule type="expression" dxfId="848" priority="8">
      <formula>$E$5:$E$20001="NÃO ATENDE/AGUARDANDO RETORNO"</formula>
    </cfRule>
  </conditionalFormatting>
  <conditionalFormatting sqref="A1:E4">
    <cfRule type="expression" dxfId="847" priority="17">
      <formula>$E$5:$E$20806="REMANEJADO"</formula>
    </cfRule>
  </conditionalFormatting>
  <conditionalFormatting sqref="A1:E4">
    <cfRule type="expression" dxfId="846" priority="19">
      <formula>$E$5:$E$20806="2ª CONVOCAÇÃO"</formula>
    </cfRule>
  </conditionalFormatting>
  <conditionalFormatting sqref="A1:E4">
    <cfRule type="expression" dxfId="845" priority="20">
      <formula>$E$5:$E$20806="NÃO ATENDE/AGUARDANDO RETORNO"</formula>
    </cfRule>
  </conditionalFormatting>
  <conditionalFormatting sqref="A1:E4">
    <cfRule type="expression" dxfId="844" priority="21">
      <formula>$E$6:$E$20806="CONTRATADO"</formula>
    </cfRule>
  </conditionalFormatting>
  <conditionalFormatting sqref="A1:E4">
    <cfRule type="expression" dxfId="843" priority="13034">
      <formula>$Z$6:$Z$20806="REMANEJADO"</formula>
    </cfRule>
  </conditionalFormatting>
  <conditionalFormatting sqref="A1:E4">
    <cfRule type="expression" dxfId="842" priority="13037">
      <formula>$Z$6:$Z$20001="DESCLASSIFICADO"</formula>
    </cfRule>
  </conditionalFormatting>
  <conditionalFormatting sqref="A1:E4">
    <cfRule type="expression" dxfId="841" priority="13040">
      <formula>$Z$6:$Z$20001="REMANEJADO"</formula>
    </cfRule>
  </conditionalFormatting>
  <conditionalFormatting sqref="A1:E4">
    <cfRule type="expression" dxfId="840" priority="13043">
      <formula>$Z$6:$Z$20001="1ª CONVOCAÇÃO"</formula>
    </cfRule>
  </conditionalFormatting>
  <conditionalFormatting sqref="A1:E4">
    <cfRule type="expression" dxfId="839" priority="13046">
      <formula>$Z$6:$Z$20001="2ª CONVOCAÇÃO"</formula>
    </cfRule>
  </conditionalFormatting>
  <conditionalFormatting sqref="A1:E4">
    <cfRule type="expression" dxfId="838" priority="13049">
      <formula>$Z$6:$Z$20001="NÃO ATENDE/AGUARDANDO RETORNO"</formula>
    </cfRule>
  </conditionalFormatting>
  <conditionalFormatting sqref="A1:E4">
    <cfRule type="expression" dxfId="837" priority="13052">
      <formula>$Z$6:$Z$20806="CONTRATADO"</formula>
    </cfRule>
  </conditionalFormatting>
  <conditionalFormatting sqref="A1:E4">
    <cfRule type="expression" dxfId="836" priority="13055">
      <formula>$Z$6:$Z$20806="DESCLASSIFICADO"</formula>
    </cfRule>
  </conditionalFormatting>
  <conditionalFormatting sqref="A1:E4">
    <cfRule type="expression" dxfId="835" priority="13058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7.7109375" style="48" bestFit="1" customWidth="1"/>
    <col min="3" max="3" width="8" bestFit="1" customWidth="1"/>
    <col min="4" max="4" width="14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3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4920</v>
      </c>
      <c r="C5" s="45" t="s">
        <v>64</v>
      </c>
      <c r="D5" s="45" t="s">
        <v>4929</v>
      </c>
      <c r="E5" s="21" t="s">
        <v>325</v>
      </c>
    </row>
  </sheetData>
  <mergeCells count="1">
    <mergeCell ref="A1:E3"/>
  </mergeCells>
  <conditionalFormatting sqref="A1:D4 E1:E5">
    <cfRule type="expression" dxfId="834" priority="13268">
      <formula>$E$5:$E$20001="CONTRATADO"</formula>
    </cfRule>
  </conditionalFormatting>
  <conditionalFormatting sqref="E5 A1:E4">
    <cfRule type="expression" dxfId="833" priority="13271">
      <formula>$E$5:$E$20001="DESCLASSIFICADO"</formula>
    </cfRule>
  </conditionalFormatting>
  <conditionalFormatting sqref="E5 A1:E4">
    <cfRule type="expression" dxfId="832" priority="13274">
      <formula>$E$5:$E$20001="REMANEJADO"</formula>
    </cfRule>
  </conditionalFormatting>
  <conditionalFormatting sqref="E5 A1:E4">
    <cfRule type="expression" dxfId="831" priority="13277">
      <formula>$E$5:$E$20001="1ª CONVOCAÇÃO"</formula>
    </cfRule>
  </conditionalFormatting>
  <conditionalFormatting sqref="E5 A1:E4">
    <cfRule type="expression" dxfId="830" priority="13280">
      <formula>$E$5:$E$20001="2ª CONVOCAÇÃO"</formula>
    </cfRule>
  </conditionalFormatting>
  <conditionalFormatting sqref="E5 A1:E4">
    <cfRule type="expression" dxfId="829" priority="13283">
      <formula>$E$5:$E$20001="NÃO ATENDE/AGUARDANDO RETORNO"</formula>
    </cfRule>
  </conditionalFormatting>
  <conditionalFormatting sqref="E5 A1:E4">
    <cfRule type="expression" dxfId="828" priority="13286">
      <formula>$E$5:$E$20806="REMANEJADO"</formula>
    </cfRule>
  </conditionalFormatting>
  <conditionalFormatting sqref="E5 A1:E4">
    <cfRule type="expression" dxfId="827" priority="13289">
      <formula>$E$5:$E$20806="2ª CONVOCAÇÃO"</formula>
    </cfRule>
  </conditionalFormatting>
  <conditionalFormatting sqref="E5 A1:E4">
    <cfRule type="expression" dxfId="826" priority="13292">
      <formula>$E$5:$E$20806="NÃO ATENDE/AGUARDANDO RETORNO"</formula>
    </cfRule>
  </conditionalFormatting>
  <conditionalFormatting sqref="E5 A1:E4">
    <cfRule type="expression" dxfId="825" priority="13295">
      <formula>$E$6:$E$20806="CONTRATADO"</formula>
    </cfRule>
  </conditionalFormatting>
  <conditionalFormatting sqref="E5 A1:E4">
    <cfRule type="expression" dxfId="824" priority="13298">
      <formula>$Z$6:$Z$20806="REMANEJADO"</formula>
    </cfRule>
  </conditionalFormatting>
  <conditionalFormatting sqref="E5 A1:E4">
    <cfRule type="expression" dxfId="823" priority="13301">
      <formula>$Z$6:$Z$20001="DESCLASSIFICADO"</formula>
    </cfRule>
  </conditionalFormatting>
  <conditionalFormatting sqref="E5 A1:E4">
    <cfRule type="expression" dxfId="822" priority="13304">
      <formula>$Z$6:$Z$20001="REMANEJADO"</formula>
    </cfRule>
  </conditionalFormatting>
  <conditionalFormatting sqref="E5 A1:E4">
    <cfRule type="expression" dxfId="821" priority="13307">
      <formula>$Z$6:$Z$20001="1ª CONVOCAÇÃO"</formula>
    </cfRule>
  </conditionalFormatting>
  <conditionalFormatting sqref="E5 A1:E4">
    <cfRule type="expression" dxfId="820" priority="13310">
      <formula>$Z$6:$Z$20001="2ª CONVOCAÇÃO"</formula>
    </cfRule>
  </conditionalFormatting>
  <conditionalFormatting sqref="E5 A1:E4">
    <cfRule type="expression" dxfId="819" priority="13313">
      <formula>$Z$6:$Z$20001="NÃO ATENDE/AGUARDANDO RETORNO"</formula>
    </cfRule>
  </conditionalFormatting>
  <conditionalFormatting sqref="E5 A1:E4">
    <cfRule type="expression" dxfId="818" priority="13316">
      <formula>$Z$6:$Z$20806="CONTRATADO"</formula>
    </cfRule>
  </conditionalFormatting>
  <conditionalFormatting sqref="E5 A1:E4">
    <cfRule type="expression" dxfId="817" priority="13319">
      <formula>$Z$6:$Z$20806="DESCLASSIFICADO"</formula>
    </cfRule>
  </conditionalFormatting>
  <conditionalFormatting sqref="E5 A1:E4">
    <cfRule type="expression" dxfId="816" priority="13322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Normal="100" workbookViewId="0">
      <selection sqref="A1:E3"/>
    </sheetView>
  </sheetViews>
  <sheetFormatPr defaultColWidth="14.42578125" defaultRowHeight="15"/>
  <cols>
    <col min="2" max="2" width="46.42578125" bestFit="1" customWidth="1"/>
    <col min="3" max="3" width="8" bestFit="1" customWidth="1"/>
    <col min="4" max="4" width="13.1406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4930</v>
      </c>
      <c r="C5" s="30" t="s">
        <v>64</v>
      </c>
      <c r="D5" s="30" t="s">
        <v>4939</v>
      </c>
      <c r="E5" s="21" t="s">
        <v>69</v>
      </c>
    </row>
    <row r="6" spans="1:5" ht="15.75" customHeight="1">
      <c r="A6" s="28">
        <v>2</v>
      </c>
      <c r="B6" s="29" t="s">
        <v>4940</v>
      </c>
      <c r="C6" s="30" t="s">
        <v>64</v>
      </c>
      <c r="D6" s="30" t="s">
        <v>4939</v>
      </c>
      <c r="E6" s="21" t="s">
        <v>69</v>
      </c>
    </row>
    <row r="7" spans="1:5" ht="15.75" customHeight="1">
      <c r="A7" s="28">
        <v>3</v>
      </c>
      <c r="B7" s="29" t="s">
        <v>4948</v>
      </c>
      <c r="C7" s="30" t="s">
        <v>64</v>
      </c>
      <c r="D7" s="30" t="s">
        <v>4939</v>
      </c>
      <c r="E7" s="21" t="s">
        <v>69</v>
      </c>
    </row>
    <row r="8" spans="1:5" ht="15.75" customHeight="1">
      <c r="A8" s="28">
        <v>4</v>
      </c>
      <c r="B8" s="29" t="s">
        <v>4954</v>
      </c>
      <c r="C8" s="30" t="s">
        <v>64</v>
      </c>
      <c r="D8" s="30" t="s">
        <v>4939</v>
      </c>
      <c r="E8" s="21" t="s">
        <v>69</v>
      </c>
    </row>
    <row r="9" spans="1:5" ht="15.75" customHeight="1">
      <c r="A9" s="28">
        <v>5</v>
      </c>
      <c r="B9" s="29" t="s">
        <v>4962</v>
      </c>
      <c r="C9" s="30" t="s">
        <v>64</v>
      </c>
      <c r="D9" s="30" t="s">
        <v>4939</v>
      </c>
      <c r="E9" s="21" t="s">
        <v>69</v>
      </c>
    </row>
    <row r="10" spans="1:5" ht="15.75" customHeight="1">
      <c r="A10" s="28">
        <v>6</v>
      </c>
      <c r="B10" s="29" t="s">
        <v>4968</v>
      </c>
      <c r="C10" s="30" t="s">
        <v>64</v>
      </c>
      <c r="D10" s="30" t="s">
        <v>4939</v>
      </c>
      <c r="E10" s="21" t="s">
        <v>69</v>
      </c>
    </row>
    <row r="11" spans="1:5" ht="15.75" customHeight="1">
      <c r="A11" s="28">
        <v>7</v>
      </c>
      <c r="B11" s="29" t="s">
        <v>4975</v>
      </c>
      <c r="C11" s="30" t="s">
        <v>64</v>
      </c>
      <c r="D11" s="30" t="s">
        <v>4939</v>
      </c>
      <c r="E11" s="21" t="s">
        <v>69</v>
      </c>
    </row>
    <row r="12" spans="1:5" ht="15.75" customHeight="1">
      <c r="A12" s="28">
        <v>8</v>
      </c>
      <c r="B12" s="29" t="s">
        <v>4980</v>
      </c>
      <c r="C12" s="30" t="s">
        <v>64</v>
      </c>
      <c r="D12" s="30" t="s">
        <v>4939</v>
      </c>
      <c r="E12" s="21" t="s">
        <v>69</v>
      </c>
    </row>
  </sheetData>
  <mergeCells count="1">
    <mergeCell ref="A1:E3"/>
  </mergeCells>
  <conditionalFormatting sqref="E5:E12">
    <cfRule type="expression" dxfId="815" priority="2">
      <formula>$Z$6:$Z$20806="REMANEJADO"</formula>
    </cfRule>
  </conditionalFormatting>
  <conditionalFormatting sqref="E5:E12">
    <cfRule type="expression" dxfId="814" priority="3">
      <formula>$E$5:$E$20001="CONTRATADO"</formula>
    </cfRule>
  </conditionalFormatting>
  <conditionalFormatting sqref="E5:E12">
    <cfRule type="expression" dxfId="813" priority="4">
      <formula>$E$5:$E$20001="DESCLASSIFICADO"</formula>
    </cfRule>
  </conditionalFormatting>
  <conditionalFormatting sqref="E5:E12">
    <cfRule type="expression" dxfId="812" priority="5">
      <formula>$E$5:$E$20001="REMANEJADO"</formula>
    </cfRule>
  </conditionalFormatting>
  <conditionalFormatting sqref="E5:E12">
    <cfRule type="expression" dxfId="811" priority="6">
      <formula>$E$5:$E$20001="1ª CONVOCAÇÃO"</formula>
    </cfRule>
  </conditionalFormatting>
  <conditionalFormatting sqref="E5:E12">
    <cfRule type="expression" dxfId="810" priority="7">
      <formula>$E$5:$E$20001="2ª CONVOCAÇÃO"</formula>
    </cfRule>
  </conditionalFormatting>
  <conditionalFormatting sqref="E5:E12">
    <cfRule type="expression" dxfId="809" priority="8">
      <formula>$E$5:$E$20001="NÃO ATENDE/AGUARDANDO RETORNO"</formula>
    </cfRule>
  </conditionalFormatting>
  <conditionalFormatting sqref="E5:E12">
    <cfRule type="expression" dxfId="808" priority="9">
      <formula>$E$5:$E$20001="CONTRATADO"</formula>
    </cfRule>
  </conditionalFormatting>
  <conditionalFormatting sqref="E5:E12">
    <cfRule type="expression" dxfId="807" priority="10">
      <formula>$Z$6:$Z$20001="DESCLASSIFICADO"</formula>
    </cfRule>
  </conditionalFormatting>
  <conditionalFormatting sqref="E5:E12">
    <cfRule type="expression" dxfId="806" priority="11">
      <formula>$Z$6:$Z$20001="REMANEJADO"</formula>
    </cfRule>
  </conditionalFormatting>
  <conditionalFormatting sqref="E5:E12">
    <cfRule type="expression" dxfId="805" priority="12">
      <formula>$Z$6:$Z$20001="1ª CONVOCAÇÃO"</formula>
    </cfRule>
  </conditionalFormatting>
  <conditionalFormatting sqref="E5:E12">
    <cfRule type="expression" dxfId="804" priority="13">
      <formula>$Z$6:$Z$20001="2ª CONVOCAÇÃO"</formula>
    </cfRule>
  </conditionalFormatting>
  <conditionalFormatting sqref="E5:E12">
    <cfRule type="expression" dxfId="803" priority="14">
      <formula>$Z$6:$Z$20001="NÃO ATENDE/AGUARDANDO RETORNO"</formula>
    </cfRule>
  </conditionalFormatting>
  <conditionalFormatting sqref="E5:E12">
    <cfRule type="expression" dxfId="802" priority="15">
      <formula>$Z$6:$Z$20806="CONTRATADO"</formula>
    </cfRule>
  </conditionalFormatting>
  <conditionalFormatting sqref="E5:E12">
    <cfRule type="expression" dxfId="801" priority="16">
      <formula>$Z$6:$Z$20806="DESCLASSIFICADO"</formula>
    </cfRule>
  </conditionalFormatting>
  <conditionalFormatting sqref="E5:E12">
    <cfRule type="expression" dxfId="800" priority="17">
      <formula>$E$5:$E$20806="REMANEJADO"</formula>
    </cfRule>
  </conditionalFormatting>
  <conditionalFormatting sqref="E5:E12">
    <cfRule type="expression" dxfId="799" priority="18">
      <formula>$Z$6:$Z$20806="1ª CONVOCAÇÃO"</formula>
    </cfRule>
  </conditionalFormatting>
  <conditionalFormatting sqref="E5:E12">
    <cfRule type="expression" dxfId="798" priority="19">
      <formula>$E$5:$E$20806="2ª CONVOCAÇÃO"</formula>
    </cfRule>
  </conditionalFormatting>
  <conditionalFormatting sqref="E5:E12">
    <cfRule type="expression" dxfId="797" priority="20">
      <formula>$E$5:$E$20806="NÃO ATENDE/AGUARDANDO RETORNO"</formula>
    </cfRule>
  </conditionalFormatting>
  <conditionalFormatting sqref="E5:E12">
    <cfRule type="expression" dxfId="796" priority="21">
      <formula>$E$6:$E$20806="CONTRATADO"</formula>
    </cfRule>
  </conditionalFormatting>
  <conditionalFormatting sqref="E5:E12">
    <cfRule type="expression" dxfId="795" priority="22">
      <formula>#REF!="DISPONÍVEL"</formula>
    </cfRule>
  </conditionalFormatting>
  <conditionalFormatting sqref="E5:E12">
    <cfRule type="expression" dxfId="794" priority="23">
      <formula>#REF!="CONTRATADO"</formula>
    </cfRule>
  </conditionalFormatting>
  <conditionalFormatting sqref="E5:E12">
    <cfRule type="expression" dxfId="793" priority="24">
      <formula>#REF!="DESCLASSIFICADO"</formula>
    </cfRule>
  </conditionalFormatting>
  <conditionalFormatting sqref="E5:E12">
    <cfRule type="expression" dxfId="792" priority="25">
      <formula>#REF!="NÃO ATENDE/AGUARDANDO RETORNO"</formula>
    </cfRule>
  </conditionalFormatting>
  <conditionalFormatting sqref="E5:E12">
    <cfRule type="expression" dxfId="791" priority="26">
      <formula>#REF!="REMANEJADO"</formula>
    </cfRule>
  </conditionalFormatting>
  <conditionalFormatting sqref="E5:E12">
    <cfRule type="expression" dxfId="790" priority="27">
      <formula>#REF!="1ª CONVOCAÇÃO"</formula>
    </cfRule>
  </conditionalFormatting>
  <conditionalFormatting sqref="E5:E12">
    <cfRule type="expression" dxfId="789" priority="28">
      <formula>#REF!="2ª CONVOCAÇÃO"</formula>
    </cfRule>
  </conditionalFormatting>
  <dataValidations count="1">
    <dataValidation type="list" allowBlank="1" showErrorMessage="1" sqref="E5:E12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3.140625" style="48" bestFit="1" customWidth="1"/>
    <col min="3" max="3" width="8" bestFit="1" customWidth="1"/>
    <col min="4" max="4" width="26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4985</v>
      </c>
      <c r="C5" s="45" t="s">
        <v>64</v>
      </c>
      <c r="D5" s="45" t="s">
        <v>4992</v>
      </c>
      <c r="E5" s="21" t="s">
        <v>325</v>
      </c>
    </row>
  </sheetData>
  <mergeCells count="1">
    <mergeCell ref="A1:E3"/>
  </mergeCells>
  <conditionalFormatting sqref="A1:D4 E1:E5">
    <cfRule type="expression" dxfId="788" priority="13326">
      <formula>$E$5:$E$20001="CONTRATADO"</formula>
    </cfRule>
  </conditionalFormatting>
  <conditionalFormatting sqref="E5 A1:E4">
    <cfRule type="expression" dxfId="787" priority="13329">
      <formula>$E$5:$E$20001="DESCLASSIFICADO"</formula>
    </cfRule>
  </conditionalFormatting>
  <conditionalFormatting sqref="E5 A1:E4">
    <cfRule type="expression" dxfId="786" priority="13332">
      <formula>$E$5:$E$20001="REMANEJADO"</formula>
    </cfRule>
  </conditionalFormatting>
  <conditionalFormatting sqref="E5 A1:E4">
    <cfRule type="expression" dxfId="785" priority="13335">
      <formula>$E$5:$E$20001="1ª CONVOCAÇÃO"</formula>
    </cfRule>
  </conditionalFormatting>
  <conditionalFormatting sqref="E5 A1:E4">
    <cfRule type="expression" dxfId="784" priority="13338">
      <formula>$E$5:$E$20001="2ª CONVOCAÇÃO"</formula>
    </cfRule>
  </conditionalFormatting>
  <conditionalFormatting sqref="E5 A1:E4">
    <cfRule type="expression" dxfId="783" priority="13341">
      <formula>$E$5:$E$20001="NÃO ATENDE/AGUARDANDO RETORNO"</formula>
    </cfRule>
  </conditionalFormatting>
  <conditionalFormatting sqref="E5 A1:E4">
    <cfRule type="expression" dxfId="782" priority="13366">
      <formula>$E$5:$E$20806="REMANEJADO"</formula>
    </cfRule>
  </conditionalFormatting>
  <conditionalFormatting sqref="E5 A1:E4">
    <cfRule type="expression" dxfId="781" priority="13372">
      <formula>$E$5:$E$20806="2ª CONVOCAÇÃO"</formula>
    </cfRule>
  </conditionalFormatting>
  <conditionalFormatting sqref="E5 A1:E4">
    <cfRule type="expression" dxfId="780" priority="13375">
      <formula>$E$5:$E$20806="NÃO ATENDE/AGUARDANDO RETORNO"</formula>
    </cfRule>
  </conditionalFormatting>
  <conditionalFormatting sqref="E5 A1:E4">
    <cfRule type="expression" dxfId="779" priority="13378">
      <formula>$E$6:$E$20806="CONTRATADO"</formula>
    </cfRule>
  </conditionalFormatting>
  <conditionalFormatting sqref="E5 A1:E4">
    <cfRule type="expression" dxfId="778" priority="13547">
      <formula>$Z$6:$Z$20806="REMANEJADO"</formula>
    </cfRule>
  </conditionalFormatting>
  <conditionalFormatting sqref="E5 A1:E4">
    <cfRule type="expression" dxfId="777" priority="13551">
      <formula>$Z$6:$Z$20001="DESCLASSIFICADO"</formula>
    </cfRule>
  </conditionalFormatting>
  <conditionalFormatting sqref="E5 A1:E4">
    <cfRule type="expression" dxfId="776" priority="13555">
      <formula>$Z$6:$Z$20001="REMANEJADO"</formula>
    </cfRule>
  </conditionalFormatting>
  <conditionalFormatting sqref="E5 A1:E4">
    <cfRule type="expression" dxfId="775" priority="13559">
      <formula>$Z$6:$Z$20001="1ª CONVOCAÇÃO"</formula>
    </cfRule>
  </conditionalFormatting>
  <conditionalFormatting sqref="E5 A1:E4">
    <cfRule type="expression" dxfId="774" priority="13563">
      <formula>$Z$6:$Z$20001="2ª CONVOCAÇÃO"</formula>
    </cfRule>
  </conditionalFormatting>
  <conditionalFormatting sqref="E5 A1:E4">
    <cfRule type="expression" dxfId="773" priority="13567">
      <formula>$Z$6:$Z$20001="NÃO ATENDE/AGUARDANDO RETORNO"</formula>
    </cfRule>
  </conditionalFormatting>
  <conditionalFormatting sqref="E5 A1:E4">
    <cfRule type="expression" dxfId="772" priority="13571">
      <formula>$Z$6:$Z$20806="CONTRATADO"</formula>
    </cfRule>
  </conditionalFormatting>
  <conditionalFormatting sqref="E5 A1:E4">
    <cfRule type="expression" dxfId="771" priority="13575">
      <formula>$Z$6:$Z$20806="DESCLASSIFICADO"</formula>
    </cfRule>
  </conditionalFormatting>
  <conditionalFormatting sqref="E5 A1:E4">
    <cfRule type="expression" dxfId="770" priority="13579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sqref="A1:E3"/>
    </sheetView>
  </sheetViews>
  <sheetFormatPr defaultColWidth="14.42578125" defaultRowHeight="15"/>
  <cols>
    <col min="2" max="2" width="37.7109375" style="48" bestFit="1" customWidth="1"/>
    <col min="3" max="3" width="22.140625" customWidth="1"/>
    <col min="4" max="4" width="13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4993</v>
      </c>
      <c r="C5" s="45" t="s">
        <v>80</v>
      </c>
      <c r="D5" s="45" t="s">
        <v>5003</v>
      </c>
      <c r="E5" s="45" t="s">
        <v>69</v>
      </c>
    </row>
    <row r="6" spans="1:5" ht="15.75" customHeight="1">
      <c r="A6" s="45">
        <v>2</v>
      </c>
      <c r="B6" s="51" t="s">
        <v>5004</v>
      </c>
      <c r="C6" s="45" t="s">
        <v>80</v>
      </c>
      <c r="D6" s="45" t="s">
        <v>5003</v>
      </c>
      <c r="E6" s="45" t="s">
        <v>69</v>
      </c>
    </row>
    <row r="7" spans="1:5" ht="15.75" customHeight="1">
      <c r="A7" s="45">
        <v>1</v>
      </c>
      <c r="B7" s="51" t="s">
        <v>5010</v>
      </c>
      <c r="C7" s="45" t="s">
        <v>64</v>
      </c>
      <c r="D7" s="45" t="s">
        <v>5003</v>
      </c>
      <c r="E7" s="45" t="s">
        <v>325</v>
      </c>
    </row>
    <row r="8" spans="1:5" ht="15.75" customHeight="1">
      <c r="A8" s="45">
        <v>2</v>
      </c>
      <c r="B8" s="51" t="s">
        <v>5017</v>
      </c>
      <c r="C8" s="45" t="s">
        <v>64</v>
      </c>
      <c r="D8" s="45" t="s">
        <v>5003</v>
      </c>
      <c r="E8" s="45" t="s">
        <v>325</v>
      </c>
    </row>
    <row r="9" spans="1:5" ht="15.75" customHeight="1">
      <c r="A9" s="45">
        <v>3</v>
      </c>
      <c r="B9" s="51" t="s">
        <v>5026</v>
      </c>
      <c r="C9" s="45" t="s">
        <v>64</v>
      </c>
      <c r="D9" s="45" t="s">
        <v>5003</v>
      </c>
      <c r="E9" s="45" t="s">
        <v>325</v>
      </c>
    </row>
    <row r="10" spans="1:5" ht="15.75" customHeight="1">
      <c r="A10" s="45">
        <v>4</v>
      </c>
      <c r="B10" s="51" t="s">
        <v>5034</v>
      </c>
      <c r="C10" s="45" t="s">
        <v>64</v>
      </c>
      <c r="D10" s="45" t="s">
        <v>5003</v>
      </c>
      <c r="E10" s="45" t="s">
        <v>325</v>
      </c>
    </row>
    <row r="11" spans="1:5" ht="15.75" customHeight="1">
      <c r="A11" s="45">
        <v>5</v>
      </c>
      <c r="B11" s="51" t="s">
        <v>5042</v>
      </c>
      <c r="C11" s="45" t="s">
        <v>64</v>
      </c>
      <c r="D11" s="45" t="s">
        <v>5003</v>
      </c>
      <c r="E11" s="45" t="s">
        <v>325</v>
      </c>
    </row>
    <row r="12" spans="1:5" ht="15.75" customHeight="1">
      <c r="A12" s="45">
        <v>6</v>
      </c>
      <c r="B12" s="51" t="s">
        <v>5049</v>
      </c>
      <c r="C12" s="45" t="s">
        <v>64</v>
      </c>
      <c r="D12" s="45" t="s">
        <v>5003</v>
      </c>
      <c r="E12" s="45" t="s">
        <v>325</v>
      </c>
    </row>
    <row r="13" spans="1:5" ht="15.75" customHeight="1">
      <c r="A13" s="45">
        <v>7</v>
      </c>
      <c r="B13" s="51" t="s">
        <v>5056</v>
      </c>
      <c r="C13" s="45" t="s">
        <v>64</v>
      </c>
      <c r="D13" s="45" t="s">
        <v>5003</v>
      </c>
      <c r="E13" s="45" t="s">
        <v>7</v>
      </c>
    </row>
    <row r="14" spans="1:5" ht="15.75" customHeight="1">
      <c r="A14" s="45">
        <v>8</v>
      </c>
      <c r="B14" s="51" t="s">
        <v>5064</v>
      </c>
      <c r="C14" s="45" t="s">
        <v>64</v>
      </c>
      <c r="D14" s="45" t="s">
        <v>5003</v>
      </c>
      <c r="E14" s="45" t="s">
        <v>325</v>
      </c>
    </row>
    <row r="15" spans="1:5" ht="15.75" customHeight="1">
      <c r="A15" s="45">
        <v>9</v>
      </c>
      <c r="B15" s="51" t="s">
        <v>5070</v>
      </c>
      <c r="C15" s="45" t="s">
        <v>64</v>
      </c>
      <c r="D15" s="45" t="s">
        <v>5003</v>
      </c>
      <c r="E15" s="45" t="s">
        <v>5</v>
      </c>
    </row>
    <row r="16" spans="1:5" ht="15.75" customHeight="1">
      <c r="A16" s="45">
        <v>1</v>
      </c>
      <c r="B16" s="51" t="s">
        <v>5079</v>
      </c>
      <c r="C16" s="45" t="s">
        <v>204</v>
      </c>
      <c r="D16" s="45" t="s">
        <v>5003</v>
      </c>
      <c r="E16" s="45" t="s">
        <v>69</v>
      </c>
    </row>
    <row r="17" spans="1:5" ht="15.75" customHeight="1">
      <c r="A17" s="45">
        <v>2</v>
      </c>
      <c r="B17" s="51" t="s">
        <v>5087</v>
      </c>
      <c r="C17" s="45" t="s">
        <v>204</v>
      </c>
      <c r="D17" s="45" t="s">
        <v>5003</v>
      </c>
      <c r="E17" s="45" t="s">
        <v>69</v>
      </c>
    </row>
    <row r="18" spans="1:5" ht="15.75" customHeight="1">
      <c r="A18" s="45">
        <v>3</v>
      </c>
      <c r="B18" s="51" t="s">
        <v>5095</v>
      </c>
      <c r="C18" s="45" t="s">
        <v>204</v>
      </c>
      <c r="D18" s="45" t="s">
        <v>5003</v>
      </c>
      <c r="E18" s="45" t="s">
        <v>69</v>
      </c>
    </row>
    <row r="19" spans="1:5" ht="15.75" customHeight="1">
      <c r="A19" s="45">
        <v>4</v>
      </c>
      <c r="B19" s="51" t="s">
        <v>5104</v>
      </c>
      <c r="C19" s="45" t="s">
        <v>204</v>
      </c>
      <c r="D19" s="45" t="s">
        <v>5003</v>
      </c>
      <c r="E19" s="45" t="s">
        <v>69</v>
      </c>
    </row>
    <row r="20" spans="1:5" ht="15.75" customHeight="1">
      <c r="A20" s="45">
        <v>5</v>
      </c>
      <c r="B20" s="51" t="s">
        <v>5113</v>
      </c>
      <c r="C20" s="45" t="s">
        <v>204</v>
      </c>
      <c r="D20" s="45" t="s">
        <v>5003</v>
      </c>
      <c r="E20" s="45" t="s">
        <v>69</v>
      </c>
    </row>
  </sheetData>
  <mergeCells count="1">
    <mergeCell ref="A1:E3"/>
  </mergeCells>
  <conditionalFormatting sqref="A1:E4">
    <cfRule type="expression" dxfId="769" priority="3">
      <formula>$E$5:$E$20001="CONTRATADO"</formula>
    </cfRule>
  </conditionalFormatting>
  <conditionalFormatting sqref="A1:E4">
    <cfRule type="expression" dxfId="768" priority="4">
      <formula>$E$5:$E$20001="DESCLASSIFICADO"</formula>
    </cfRule>
  </conditionalFormatting>
  <conditionalFormatting sqref="A1:E4">
    <cfRule type="expression" dxfId="767" priority="5">
      <formula>$E$5:$E$20001="REMANEJADO"</formula>
    </cfRule>
  </conditionalFormatting>
  <conditionalFormatting sqref="A1:E4">
    <cfRule type="expression" dxfId="766" priority="6">
      <formula>$E$5:$E$20001="1ª CONVOCAÇÃO"</formula>
    </cfRule>
  </conditionalFormatting>
  <conditionalFormatting sqref="A1:E4">
    <cfRule type="expression" dxfId="765" priority="7">
      <formula>$E$5:$E$20001="2ª CONVOCAÇÃO"</formula>
    </cfRule>
  </conditionalFormatting>
  <conditionalFormatting sqref="A1:E4">
    <cfRule type="expression" dxfId="764" priority="8">
      <formula>$E$5:$E$20001="NÃO ATENDE/AGUARDANDO RETORNO"</formula>
    </cfRule>
  </conditionalFormatting>
  <conditionalFormatting sqref="A1:E4">
    <cfRule type="expression" dxfId="763" priority="17">
      <formula>$E$5:$E$20806="REMANEJADO"</formula>
    </cfRule>
  </conditionalFormatting>
  <conditionalFormatting sqref="A1:E4">
    <cfRule type="expression" dxfId="762" priority="19">
      <formula>$E$5:$E$20806="2ª CONVOCAÇÃO"</formula>
    </cfRule>
  </conditionalFormatting>
  <conditionalFormatting sqref="A1:E4">
    <cfRule type="expression" dxfId="761" priority="20">
      <formula>$E$5:$E$20806="NÃO ATENDE/AGUARDANDO RETORNO"</formula>
    </cfRule>
  </conditionalFormatting>
  <conditionalFormatting sqref="A1:E4">
    <cfRule type="expression" dxfId="760" priority="21">
      <formula>$E$6:$E$20806="CONTRATADO"</formula>
    </cfRule>
  </conditionalFormatting>
  <conditionalFormatting sqref="A1:E4">
    <cfRule type="expression" dxfId="759" priority="13708">
      <formula>$Y$6:$Y$20806="REMANEJADO"</formula>
    </cfRule>
  </conditionalFormatting>
  <conditionalFormatting sqref="A1:E4">
    <cfRule type="expression" dxfId="758" priority="13711">
      <formula>$Y$6:$Y$20001="DESCLASSIFICADO"</formula>
    </cfRule>
  </conditionalFormatting>
  <conditionalFormatting sqref="A1:E4">
    <cfRule type="expression" dxfId="757" priority="13714">
      <formula>$Y$6:$Y$20001="REMANEJADO"</formula>
    </cfRule>
  </conditionalFormatting>
  <conditionalFormatting sqref="A1:E4">
    <cfRule type="expression" dxfId="756" priority="13717">
      <formula>$Y$6:$Y$20001="1ª CONVOCAÇÃO"</formula>
    </cfRule>
  </conditionalFormatting>
  <conditionalFormatting sqref="A1:E4">
    <cfRule type="expression" dxfId="755" priority="13720">
      <formula>$Y$6:$Y$20001="2ª CONVOCAÇÃO"</formula>
    </cfRule>
  </conditionalFormatting>
  <conditionalFormatting sqref="A1:E4">
    <cfRule type="expression" dxfId="754" priority="13723">
      <formula>$Y$6:$Y$20001="NÃO ATENDE/AGUARDANDO RETORNO"</formula>
    </cfRule>
  </conditionalFormatting>
  <conditionalFormatting sqref="A1:E4">
    <cfRule type="expression" dxfId="753" priority="13726">
      <formula>$Y$6:$Y$20806="CONTRATADO"</formula>
    </cfRule>
  </conditionalFormatting>
  <conditionalFormatting sqref="A1:E4">
    <cfRule type="expression" dxfId="752" priority="13729">
      <formula>$Y$6:$Y$20806="DESCLASSIFICADO"</formula>
    </cfRule>
  </conditionalFormatting>
  <conditionalFormatting sqref="A1:E4">
    <cfRule type="expression" dxfId="751" priority="13732">
      <formula>$Y$6:$Y$20806="1ª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6"/>
  <sheetViews>
    <sheetView zoomScaleNormal="100" workbookViewId="0">
      <selection sqref="A1:E3"/>
    </sheetView>
  </sheetViews>
  <sheetFormatPr defaultColWidth="14.42578125" defaultRowHeight="15"/>
  <cols>
    <col min="2" max="2" width="38.140625" bestFit="1" customWidth="1"/>
    <col min="3" max="3" width="8" bestFit="1" customWidth="1"/>
    <col min="4" max="4" width="27.42578125" customWidth="1"/>
    <col min="5" max="5" width="19.14062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5120</v>
      </c>
      <c r="C5" s="30" t="s">
        <v>64</v>
      </c>
      <c r="D5" s="30" t="s">
        <v>5130</v>
      </c>
      <c r="E5" s="21" t="s">
        <v>69</v>
      </c>
    </row>
    <row r="6" spans="1:5" ht="15.75" customHeight="1">
      <c r="A6" s="28">
        <v>2</v>
      </c>
      <c r="B6" s="29" t="s">
        <v>5131</v>
      </c>
      <c r="C6" s="30" t="s">
        <v>64</v>
      </c>
      <c r="D6" s="30" t="s">
        <v>5130</v>
      </c>
      <c r="E6" s="21" t="s">
        <v>69</v>
      </c>
    </row>
  </sheetData>
  <mergeCells count="1">
    <mergeCell ref="A1:E3"/>
  </mergeCells>
  <conditionalFormatting sqref="A1:E6">
    <cfRule type="expression" dxfId="750" priority="14033">
      <formula>$E$5:$E$20001="CONTRATADO"</formula>
    </cfRule>
  </conditionalFormatting>
  <conditionalFormatting sqref="A1:E6">
    <cfRule type="expression" dxfId="749" priority="14035">
      <formula>$E$5:$E$20001="DESCLASSIFICADO"</formula>
    </cfRule>
  </conditionalFormatting>
  <conditionalFormatting sqref="A1:E6">
    <cfRule type="expression" dxfId="748" priority="14037">
      <formula>$E$5:$E$20001="REMANEJADO"</formula>
    </cfRule>
  </conditionalFormatting>
  <conditionalFormatting sqref="A1:E6">
    <cfRule type="expression" dxfId="747" priority="14039">
      <formula>$E$5:$E$20001="1ª CONVOCAÇÃO"</formula>
    </cfRule>
  </conditionalFormatting>
  <conditionalFormatting sqref="A1:E6">
    <cfRule type="expression" dxfId="746" priority="14041">
      <formula>$E$5:$E$20001="2ª CONVOCAÇÃO"</formula>
    </cfRule>
  </conditionalFormatting>
  <conditionalFormatting sqref="A1:E6">
    <cfRule type="expression" dxfId="745" priority="14043">
      <formula>$E$5:$E$20001="NÃO ATENDE/AGUARDANDO RETORNO"</formula>
    </cfRule>
  </conditionalFormatting>
  <conditionalFormatting sqref="A1:E6">
    <cfRule type="expression" dxfId="744" priority="14059">
      <formula>$E$5:$E$20806="REMANEJADO"</formula>
    </cfRule>
  </conditionalFormatting>
  <conditionalFormatting sqref="A1:E6">
    <cfRule type="expression" dxfId="743" priority="14063">
      <formula>$E$5:$E$20806="2ª CONVOCAÇÃO"</formula>
    </cfRule>
  </conditionalFormatting>
  <conditionalFormatting sqref="A1:E6">
    <cfRule type="expression" dxfId="742" priority="14065">
      <formula>$E$5:$E$20806="NÃO ATENDE/AGUARDANDO RETORNO"</formula>
    </cfRule>
  </conditionalFormatting>
  <conditionalFormatting sqref="A1:E6">
    <cfRule type="expression" dxfId="741" priority="14067">
      <formula>$E$6:$E$20806="CONTRATADO"</formula>
    </cfRule>
  </conditionalFormatting>
  <conditionalFormatting sqref="A1:E6">
    <cfRule type="expression" dxfId="740" priority="14156">
      <formula>$Z$6:$Z$20806="REMANEJADO"</formula>
    </cfRule>
  </conditionalFormatting>
  <conditionalFormatting sqref="A1:E6">
    <cfRule type="expression" dxfId="739" priority="14158">
      <formula>$Z$6:$Z$20001="DESCLASSIFICADO"</formula>
    </cfRule>
  </conditionalFormatting>
  <conditionalFormatting sqref="A1:E6">
    <cfRule type="expression" dxfId="738" priority="14160">
      <formula>$Z$6:$Z$20001="REMANEJADO"</formula>
    </cfRule>
  </conditionalFormatting>
  <conditionalFormatting sqref="A1:E6">
    <cfRule type="expression" dxfId="737" priority="14162">
      <formula>$Z$6:$Z$20001="1ª CONVOCAÇÃO"</formula>
    </cfRule>
  </conditionalFormatting>
  <conditionalFormatting sqref="A1:E6">
    <cfRule type="expression" dxfId="736" priority="14164">
      <formula>$Z$6:$Z$20001="2ª CONVOCAÇÃO"</formula>
    </cfRule>
  </conditionalFormatting>
  <conditionalFormatting sqref="A1:E6">
    <cfRule type="expression" dxfId="735" priority="14166">
      <formula>$Z$6:$Z$20001="NÃO ATENDE/AGUARDANDO RETORNO"</formula>
    </cfRule>
  </conditionalFormatting>
  <conditionalFormatting sqref="A1:E6">
    <cfRule type="expression" dxfId="734" priority="14168">
      <formula>$Z$6:$Z$20806="CONTRATADO"</formula>
    </cfRule>
  </conditionalFormatting>
  <conditionalFormatting sqref="A1:E6">
    <cfRule type="expression" dxfId="733" priority="14170">
      <formula>$Z$6:$Z$20806="DESCLASSIFICADO"</formula>
    </cfRule>
  </conditionalFormatting>
  <conditionalFormatting sqref="A1:E6">
    <cfRule type="expression" dxfId="732" priority="14172">
      <formula>$Z$6:$Z$20806="1ª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sqref="A1:E3"/>
    </sheetView>
  </sheetViews>
  <sheetFormatPr defaultColWidth="14.42578125" defaultRowHeight="15"/>
  <cols>
    <col min="2" max="2" width="34.42578125" style="48" bestFit="1" customWidth="1"/>
    <col min="4" max="4" width="18.140625" customWidth="1"/>
    <col min="5" max="5" width="22.14062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5137</v>
      </c>
      <c r="C5" s="45" t="s">
        <v>64</v>
      </c>
      <c r="D5" s="45" t="s">
        <v>5147</v>
      </c>
      <c r="E5" s="21" t="s">
        <v>325</v>
      </c>
    </row>
    <row r="6" spans="1:5" ht="15.75" customHeight="1">
      <c r="A6" s="45">
        <v>2</v>
      </c>
      <c r="B6" s="51" t="s">
        <v>5148</v>
      </c>
      <c r="C6" s="45" t="s">
        <v>64</v>
      </c>
      <c r="D6" s="45" t="s">
        <v>5147</v>
      </c>
      <c r="E6" s="21" t="s">
        <v>5198</v>
      </c>
    </row>
    <row r="7" spans="1:5" ht="15.75" customHeight="1">
      <c r="A7" s="45">
        <v>3</v>
      </c>
      <c r="B7" s="51" t="s">
        <v>5157</v>
      </c>
      <c r="C7" s="45" t="s">
        <v>64</v>
      </c>
      <c r="D7" s="45" t="s">
        <v>5147</v>
      </c>
      <c r="E7" s="21" t="s">
        <v>325</v>
      </c>
    </row>
    <row r="8" spans="1:5" ht="15.75" customHeight="1">
      <c r="A8" s="45">
        <v>4</v>
      </c>
      <c r="B8" s="51" t="s">
        <v>5166</v>
      </c>
      <c r="C8" s="45" t="s">
        <v>64</v>
      </c>
      <c r="D8" s="45" t="s">
        <v>5147</v>
      </c>
      <c r="E8" s="21" t="s">
        <v>325</v>
      </c>
    </row>
    <row r="9" spans="1:5" ht="15.75" customHeight="1">
      <c r="A9" s="45">
        <v>5</v>
      </c>
      <c r="B9" s="51" t="s">
        <v>5174</v>
      </c>
      <c r="C9" s="45" t="s">
        <v>64</v>
      </c>
      <c r="D9" s="45" t="s">
        <v>5147</v>
      </c>
      <c r="E9" s="21" t="s">
        <v>5</v>
      </c>
    </row>
    <row r="10" spans="1:5" ht="15.75" customHeight="1">
      <c r="A10" s="45">
        <v>6</v>
      </c>
      <c r="B10" s="51" t="s">
        <v>5181</v>
      </c>
      <c r="C10" s="45" t="s">
        <v>64</v>
      </c>
      <c r="D10" s="45" t="s">
        <v>5147</v>
      </c>
      <c r="E10" s="21" t="s">
        <v>325</v>
      </c>
    </row>
    <row r="11" spans="1:5" ht="15.75" customHeight="1">
      <c r="A11" s="45">
        <v>7</v>
      </c>
      <c r="B11" s="51" t="s">
        <v>5189</v>
      </c>
      <c r="C11" s="45" t="s">
        <v>64</v>
      </c>
      <c r="D11" s="45" t="s">
        <v>5147</v>
      </c>
      <c r="E11" s="21" t="s">
        <v>5</v>
      </c>
    </row>
    <row r="12" spans="1:5" ht="15.75" customHeight="1">
      <c r="A12" s="45">
        <v>8</v>
      </c>
      <c r="B12" s="51" t="s">
        <v>5199</v>
      </c>
      <c r="C12" s="45" t="s">
        <v>64</v>
      </c>
      <c r="D12" s="45" t="s">
        <v>5147</v>
      </c>
      <c r="E12" s="21" t="s">
        <v>5</v>
      </c>
    </row>
    <row r="13" spans="1:5" ht="15.75" customHeight="1">
      <c r="A13" s="45">
        <v>9</v>
      </c>
      <c r="B13" s="51" t="s">
        <v>5206</v>
      </c>
      <c r="C13" s="45" t="s">
        <v>64</v>
      </c>
      <c r="D13" s="45" t="s">
        <v>5147</v>
      </c>
      <c r="E13" s="21" t="s">
        <v>69</v>
      </c>
    </row>
    <row r="14" spans="1:5" ht="15.75" customHeight="1">
      <c r="A14" s="28">
        <v>10</v>
      </c>
      <c r="B14" s="50" t="s">
        <v>5216</v>
      </c>
      <c r="C14" s="30" t="s">
        <v>64</v>
      </c>
      <c r="D14" s="30" t="s">
        <v>5147</v>
      </c>
      <c r="E14" s="21" t="s">
        <v>69</v>
      </c>
    </row>
    <row r="15" spans="1:5" ht="15.75" customHeight="1">
      <c r="A15" s="28">
        <v>11</v>
      </c>
      <c r="B15" s="50" t="s">
        <v>5225</v>
      </c>
      <c r="C15" s="30" t="s">
        <v>64</v>
      </c>
      <c r="D15" s="30" t="s">
        <v>5147</v>
      </c>
      <c r="E15" s="21" t="s">
        <v>69</v>
      </c>
    </row>
    <row r="16" spans="1:5" ht="15.75" customHeight="1">
      <c r="A16" s="28">
        <v>12</v>
      </c>
      <c r="B16" s="50" t="s">
        <v>5234</v>
      </c>
      <c r="C16" s="30" t="s">
        <v>64</v>
      </c>
      <c r="D16" s="30" t="s">
        <v>5147</v>
      </c>
      <c r="E16" s="21" t="s">
        <v>69</v>
      </c>
    </row>
    <row r="17" spans="1:5" ht="15.75" customHeight="1">
      <c r="A17" s="28">
        <v>13</v>
      </c>
      <c r="B17" s="50" t="s">
        <v>5242</v>
      </c>
      <c r="C17" s="30" t="s">
        <v>64</v>
      </c>
      <c r="D17" s="30" t="s">
        <v>5147</v>
      </c>
      <c r="E17" s="21" t="s">
        <v>69</v>
      </c>
    </row>
  </sheetData>
  <mergeCells count="1">
    <mergeCell ref="A1:E3"/>
  </mergeCells>
  <conditionalFormatting sqref="A1:D4 E1:E17 A14:D17">
    <cfRule type="expression" dxfId="731" priority="2">
      <formula>$Z$6:$Z$20806="REMANEJADO"</formula>
    </cfRule>
  </conditionalFormatting>
  <conditionalFormatting sqref="A1:D4 A14:D17 E1:E17">
    <cfRule type="expression" dxfId="730" priority="3">
      <formula>$E$5:$E$20001="CONTRATADO"</formula>
    </cfRule>
  </conditionalFormatting>
  <conditionalFormatting sqref="A1:D4 A14:D17 E1:E17">
    <cfRule type="expression" dxfId="729" priority="4">
      <formula>$E$5:$E$20001="DESCLASSIFICADO"</formula>
    </cfRule>
  </conditionalFormatting>
  <conditionalFormatting sqref="A1:D4 A14:D17 E1:E17">
    <cfRule type="expression" dxfId="728" priority="5">
      <formula>$E$5:$E$20001="REMANEJADO"</formula>
    </cfRule>
  </conditionalFormatting>
  <conditionalFormatting sqref="A1:D4 A14:D17 E1:E17">
    <cfRule type="expression" dxfId="727" priority="6">
      <formula>$E$5:$E$20001="1ª CONVOCAÇÃO"</formula>
    </cfRule>
  </conditionalFormatting>
  <conditionalFormatting sqref="A1:D4 A14:D17 E1:E17">
    <cfRule type="expression" dxfId="726" priority="7">
      <formula>$E$5:$E$20001="2ª CONVOCAÇÃO"</formula>
    </cfRule>
  </conditionalFormatting>
  <conditionalFormatting sqref="A1:D4 A14:D17 E1:E17">
    <cfRule type="expression" dxfId="725" priority="8">
      <formula>$E$5:$E$20001="NÃO ATENDE/AGUARDANDO RETORNO"</formula>
    </cfRule>
  </conditionalFormatting>
  <conditionalFormatting sqref="A1:D4 E1:E17 A14:D17">
    <cfRule type="expression" dxfId="724" priority="10">
      <formula>$Z$6:$Z$20001="DESCLASSIFICADO"</formula>
    </cfRule>
  </conditionalFormatting>
  <conditionalFormatting sqref="A1:D4 E1:E17 A14:D17">
    <cfRule type="expression" dxfId="723" priority="11">
      <formula>$Z$6:$Z$20001="REMANEJADO"</formula>
    </cfRule>
  </conditionalFormatting>
  <conditionalFormatting sqref="A1:D4 E1:E17 A14:D17">
    <cfRule type="expression" dxfId="722" priority="12">
      <formula>$Z$6:$Z$20001="1ª CONVOCAÇÃO"</formula>
    </cfRule>
  </conditionalFormatting>
  <conditionalFormatting sqref="A1:D4 E1:E17 A14:D17">
    <cfRule type="expression" dxfId="721" priority="13">
      <formula>$Z$6:$Z$20001="2ª CONVOCAÇÃO"</formula>
    </cfRule>
  </conditionalFormatting>
  <conditionalFormatting sqref="A1:D4 E1:E17 A14:D17">
    <cfRule type="expression" dxfId="720" priority="14">
      <formula>$Z$6:$Z$20001="NÃO ATENDE/AGUARDANDO RETORNO"</formula>
    </cfRule>
  </conditionalFormatting>
  <conditionalFormatting sqref="A1:D4 E1:E17 A14:D17">
    <cfRule type="expression" dxfId="719" priority="15">
      <formula>$Z$6:$Z$20806="CONTRATADO"</formula>
    </cfRule>
  </conditionalFormatting>
  <conditionalFormatting sqref="A1:D4 E1:E17 A14:D17">
    <cfRule type="expression" dxfId="718" priority="16">
      <formula>$Z$6:$Z$20806="DESCLASSIFICADO"</formula>
    </cfRule>
  </conditionalFormatting>
  <conditionalFormatting sqref="A1:D4 A14:D17 E1:E17">
    <cfRule type="expression" dxfId="717" priority="17">
      <formula>$E$5:$E$20806="REMANEJADO"</formula>
    </cfRule>
  </conditionalFormatting>
  <conditionalFormatting sqref="A1:D4 E1:E17 A14:D17">
    <cfRule type="expression" dxfId="716" priority="18">
      <formula>$Z$6:$Z$20806="1ª CONVOCAÇÃO"</formula>
    </cfRule>
  </conditionalFormatting>
  <conditionalFormatting sqref="A1:D4 A14:D17 E1:E17">
    <cfRule type="expression" dxfId="715" priority="19">
      <formula>$E$5:$E$20806="2ª CONVOCAÇÃO"</formula>
    </cfRule>
  </conditionalFormatting>
  <conditionalFormatting sqref="A1:D4 A14:D17 E1:E17">
    <cfRule type="expression" dxfId="714" priority="20">
      <formula>$E$5:$E$20806="NÃO ATENDE/AGUARDANDO RETORNO"</formula>
    </cfRule>
  </conditionalFormatting>
  <conditionalFormatting sqref="A1:D4 A14:D17 E1:E17">
    <cfRule type="expression" dxfId="713" priority="21">
      <formula>$E$6:$E$20806="CONTRATADO"</formula>
    </cfRule>
  </conditionalFormatting>
  <dataValidations count="1">
    <dataValidation type="list" allowBlank="1" showErrorMessage="1" sqref="E5:E17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sqref="A1:E3"/>
    </sheetView>
  </sheetViews>
  <sheetFormatPr defaultColWidth="14.42578125" defaultRowHeight="15"/>
  <cols>
    <col min="2" max="2" width="39.140625" bestFit="1" customWidth="1"/>
    <col min="3" max="3" width="8" bestFit="1" customWidth="1"/>
    <col min="4" max="4" width="23.7109375" customWidth="1"/>
    <col min="5" max="5" width="20.7109375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5251</v>
      </c>
      <c r="C5" s="30" t="s">
        <v>64</v>
      </c>
      <c r="D5" s="30" t="s">
        <v>5260</v>
      </c>
      <c r="E5" s="21" t="s">
        <v>69</v>
      </c>
    </row>
    <row r="6" spans="1:5" ht="15.75" customHeight="1">
      <c r="A6" s="28">
        <v>2</v>
      </c>
      <c r="B6" s="29" t="s">
        <v>5261</v>
      </c>
      <c r="C6" s="30" t="s">
        <v>64</v>
      </c>
      <c r="D6" s="30" t="s">
        <v>5260</v>
      </c>
      <c r="E6" s="21" t="s">
        <v>69</v>
      </c>
    </row>
    <row r="7" spans="1:5" ht="15.75" customHeight="1">
      <c r="A7" s="28">
        <v>3</v>
      </c>
      <c r="B7" s="29" t="s">
        <v>5267</v>
      </c>
      <c r="C7" s="30" t="s">
        <v>64</v>
      </c>
      <c r="D7" s="30" t="s">
        <v>5260</v>
      </c>
      <c r="E7" s="21" t="s">
        <v>69</v>
      </c>
    </row>
    <row r="8" spans="1:5" ht="15.75" customHeight="1">
      <c r="A8" s="28">
        <v>4</v>
      </c>
      <c r="B8" s="29" t="s">
        <v>5273</v>
      </c>
      <c r="C8" s="30" t="s">
        <v>64</v>
      </c>
      <c r="D8" s="30" t="s">
        <v>5260</v>
      </c>
      <c r="E8" s="21" t="s">
        <v>69</v>
      </c>
    </row>
    <row r="9" spans="1:5" ht="15.75" customHeight="1">
      <c r="A9" s="28">
        <v>5</v>
      </c>
      <c r="B9" s="29" t="s">
        <v>5278</v>
      </c>
      <c r="C9" s="30" t="s">
        <v>64</v>
      </c>
      <c r="D9" s="30" t="s">
        <v>5260</v>
      </c>
      <c r="E9" s="21" t="s">
        <v>69</v>
      </c>
    </row>
    <row r="10" spans="1:5" ht="15.75" customHeight="1">
      <c r="A10" s="28">
        <v>6</v>
      </c>
      <c r="B10" s="29" t="s">
        <v>5285</v>
      </c>
      <c r="C10" s="30" t="s">
        <v>64</v>
      </c>
      <c r="D10" s="30" t="s">
        <v>5260</v>
      </c>
      <c r="E10" s="21" t="s">
        <v>69</v>
      </c>
    </row>
    <row r="11" spans="1:5" ht="15.75" customHeight="1">
      <c r="A11" s="28">
        <v>7</v>
      </c>
      <c r="B11" s="29" t="s">
        <v>5290</v>
      </c>
      <c r="C11" s="30" t="s">
        <v>64</v>
      </c>
      <c r="D11" s="30" t="s">
        <v>5260</v>
      </c>
      <c r="E11" s="21" t="s">
        <v>69</v>
      </c>
    </row>
    <row r="12" spans="1:5" ht="15.75" customHeight="1">
      <c r="A12" s="28">
        <v>8</v>
      </c>
      <c r="B12" s="29" t="s">
        <v>5296</v>
      </c>
      <c r="C12" s="30" t="s">
        <v>64</v>
      </c>
      <c r="D12" s="30" t="s">
        <v>5260</v>
      </c>
      <c r="E12" s="21" t="s">
        <v>69</v>
      </c>
    </row>
    <row r="13" spans="1:5" ht="15.75" customHeight="1">
      <c r="A13" s="28">
        <v>9</v>
      </c>
      <c r="B13" s="29" t="s">
        <v>5303</v>
      </c>
      <c r="C13" s="30" t="s">
        <v>64</v>
      </c>
      <c r="D13" s="30" t="s">
        <v>5260</v>
      </c>
      <c r="E13" s="21" t="s">
        <v>69</v>
      </c>
    </row>
    <row r="14" spans="1:5" ht="15.75" customHeight="1">
      <c r="A14" s="28">
        <v>10</v>
      </c>
      <c r="B14" s="29" t="s">
        <v>5310</v>
      </c>
      <c r="C14" s="30" t="s">
        <v>64</v>
      </c>
      <c r="D14" s="30" t="s">
        <v>5260</v>
      </c>
      <c r="E14" s="21" t="s">
        <v>69</v>
      </c>
    </row>
    <row r="15" spans="1:5" ht="15.75" customHeight="1">
      <c r="A15" s="28">
        <v>11</v>
      </c>
      <c r="B15" s="29" t="s">
        <v>5316</v>
      </c>
      <c r="C15" s="30" t="s">
        <v>64</v>
      </c>
      <c r="D15" s="30" t="s">
        <v>5260</v>
      </c>
      <c r="E15" s="21" t="s">
        <v>69</v>
      </c>
    </row>
  </sheetData>
  <mergeCells count="1">
    <mergeCell ref="A1:E3"/>
  </mergeCells>
  <conditionalFormatting sqref="A1:E15">
    <cfRule type="expression" dxfId="712" priority="14473">
      <formula>$E$5:$E$20001="CONTRATADO"</formula>
    </cfRule>
  </conditionalFormatting>
  <conditionalFormatting sqref="A1:E15">
    <cfRule type="expression" dxfId="711" priority="14475">
      <formula>$E$5:$E$20001="DESCLASSIFICADO"</formula>
    </cfRule>
  </conditionalFormatting>
  <conditionalFormatting sqref="A1:E15">
    <cfRule type="expression" dxfId="710" priority="14477">
      <formula>$E$5:$E$20001="REMANEJADO"</formula>
    </cfRule>
  </conditionalFormatting>
  <conditionalFormatting sqref="A1:E15">
    <cfRule type="expression" dxfId="709" priority="14479">
      <formula>$E$5:$E$20001="1ª CONVOCAÇÃO"</formula>
    </cfRule>
  </conditionalFormatting>
  <conditionalFormatting sqref="A1:E15">
    <cfRule type="expression" dxfId="708" priority="14481">
      <formula>$E$5:$E$20001="2ª CONVOCAÇÃO"</formula>
    </cfRule>
  </conditionalFormatting>
  <conditionalFormatting sqref="A1:E15">
    <cfRule type="expression" dxfId="707" priority="14483">
      <formula>$E$5:$E$20001="NÃO ATENDE/AGUARDANDO RETORNO"</formula>
    </cfRule>
  </conditionalFormatting>
  <conditionalFormatting sqref="A1:E15">
    <cfRule type="expression" dxfId="706" priority="14499">
      <formula>$E$5:$E$20806="REMANEJADO"</formula>
    </cfRule>
  </conditionalFormatting>
  <conditionalFormatting sqref="A1:E15">
    <cfRule type="expression" dxfId="705" priority="14503">
      <formula>$E$5:$E$20806="2ª CONVOCAÇÃO"</formula>
    </cfRule>
  </conditionalFormatting>
  <conditionalFormatting sqref="A1:E15">
    <cfRule type="expression" dxfId="704" priority="14505">
      <formula>$E$5:$E$20806="NÃO ATENDE/AGUARDANDO RETORNO"</formula>
    </cfRule>
  </conditionalFormatting>
  <conditionalFormatting sqref="A1:E15">
    <cfRule type="expression" dxfId="703" priority="14507">
      <formula>$E$6:$E$20806="CONTRATADO"</formula>
    </cfRule>
  </conditionalFormatting>
  <conditionalFormatting sqref="A1:E15">
    <cfRule type="expression" dxfId="702" priority="14596">
      <formula>$Z$6:$Z$20806="REMANEJADO"</formula>
    </cfRule>
  </conditionalFormatting>
  <conditionalFormatting sqref="A1:E15">
    <cfRule type="expression" dxfId="701" priority="14598">
      <formula>$Z$6:$Z$20001="DESCLASSIFICADO"</formula>
    </cfRule>
  </conditionalFormatting>
  <conditionalFormatting sqref="A1:E15">
    <cfRule type="expression" dxfId="700" priority="14600">
      <formula>$Z$6:$Z$20001="REMANEJADO"</formula>
    </cfRule>
  </conditionalFormatting>
  <conditionalFormatting sqref="A1:E15">
    <cfRule type="expression" dxfId="699" priority="14602">
      <formula>$Z$6:$Z$20001="1ª CONVOCAÇÃO"</formula>
    </cfRule>
  </conditionalFormatting>
  <conditionalFormatting sqref="A1:E15">
    <cfRule type="expression" dxfId="698" priority="14604">
      <formula>$Z$6:$Z$20001="2ª CONVOCAÇÃO"</formula>
    </cfRule>
  </conditionalFormatting>
  <conditionalFormatting sqref="A1:E15">
    <cfRule type="expression" dxfId="697" priority="14606">
      <formula>$Z$6:$Z$20001="NÃO ATENDE/AGUARDANDO RETORNO"</formula>
    </cfRule>
  </conditionalFormatting>
  <conditionalFormatting sqref="A1:E15">
    <cfRule type="expression" dxfId="696" priority="14608">
      <formula>$Z$6:$Z$20806="CONTRATADO"</formula>
    </cfRule>
  </conditionalFormatting>
  <conditionalFormatting sqref="A1:E15">
    <cfRule type="expression" dxfId="695" priority="14610">
      <formula>$Z$6:$Z$20806="DESCLASSIFICADO"</formula>
    </cfRule>
  </conditionalFormatting>
  <conditionalFormatting sqref="A1:E15">
    <cfRule type="expression" dxfId="694" priority="14612">
      <formula>$Z$6:$Z$20806="1ª CONVOCAÇÃO"</formula>
    </cfRule>
  </conditionalFormatting>
  <dataValidations count="1">
    <dataValidation type="list" allowBlank="1" showErrorMessage="1" sqref="E5:E1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4.7109375" bestFit="1" customWidth="1"/>
    <col min="3" max="3" width="8" bestFit="1" customWidth="1"/>
    <col min="4" max="4" width="18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6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5323</v>
      </c>
      <c r="C5" s="30" t="s">
        <v>64</v>
      </c>
      <c r="D5" s="30" t="s">
        <v>5332</v>
      </c>
      <c r="E5" s="21" t="s">
        <v>69</v>
      </c>
    </row>
  </sheetData>
  <mergeCells count="1">
    <mergeCell ref="A1:E3"/>
  </mergeCells>
  <conditionalFormatting sqref="A1:E5">
    <cfRule type="expression" dxfId="693" priority="14751">
      <formula>$E$5:$E$20001="CONTRATADO"</formula>
    </cfRule>
  </conditionalFormatting>
  <conditionalFormatting sqref="A1:E5">
    <cfRule type="expression" dxfId="692" priority="14753">
      <formula>$E$5:$E$20001="DESCLASSIFICADO"</formula>
    </cfRule>
  </conditionalFormatting>
  <conditionalFormatting sqref="A1:E5">
    <cfRule type="expression" dxfId="691" priority="14755">
      <formula>$E$5:$E$20001="REMANEJADO"</formula>
    </cfRule>
  </conditionalFormatting>
  <conditionalFormatting sqref="A1:E5">
    <cfRule type="expression" dxfId="690" priority="14757">
      <formula>$E$5:$E$20001="1ª CONVOCAÇÃO"</formula>
    </cfRule>
  </conditionalFormatting>
  <conditionalFormatting sqref="A1:E5">
    <cfRule type="expression" dxfId="689" priority="14759">
      <formula>$E$5:$E$20001="2ª CONVOCAÇÃO"</formula>
    </cfRule>
  </conditionalFormatting>
  <conditionalFormatting sqref="A1:E5">
    <cfRule type="expression" dxfId="688" priority="14761">
      <formula>$E$5:$E$20001="NÃO ATENDE/AGUARDANDO RETORNO"</formula>
    </cfRule>
  </conditionalFormatting>
  <conditionalFormatting sqref="A1:E5">
    <cfRule type="expression" dxfId="687" priority="14765">
      <formula>$E$5:$E$20806="2ª CONVOCAÇÃO"</formula>
    </cfRule>
  </conditionalFormatting>
  <conditionalFormatting sqref="A1:E5">
    <cfRule type="expression" dxfId="686" priority="14812">
      <formula>$Z$6:$Z$20806="REMANEJADO"</formula>
    </cfRule>
  </conditionalFormatting>
  <conditionalFormatting sqref="A1:E5">
    <cfRule type="expression" dxfId="685" priority="14814">
      <formula>$Z$6:$Z$20001="DESCLASSIFICADO"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0.7109375" bestFit="1" customWidth="1"/>
    <col min="3" max="3" width="9.7109375" customWidth="1"/>
    <col min="4" max="4" width="27.57031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47" t="s">
        <v>6691</v>
      </c>
    </row>
    <row r="5" spans="1:5">
      <c r="A5" s="45">
        <v>1</v>
      </c>
      <c r="B5" s="45" t="s">
        <v>47</v>
      </c>
      <c r="C5" s="45" t="s">
        <v>64</v>
      </c>
      <c r="D5" s="45" t="s">
        <v>68</v>
      </c>
      <c r="E5" s="21" t="s">
        <v>325</v>
      </c>
    </row>
  </sheetData>
  <mergeCells count="1">
    <mergeCell ref="A1:E3"/>
  </mergeCells>
  <conditionalFormatting sqref="A1:D4 E1:E5">
    <cfRule type="expression" dxfId="1699" priority="46">
      <formula>$E$5:$E$20001="CONTRATADO"</formula>
    </cfRule>
  </conditionalFormatting>
  <conditionalFormatting sqref="E5 A1:E4">
    <cfRule type="expression" dxfId="1698" priority="49">
      <formula>$E$5:$E$20001="DESCLASSIFICADO"</formula>
    </cfRule>
  </conditionalFormatting>
  <conditionalFormatting sqref="E5 A1:E4">
    <cfRule type="expression" dxfId="1697" priority="52">
      <formula>$E$5:$E$20001="REMANEJADO"</formula>
    </cfRule>
  </conditionalFormatting>
  <conditionalFormatting sqref="E5 A1:E4">
    <cfRule type="expression" dxfId="1696" priority="55">
      <formula>$E$5:$E$20001="1ª CONVOCAÇÃO"</formula>
    </cfRule>
  </conditionalFormatting>
  <conditionalFormatting sqref="E5 A1:E4">
    <cfRule type="expression" dxfId="1695" priority="58">
      <formula>$E$5:$E$20001="2ª CONVOCAÇÃO"</formula>
    </cfRule>
  </conditionalFormatting>
  <conditionalFormatting sqref="E5 A1:E4">
    <cfRule type="expression" dxfId="1694" priority="61">
      <formula>$E$5:$E$20001="NÃO ATENDE/AGUARDANDO RETORNO"</formula>
    </cfRule>
  </conditionalFormatting>
  <conditionalFormatting sqref="E5 A1:E4">
    <cfRule type="expression" dxfId="1693" priority="86">
      <formula>$E$5:$E$20806="REMANEJADO"</formula>
    </cfRule>
  </conditionalFormatting>
  <conditionalFormatting sqref="E5 A1:E4">
    <cfRule type="expression" dxfId="1692" priority="92">
      <formula>$E$5:$E$20806="2ª CONVOCAÇÃO"</formula>
    </cfRule>
  </conditionalFormatting>
  <conditionalFormatting sqref="E5 A1:E4">
    <cfRule type="expression" dxfId="1691" priority="95">
      <formula>$E$5:$E$20806="NÃO ATENDE/AGUARDANDO RETORNO"</formula>
    </cfRule>
  </conditionalFormatting>
  <conditionalFormatting sqref="E5 A1:E4">
    <cfRule type="expression" dxfId="1690" priority="98">
      <formula>$E$6:$E$20806="CONTRATADO"</formula>
    </cfRule>
  </conditionalFormatting>
  <conditionalFormatting sqref="E5 A1:E4">
    <cfRule type="expression" dxfId="1689" priority="1244">
      <formula>$Z$6:$Z$20806="REMANEJADO"</formula>
    </cfRule>
  </conditionalFormatting>
  <conditionalFormatting sqref="E5 A1:E4">
    <cfRule type="expression" dxfId="1688" priority="1248">
      <formula>$Z$6:$Z$20001="DESCLASSIFICADO"</formula>
    </cfRule>
  </conditionalFormatting>
  <conditionalFormatting sqref="E5 A1:E4">
    <cfRule type="expression" dxfId="1687" priority="1252">
      <formula>$Z$6:$Z$20001="REMANEJADO"</formula>
    </cfRule>
  </conditionalFormatting>
  <conditionalFormatting sqref="E5 A1:E4">
    <cfRule type="expression" dxfId="1686" priority="1256">
      <formula>$Z$6:$Z$20001="1ª CONVOCAÇÃO"</formula>
    </cfRule>
  </conditionalFormatting>
  <conditionalFormatting sqref="E5 A1:E4">
    <cfRule type="expression" dxfId="1685" priority="1260">
      <formula>$Z$6:$Z$20001="2ª CONVOCAÇÃO"</formula>
    </cfRule>
  </conditionalFormatting>
  <conditionalFormatting sqref="E5 A1:E4">
    <cfRule type="expression" dxfId="1684" priority="1264">
      <formula>$Z$6:$Z$20001="NÃO ATENDE/AGUARDANDO RETORNO"</formula>
    </cfRule>
  </conditionalFormatting>
  <conditionalFormatting sqref="E5 A1:E4">
    <cfRule type="expression" dxfId="1683" priority="1268">
      <formula>$Z$6:$Z$20806="CONTRATADO"</formula>
    </cfRule>
  </conditionalFormatting>
  <conditionalFormatting sqref="E5 A1:E4">
    <cfRule type="expression" dxfId="1682" priority="1272">
      <formula>$Z$6:$Z$20806="DESCLASSIFICADO"</formula>
    </cfRule>
  </conditionalFormatting>
  <conditionalFormatting sqref="E5 A1:E4">
    <cfRule type="expression" dxfId="1681" priority="1276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1" max="1" width="16.42578125" customWidth="1"/>
    <col min="2" max="2" width="27.7109375" style="48" bestFit="1" customWidth="1"/>
    <col min="3" max="3" width="12.140625" customWidth="1"/>
    <col min="4" max="4" width="23.85546875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47" t="s">
        <v>6691</v>
      </c>
    </row>
    <row r="5" spans="1:5" ht="15.75" customHeight="1">
      <c r="A5" s="45">
        <v>1</v>
      </c>
      <c r="B5" s="51" t="s">
        <v>5333</v>
      </c>
      <c r="C5" s="45" t="s">
        <v>64</v>
      </c>
      <c r="D5" s="45" t="s">
        <v>5341</v>
      </c>
      <c r="E5" s="45" t="s">
        <v>6687</v>
      </c>
    </row>
  </sheetData>
  <mergeCells count="1">
    <mergeCell ref="A1:E3"/>
  </mergeCells>
  <conditionalFormatting sqref="A1:E4">
    <cfRule type="expression" dxfId="684" priority="3">
      <formula>$E$5:$E$20001="CONTRATADO"</formula>
    </cfRule>
  </conditionalFormatting>
  <conditionalFormatting sqref="A1:E4">
    <cfRule type="expression" dxfId="683" priority="4">
      <formula>$E$5:$E$20001="DESCLASSIFICADO"</formula>
    </cfRule>
  </conditionalFormatting>
  <conditionalFormatting sqref="A1:E4">
    <cfRule type="expression" dxfId="682" priority="5">
      <formula>$E$5:$E$20001="REMANEJADO"</formula>
    </cfRule>
  </conditionalFormatting>
  <conditionalFormatting sqref="A1:E4">
    <cfRule type="expression" dxfId="681" priority="6">
      <formula>$E$5:$E$20001="1ª CONVOCAÇÃO"</formula>
    </cfRule>
  </conditionalFormatting>
  <conditionalFormatting sqref="A1:E4">
    <cfRule type="expression" dxfId="680" priority="7">
      <formula>$E$5:$E$20001="2ª CONVOCAÇÃO"</formula>
    </cfRule>
  </conditionalFormatting>
  <conditionalFormatting sqref="A1:E4">
    <cfRule type="expression" dxfId="679" priority="8">
      <formula>$E$5:$E$20001="NÃO ATENDE/AGUARDANDO RETORNO"</formula>
    </cfRule>
  </conditionalFormatting>
  <conditionalFormatting sqref="A1:E4">
    <cfRule type="expression" dxfId="678" priority="17">
      <formula>$E$5:$E$20806="REMANEJADO"</formula>
    </cfRule>
  </conditionalFormatting>
  <conditionalFormatting sqref="A1:E4">
    <cfRule type="expression" dxfId="677" priority="19">
      <formula>$E$5:$E$20806="2ª CONVOCAÇÃO"</formula>
    </cfRule>
  </conditionalFormatting>
  <conditionalFormatting sqref="A1:E4">
    <cfRule type="expression" dxfId="676" priority="20">
      <formula>$E$5:$E$20806="NÃO ATENDE/AGUARDANDO RETORNO"</formula>
    </cfRule>
  </conditionalFormatting>
  <conditionalFormatting sqref="A1:E4">
    <cfRule type="expression" dxfId="675" priority="21">
      <formula>$E$6:$E$20806="CONTRATADO"</formula>
    </cfRule>
  </conditionalFormatting>
  <conditionalFormatting sqref="A1:E4">
    <cfRule type="expression" dxfId="674" priority="14918">
      <formula>$Z$6:$Z$20806="REMANEJADO"</formula>
    </cfRule>
  </conditionalFormatting>
  <conditionalFormatting sqref="A1:E4">
    <cfRule type="expression" dxfId="673" priority="14922">
      <formula>$Z$6:$Z$20001="DESCLASSIFICADO"</formula>
    </cfRule>
  </conditionalFormatting>
  <conditionalFormatting sqref="A1:E4">
    <cfRule type="expression" dxfId="672" priority="14926">
      <formula>$Z$6:$Z$20001="REMANEJADO"</formula>
    </cfRule>
  </conditionalFormatting>
  <conditionalFormatting sqref="A1:E4">
    <cfRule type="expression" dxfId="671" priority="14930">
      <formula>$Z$6:$Z$20001="1ª CONVOCAÇÃO"</formula>
    </cfRule>
  </conditionalFormatting>
  <conditionalFormatting sqref="A1:E4">
    <cfRule type="expression" dxfId="670" priority="14934">
      <formula>$Z$6:$Z$20001="2ª CONVOCAÇÃO"</formula>
    </cfRule>
  </conditionalFormatting>
  <conditionalFormatting sqref="A1:E4">
    <cfRule type="expression" dxfId="669" priority="14938">
      <formula>$Z$6:$Z$20001="NÃO ATENDE/AGUARDANDO RETORNO"</formula>
    </cfRule>
  </conditionalFormatting>
  <conditionalFormatting sqref="A1:E4">
    <cfRule type="expression" dxfId="668" priority="14942">
      <formula>$Z$6:$Z$20806="CONTRATADO"</formula>
    </cfRule>
  </conditionalFormatting>
  <conditionalFormatting sqref="A1:E4">
    <cfRule type="expression" dxfId="667" priority="14946">
      <formula>$Z$6:$Z$20806="DESCLASSIFICADO"</formula>
    </cfRule>
  </conditionalFormatting>
  <conditionalFormatting sqref="A1:E4">
    <cfRule type="expression" dxfId="666" priority="14950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4.5703125" style="48" bestFit="1" customWidth="1"/>
    <col min="3" max="3" width="8" bestFit="1" customWidth="1"/>
    <col min="4" max="4" width="13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7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5342</v>
      </c>
      <c r="C5" s="45" t="s">
        <v>64</v>
      </c>
      <c r="D5" s="45" t="s">
        <v>5352</v>
      </c>
      <c r="E5" s="21" t="s">
        <v>325</v>
      </c>
    </row>
  </sheetData>
  <mergeCells count="1">
    <mergeCell ref="A1:E3"/>
  </mergeCells>
  <conditionalFormatting sqref="A1:D4 E1:E5">
    <cfRule type="expression" dxfId="665" priority="14954">
      <formula>$E$5:$E$20001="CONTRATADO"</formula>
    </cfRule>
  </conditionalFormatting>
  <conditionalFormatting sqref="E5 A1:E4">
    <cfRule type="expression" dxfId="664" priority="14957">
      <formula>$E$5:$E$20001="DESCLASSIFICADO"</formula>
    </cfRule>
  </conditionalFormatting>
  <conditionalFormatting sqref="E5 A1:E4">
    <cfRule type="expression" dxfId="663" priority="14960">
      <formula>$E$5:$E$20001="REMANEJADO"</formula>
    </cfRule>
  </conditionalFormatting>
  <conditionalFormatting sqref="E5 A1:E4">
    <cfRule type="expression" dxfId="662" priority="14963">
      <formula>$E$5:$E$20001="1ª CONVOCAÇÃO"</formula>
    </cfRule>
  </conditionalFormatting>
  <conditionalFormatting sqref="E5 A1:E4">
    <cfRule type="expression" dxfId="661" priority="14966">
      <formula>$E$5:$E$20001="2ª CONVOCAÇÃO"</formula>
    </cfRule>
  </conditionalFormatting>
  <conditionalFormatting sqref="E5 A1:E4">
    <cfRule type="expression" dxfId="660" priority="14969">
      <formula>$E$5:$E$20001="NÃO ATENDE/AGUARDANDO RETORNO"</formula>
    </cfRule>
  </conditionalFormatting>
  <conditionalFormatting sqref="E5 A1:E4">
    <cfRule type="expression" dxfId="659" priority="14994">
      <formula>$E$5:$E$20806="REMANEJADO"</formula>
    </cfRule>
  </conditionalFormatting>
  <conditionalFormatting sqref="E5 A1:E4">
    <cfRule type="expression" dxfId="658" priority="15000">
      <formula>$E$5:$E$20806="2ª CONVOCAÇÃO"</formula>
    </cfRule>
  </conditionalFormatting>
  <conditionalFormatting sqref="E5 A1:E4">
    <cfRule type="expression" dxfId="657" priority="15003">
      <formula>$E$5:$E$20806="NÃO ATENDE/AGUARDANDO RETORNO"</formula>
    </cfRule>
  </conditionalFormatting>
  <conditionalFormatting sqref="E5 A1:E4">
    <cfRule type="expression" dxfId="656" priority="15006">
      <formula>$E$6:$E$20806="CONTRATADO"</formula>
    </cfRule>
  </conditionalFormatting>
  <conditionalFormatting sqref="E5 A1:E4">
    <cfRule type="expression" dxfId="655" priority="15175">
      <formula>$Z$6:$Z$20806="REMANEJADO"</formula>
    </cfRule>
  </conditionalFormatting>
  <conditionalFormatting sqref="E5 A1:E4">
    <cfRule type="expression" dxfId="654" priority="15179">
      <formula>$Z$6:$Z$20001="DESCLASSIFICADO"</formula>
    </cfRule>
  </conditionalFormatting>
  <conditionalFormatting sqref="E5 A1:E4">
    <cfRule type="expression" dxfId="653" priority="15183">
      <formula>$Z$6:$Z$20001="REMANEJADO"</formula>
    </cfRule>
  </conditionalFormatting>
  <conditionalFormatting sqref="E5 A1:E4">
    <cfRule type="expression" dxfId="652" priority="15187">
      <formula>$Z$6:$Z$20001="1ª CONVOCAÇÃO"</formula>
    </cfRule>
  </conditionalFormatting>
  <conditionalFormatting sqref="E5 A1:E4">
    <cfRule type="expression" dxfId="651" priority="15191">
      <formula>$Z$6:$Z$20001="2ª CONVOCAÇÃO"</formula>
    </cfRule>
  </conditionalFormatting>
  <conditionalFormatting sqref="E5 A1:E4">
    <cfRule type="expression" dxfId="650" priority="15195">
      <formula>$Z$6:$Z$20001="NÃO ATENDE/AGUARDANDO RETORNO"</formula>
    </cfRule>
  </conditionalFormatting>
  <conditionalFormatting sqref="E5 A1:E4">
    <cfRule type="expression" dxfId="649" priority="15199">
      <formula>$Z$6:$Z$20806="CONTRATADO"</formula>
    </cfRule>
  </conditionalFormatting>
  <conditionalFormatting sqref="E5 A1:E4">
    <cfRule type="expression" dxfId="648" priority="15203">
      <formula>$Z$6:$Z$20806="DESCLASSIFICADO"</formula>
    </cfRule>
  </conditionalFormatting>
  <conditionalFormatting sqref="E5 A1:E4">
    <cfRule type="expression" dxfId="647" priority="15207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Normal="100" workbookViewId="0">
      <selection sqref="A1:E3"/>
    </sheetView>
  </sheetViews>
  <sheetFormatPr defaultColWidth="14.42578125" defaultRowHeight="15"/>
  <cols>
    <col min="1" max="1" width="14.42578125" style="6"/>
    <col min="2" max="2" width="36.5703125" style="48" customWidth="1"/>
    <col min="3" max="3" width="10.28515625" style="6" customWidth="1"/>
    <col min="4" max="4" width="20.140625" style="6" customWidth="1"/>
    <col min="5" max="5" width="16.5703125" style="6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5353</v>
      </c>
      <c r="C5" s="45" t="s">
        <v>64</v>
      </c>
      <c r="D5" s="45" t="s">
        <v>5360</v>
      </c>
      <c r="E5" s="45" t="s">
        <v>7</v>
      </c>
    </row>
    <row r="6" spans="1:5" ht="15.75" customHeight="1">
      <c r="A6" s="45">
        <v>2</v>
      </c>
      <c r="B6" s="51" t="s">
        <v>5361</v>
      </c>
      <c r="C6" s="45" t="s">
        <v>64</v>
      </c>
      <c r="D6" s="45" t="s">
        <v>5360</v>
      </c>
      <c r="E6" s="45" t="s">
        <v>325</v>
      </c>
    </row>
    <row r="7" spans="1:5" ht="15.75" customHeight="1">
      <c r="A7" s="45">
        <v>3</v>
      </c>
      <c r="B7" s="51" t="s">
        <v>5366</v>
      </c>
      <c r="C7" s="45" t="s">
        <v>64</v>
      </c>
      <c r="D7" s="45" t="s">
        <v>5360</v>
      </c>
      <c r="E7" s="45" t="s">
        <v>5</v>
      </c>
    </row>
  </sheetData>
  <mergeCells count="1">
    <mergeCell ref="A1:E3"/>
  </mergeCells>
  <conditionalFormatting sqref="A1:E4">
    <cfRule type="expression" dxfId="646" priority="3">
      <formula>$E$5:$E$20001="CONTRATADO"</formula>
    </cfRule>
  </conditionalFormatting>
  <conditionalFormatting sqref="A1:E4">
    <cfRule type="expression" dxfId="645" priority="4">
      <formula>$E$5:$E$20001="DESCLASSIFICADO"</formula>
    </cfRule>
  </conditionalFormatting>
  <conditionalFormatting sqref="A1:E4">
    <cfRule type="expression" dxfId="644" priority="5">
      <formula>$E$5:$E$20001="REMANEJADO"</formula>
    </cfRule>
  </conditionalFormatting>
  <conditionalFormatting sqref="A1:E4">
    <cfRule type="expression" dxfId="643" priority="6">
      <formula>$E$5:$E$20001="1ª CONVOCAÇÃO"</formula>
    </cfRule>
  </conditionalFormatting>
  <conditionalFormatting sqref="A1:E4">
    <cfRule type="expression" dxfId="642" priority="7">
      <formula>$E$5:$E$20001="2ª CONVOCAÇÃO"</formula>
    </cfRule>
  </conditionalFormatting>
  <conditionalFormatting sqref="A1:E4">
    <cfRule type="expression" dxfId="641" priority="8">
      <formula>$E$5:$E$20001="NÃO ATENDE/AGUARDANDO RETORNO"</formula>
    </cfRule>
  </conditionalFormatting>
  <conditionalFormatting sqref="A1:E4">
    <cfRule type="expression" dxfId="640" priority="17">
      <formula>$E$5:$E$20806="REMANEJADO"</formula>
    </cfRule>
  </conditionalFormatting>
  <conditionalFormatting sqref="A1:E4">
    <cfRule type="expression" dxfId="639" priority="19">
      <formula>$E$5:$E$20806="2ª CONVOCAÇÃO"</formula>
    </cfRule>
  </conditionalFormatting>
  <conditionalFormatting sqref="A1:E4">
    <cfRule type="expression" dxfId="638" priority="20">
      <formula>$E$5:$E$20806="NÃO ATENDE/AGUARDANDO RETORNO"</formula>
    </cfRule>
  </conditionalFormatting>
  <conditionalFormatting sqref="A1:E4">
    <cfRule type="expression" dxfId="637" priority="21">
      <formula>$E$6:$E$20806="CONTRATADO"</formula>
    </cfRule>
  </conditionalFormatting>
  <conditionalFormatting sqref="A1:E4">
    <cfRule type="expression" dxfId="636" priority="15336">
      <formula>$Y$6:$Y$20806="REMANEJADO"</formula>
    </cfRule>
  </conditionalFormatting>
  <conditionalFormatting sqref="A1:E4">
    <cfRule type="expression" dxfId="635" priority="15339">
      <formula>$Y$6:$Y$20001="DESCLASSIFICADO"</formula>
    </cfRule>
  </conditionalFormatting>
  <conditionalFormatting sqref="A1:E4">
    <cfRule type="expression" dxfId="634" priority="15342">
      <formula>$Y$6:$Y$20001="REMANEJADO"</formula>
    </cfRule>
  </conditionalFormatting>
  <conditionalFormatting sqref="A1:E4">
    <cfRule type="expression" dxfId="633" priority="15345">
      <formula>$Y$6:$Y$20001="1ª CONVOCAÇÃO"</formula>
    </cfRule>
  </conditionalFormatting>
  <conditionalFormatting sqref="A1:E4">
    <cfRule type="expression" dxfId="632" priority="15348">
      <formula>$Y$6:$Y$20001="2ª CONVOCAÇÃO"</formula>
    </cfRule>
  </conditionalFormatting>
  <conditionalFormatting sqref="A1:E4">
    <cfRule type="expression" dxfId="631" priority="15351">
      <formula>$Y$6:$Y$20001="NÃO ATENDE/AGUARDANDO RETORNO"</formula>
    </cfRule>
  </conditionalFormatting>
  <conditionalFormatting sqref="A1:E4">
    <cfRule type="expression" dxfId="630" priority="15354">
      <formula>$Y$6:$Y$20806="CONTRATADO"</formula>
    </cfRule>
  </conditionalFormatting>
  <conditionalFormatting sqref="A1:E4">
    <cfRule type="expression" dxfId="629" priority="15357">
      <formula>$Y$6:$Y$20806="DESCLASSIFICADO"</formula>
    </cfRule>
  </conditionalFormatting>
  <conditionalFormatting sqref="A1:E4">
    <cfRule type="expression" dxfId="628" priority="15360">
      <formula>$Y$6:$Y$20806="1ª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sqref="A1:E3"/>
    </sheetView>
  </sheetViews>
  <sheetFormatPr defaultColWidth="14.42578125" defaultRowHeight="15"/>
  <cols>
    <col min="2" max="2" width="37.42578125" style="48" bestFit="1" customWidth="1"/>
    <col min="3" max="3" width="8" bestFit="1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>
      <c r="A5" s="45">
        <v>1</v>
      </c>
      <c r="B5" s="51" t="s">
        <v>5372</v>
      </c>
      <c r="C5" s="45" t="s">
        <v>64</v>
      </c>
      <c r="D5" s="45" t="s">
        <v>5382</v>
      </c>
      <c r="E5" s="21" t="s">
        <v>325</v>
      </c>
    </row>
    <row r="6" spans="1:5">
      <c r="A6" s="45">
        <v>2</v>
      </c>
      <c r="B6" s="51" t="s">
        <v>5383</v>
      </c>
      <c r="C6" s="45" t="s">
        <v>64</v>
      </c>
      <c r="D6" s="45" t="s">
        <v>5382</v>
      </c>
      <c r="E6" s="21" t="s">
        <v>325</v>
      </c>
    </row>
    <row r="7" spans="1:5">
      <c r="A7" s="45">
        <v>3</v>
      </c>
      <c r="B7" s="51" t="s">
        <v>5391</v>
      </c>
      <c r="C7" s="45" t="s">
        <v>64</v>
      </c>
      <c r="D7" s="45" t="s">
        <v>5382</v>
      </c>
      <c r="E7" s="21" t="s">
        <v>69</v>
      </c>
    </row>
    <row r="8" spans="1:5">
      <c r="A8" s="45">
        <v>4</v>
      </c>
      <c r="B8" s="51" t="s">
        <v>5398</v>
      </c>
      <c r="C8" s="45" t="s">
        <v>64</v>
      </c>
      <c r="D8" s="45" t="s">
        <v>5382</v>
      </c>
      <c r="E8" s="21" t="s">
        <v>69</v>
      </c>
    </row>
    <row r="9" spans="1:5">
      <c r="A9" s="45">
        <v>5</v>
      </c>
      <c r="B9" s="51" t="s">
        <v>5405</v>
      </c>
      <c r="C9" s="45" t="s">
        <v>64</v>
      </c>
      <c r="D9" s="45" t="s">
        <v>5382</v>
      </c>
      <c r="E9" s="21" t="s">
        <v>69</v>
      </c>
    </row>
  </sheetData>
  <mergeCells count="1">
    <mergeCell ref="A1:E3"/>
  </mergeCells>
  <conditionalFormatting sqref="E1:E9 A1:D4">
    <cfRule type="expression" dxfId="627" priority="2">
      <formula>$R$6:$R$19815="REMANEJADO"</formula>
    </cfRule>
  </conditionalFormatting>
  <conditionalFormatting sqref="E1:E9 A1:D4">
    <cfRule type="expression" dxfId="626" priority="3">
      <formula>$E$5:$E$19010="CONTRATADO"</formula>
    </cfRule>
  </conditionalFormatting>
  <conditionalFormatting sqref="E1:E9 A1:D4">
    <cfRule type="expression" dxfId="625" priority="4">
      <formula>$E$5:$E$19010="DESCLASSIFICADO"</formula>
    </cfRule>
  </conditionalFormatting>
  <conditionalFormatting sqref="E1:E9 A1:D4">
    <cfRule type="expression" dxfId="624" priority="5">
      <formula>$E$5:$E$19010="REMANEJADO"</formula>
    </cfRule>
  </conditionalFormatting>
  <conditionalFormatting sqref="E1:E9 A1:D4">
    <cfRule type="expression" dxfId="623" priority="6">
      <formula>$E$5:$E$19010="1ª CONVOCAÇÃO"</formula>
    </cfRule>
  </conditionalFormatting>
  <conditionalFormatting sqref="E1:E9 A1:D4">
    <cfRule type="expression" dxfId="622" priority="7">
      <formula>$E$5:$E$19010="2ª CONVOCAÇÃO"</formula>
    </cfRule>
  </conditionalFormatting>
  <conditionalFormatting sqref="E1:E9 A1:D4">
    <cfRule type="expression" dxfId="621" priority="8">
      <formula>$E$5:$E$19010="NÃO ATENDE/AGUARDANDO RETORNO"</formula>
    </cfRule>
  </conditionalFormatting>
  <conditionalFormatting sqref="E1:E9">
    <cfRule type="expression" dxfId="620" priority="9">
      <formula>$E$5:$E$19010="CONTRATADO"</formula>
    </cfRule>
  </conditionalFormatting>
  <conditionalFormatting sqref="E1:E9 A1:D4">
    <cfRule type="expression" dxfId="619" priority="10">
      <formula>$R$6:$R$19010="DESCLASSIFICADO"</formula>
    </cfRule>
  </conditionalFormatting>
  <conditionalFormatting sqref="E1:E9 A1:D4">
    <cfRule type="expression" dxfId="618" priority="11">
      <formula>$R$6:$R$19010="REMANEJADO"</formula>
    </cfRule>
  </conditionalFormatting>
  <conditionalFormatting sqref="E1:E9 A1:D4">
    <cfRule type="expression" dxfId="617" priority="12">
      <formula>$R$6:$R$19010="1ª CONVOCAÇÃO"</formula>
    </cfRule>
  </conditionalFormatting>
  <conditionalFormatting sqref="E1:E9 A1:D4">
    <cfRule type="expression" dxfId="616" priority="13">
      <formula>$R$6:$R$19010="2ª CONVOCAÇÃO"</formula>
    </cfRule>
  </conditionalFormatting>
  <conditionalFormatting sqref="E1:E9 A1:D4">
    <cfRule type="expression" dxfId="615" priority="14">
      <formula>$R$6:$R$19010="NÃO ATENDE/AGUARDANDO RETORNO"</formula>
    </cfRule>
  </conditionalFormatting>
  <conditionalFormatting sqref="E1:E9 A1:D4">
    <cfRule type="expression" dxfId="614" priority="15">
      <formula>$R$6:$R$19815="CONTRATADO"</formula>
    </cfRule>
  </conditionalFormatting>
  <conditionalFormatting sqref="E1:E9 A1:D4">
    <cfRule type="expression" dxfId="613" priority="16">
      <formula>$R$6:$R$19815="DESCLASSIFICADO"</formula>
    </cfRule>
  </conditionalFormatting>
  <conditionalFormatting sqref="E1:E9 A1:D4">
    <cfRule type="expression" dxfId="612" priority="17">
      <formula>$E$5:$E$19815="REMANEJADO"</formula>
    </cfRule>
  </conditionalFormatting>
  <conditionalFormatting sqref="E1:E9 A1:D4">
    <cfRule type="expression" dxfId="611" priority="18">
      <formula>$R$6:$R$19815="1ª CONVOCAÇÃO"</formula>
    </cfRule>
  </conditionalFormatting>
  <conditionalFormatting sqref="E1:E9 A1:D4">
    <cfRule type="expression" dxfId="610" priority="19">
      <formula>$E$5:$E$19815="2ª CONVOCAÇÃO"</formula>
    </cfRule>
  </conditionalFormatting>
  <conditionalFormatting sqref="E1:E9 A1:D4">
    <cfRule type="expression" dxfId="609" priority="20">
      <formula>$E$5:$E$19815="NÃO ATENDE/AGUARDANDO RETORNO"</formula>
    </cfRule>
  </conditionalFormatting>
  <conditionalFormatting sqref="E1:E9 A1:D4">
    <cfRule type="expression" dxfId="608" priority="21">
      <formula>$E$6:$E$19815="CONTRATADO"</formula>
    </cfRule>
  </conditionalFormatting>
  <dataValidations count="1">
    <dataValidation type="list" allowBlank="1" showErrorMessage="1" sqref="E5:E9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2.42578125" style="48" bestFit="1" customWidth="1"/>
    <col min="3" max="3" width="8" bestFit="1" customWidth="1"/>
    <col min="4" max="4" width="17.7109375" bestFit="1" customWidth="1"/>
    <col min="5" max="5" width="10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7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45</v>
      </c>
    </row>
    <row r="5" spans="1:5" ht="15.75" customHeight="1">
      <c r="A5" s="45">
        <v>1</v>
      </c>
      <c r="B5" s="51" t="s">
        <v>5412</v>
      </c>
      <c r="C5" s="45" t="s">
        <v>64</v>
      </c>
      <c r="D5" s="45" t="s">
        <v>5421</v>
      </c>
      <c r="E5" s="28">
        <v>8</v>
      </c>
    </row>
  </sheetData>
  <mergeCells count="1">
    <mergeCell ref="A1:E3"/>
  </mergeCells>
  <conditionalFormatting sqref="A1:E4 E5">
    <cfRule type="expression" dxfId="607" priority="15365">
      <formula>#REF!="CONTRATADO"</formula>
    </cfRule>
  </conditionalFormatting>
  <conditionalFormatting sqref="E5 A1:E4">
    <cfRule type="expression" dxfId="606" priority="15369">
      <formula>#REF!="DESCLASSIFICADO"</formula>
    </cfRule>
  </conditionalFormatting>
  <conditionalFormatting sqref="E5 A1:E4">
    <cfRule type="expression" dxfId="605" priority="15373">
      <formula>#REF!="REMANEJADO"</formula>
    </cfRule>
  </conditionalFormatting>
  <conditionalFormatting sqref="E5 A1:E4">
    <cfRule type="expression" dxfId="604" priority="15377">
      <formula>#REF!="1ª CONVOCAÇÃO"</formula>
    </cfRule>
  </conditionalFormatting>
  <conditionalFormatting sqref="E5 A1:E4">
    <cfRule type="expression" dxfId="603" priority="15381">
      <formula>#REF!="2ª CONVOCAÇÃO"</formula>
    </cfRule>
  </conditionalFormatting>
  <conditionalFormatting sqref="E5 A1:E4">
    <cfRule type="expression" dxfId="602" priority="15385">
      <formula>#REF!="NÃO ATENDE/AGUARDANDO RETORNO"</formula>
    </cfRule>
  </conditionalFormatting>
  <conditionalFormatting sqref="E5 A1:E4">
    <cfRule type="expression" dxfId="601" priority="15419">
      <formula>#REF!="REMANEJADO"</formula>
    </cfRule>
  </conditionalFormatting>
  <conditionalFormatting sqref="E5 A1:E4">
    <cfRule type="expression" dxfId="600" priority="15427">
      <formula>#REF!="2ª CONVOCAÇÃO"</formula>
    </cfRule>
  </conditionalFormatting>
  <conditionalFormatting sqref="E5 A1:E4">
    <cfRule type="expression" dxfId="599" priority="15431">
      <formula>#REF!="NÃO ATENDE/AGUARDANDO RETORNO"</formula>
    </cfRule>
  </conditionalFormatting>
  <conditionalFormatting sqref="E5 A1:E4">
    <cfRule type="expression" dxfId="598" priority="15435">
      <formula>#REF!="CONTRATADO"</formula>
    </cfRule>
  </conditionalFormatting>
  <conditionalFormatting sqref="E5 A1:E4">
    <cfRule type="expression" dxfId="597" priority="15610">
      <formula>$Z$6:$Z$20806="REMANEJADO"</formula>
    </cfRule>
  </conditionalFormatting>
  <conditionalFormatting sqref="E5 A1:E4">
    <cfRule type="expression" dxfId="596" priority="15614">
      <formula>$Z$6:$Z$20001="DESCLASSIFICADO"</formula>
    </cfRule>
  </conditionalFormatting>
  <conditionalFormatting sqref="E5 A1:E4">
    <cfRule type="expression" dxfId="595" priority="15618">
      <formula>$Z$6:$Z$20001="REMANEJADO"</formula>
    </cfRule>
  </conditionalFormatting>
  <conditionalFormatting sqref="E5 A1:E4">
    <cfRule type="expression" dxfId="594" priority="15622">
      <formula>$Z$6:$Z$20001="1ª CONVOCAÇÃO"</formula>
    </cfRule>
  </conditionalFormatting>
  <conditionalFormatting sqref="E5 A1:E4">
    <cfRule type="expression" dxfId="593" priority="15626">
      <formula>$Z$6:$Z$20001="2ª CONVOCAÇÃO"</formula>
    </cfRule>
  </conditionalFormatting>
  <conditionalFormatting sqref="E5 A1:E4">
    <cfRule type="expression" dxfId="592" priority="15630">
      <formula>$Z$6:$Z$20001="NÃO ATENDE/AGUARDANDO RETORNO"</formula>
    </cfRule>
  </conditionalFormatting>
  <conditionalFormatting sqref="E5 A1:E4">
    <cfRule type="expression" dxfId="591" priority="15634">
      <formula>$Z$6:$Z$20806="CONTRATADO"</formula>
    </cfRule>
  </conditionalFormatting>
  <conditionalFormatting sqref="E5 A1:E4">
    <cfRule type="expression" dxfId="590" priority="15638">
      <formula>$Z$6:$Z$20806="DESCLASSIFICADO"</formula>
    </cfRule>
  </conditionalFormatting>
  <conditionalFormatting sqref="E5 A1:E4">
    <cfRule type="expression" dxfId="589" priority="15642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>
      <selection sqref="A1:E3"/>
    </sheetView>
  </sheetViews>
  <sheetFormatPr defaultColWidth="14.42578125" defaultRowHeight="15"/>
  <cols>
    <col min="2" max="2" width="33.85546875" style="48" customWidth="1"/>
    <col min="3" max="3" width="12.140625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0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5422</v>
      </c>
      <c r="C5" s="45" t="s">
        <v>64</v>
      </c>
      <c r="D5" s="45" t="s">
        <v>5432</v>
      </c>
      <c r="E5" s="45" t="s">
        <v>325</v>
      </c>
    </row>
    <row r="6" spans="1:5" ht="15.75" customHeight="1">
      <c r="A6" s="45">
        <v>2</v>
      </c>
      <c r="B6" s="51" t="s">
        <v>5433</v>
      </c>
      <c r="C6" s="45" t="s">
        <v>64</v>
      </c>
      <c r="D6" s="45" t="s">
        <v>5432</v>
      </c>
      <c r="E6" s="45" t="s">
        <v>325</v>
      </c>
    </row>
    <row r="7" spans="1:5" ht="15.75" customHeight="1">
      <c r="A7" s="45">
        <v>3</v>
      </c>
      <c r="B7" s="51" t="s">
        <v>5441</v>
      </c>
      <c r="C7" s="45" t="s">
        <v>64</v>
      </c>
      <c r="D7" s="45" t="s">
        <v>5432</v>
      </c>
      <c r="E7" s="45" t="s">
        <v>69</v>
      </c>
    </row>
    <row r="8" spans="1:5" ht="15.75" customHeight="1">
      <c r="A8" s="45">
        <v>4</v>
      </c>
      <c r="B8" s="51" t="s">
        <v>5449</v>
      </c>
      <c r="C8" s="45" t="s">
        <v>64</v>
      </c>
      <c r="D8" s="45" t="s">
        <v>5432</v>
      </c>
      <c r="E8" s="45" t="s">
        <v>69</v>
      </c>
    </row>
    <row r="9" spans="1:5" ht="15.75" customHeight="1">
      <c r="A9" s="45">
        <v>5</v>
      </c>
      <c r="B9" s="51" t="s">
        <v>5458</v>
      </c>
      <c r="C9" s="45" t="s">
        <v>64</v>
      </c>
      <c r="D9" s="45" t="s">
        <v>5432</v>
      </c>
      <c r="E9" s="45" t="s">
        <v>69</v>
      </c>
    </row>
  </sheetData>
  <mergeCells count="1">
    <mergeCell ref="A1:E3"/>
  </mergeCells>
  <conditionalFormatting sqref="A1:E4">
    <cfRule type="expression" dxfId="588" priority="3">
      <formula>$E$5:$E$20001="CONTRATADO"</formula>
    </cfRule>
  </conditionalFormatting>
  <conditionalFormatting sqref="A1:E4">
    <cfRule type="expression" dxfId="587" priority="4">
      <formula>$E$5:$E$20001="DESCLASSIFICADO"</formula>
    </cfRule>
  </conditionalFormatting>
  <conditionalFormatting sqref="A1:E4">
    <cfRule type="expression" dxfId="586" priority="5">
      <formula>$E$5:$E$20001="REMANEJADO"</formula>
    </cfRule>
  </conditionalFormatting>
  <conditionalFormatting sqref="A1:E4">
    <cfRule type="expression" dxfId="585" priority="6">
      <formula>$E$5:$E$20001="1ª CONVOCAÇÃO"</formula>
    </cfRule>
  </conditionalFormatting>
  <conditionalFormatting sqref="A1:E4">
    <cfRule type="expression" dxfId="584" priority="7">
      <formula>$E$5:$E$20001="2ª CONVOCAÇÃO"</formula>
    </cfRule>
  </conditionalFormatting>
  <conditionalFormatting sqref="A1:E4">
    <cfRule type="expression" dxfId="583" priority="8">
      <formula>$E$5:$E$20001="NÃO ATENDE/AGUARDANDO RETORNO"</formula>
    </cfRule>
  </conditionalFormatting>
  <conditionalFormatting sqref="A1:E4">
    <cfRule type="expression" dxfId="582" priority="17">
      <formula>$E$5:$E$20806="REMANEJADO"</formula>
    </cfRule>
  </conditionalFormatting>
  <conditionalFormatting sqref="A1:E4">
    <cfRule type="expression" dxfId="581" priority="19">
      <formula>$E$5:$E$20806="2ª CONVOCAÇÃO"</formula>
    </cfRule>
  </conditionalFormatting>
  <conditionalFormatting sqref="A1:E4">
    <cfRule type="expression" dxfId="580" priority="20">
      <formula>$E$5:$E$20806="NÃO ATENDE/AGUARDANDO RETORNO"</formula>
    </cfRule>
  </conditionalFormatting>
  <conditionalFormatting sqref="A1:E4">
    <cfRule type="expression" dxfId="579" priority="21">
      <formula>$E$6:$E$20806="CONTRATADO"</formula>
    </cfRule>
  </conditionalFormatting>
  <conditionalFormatting sqref="A1:E4">
    <cfRule type="expression" dxfId="578" priority="15771">
      <formula>$Z$6:$Z$20806="REMANEJADO"</formula>
    </cfRule>
  </conditionalFormatting>
  <conditionalFormatting sqref="A1:E4">
    <cfRule type="expression" dxfId="577" priority="15774">
      <formula>$Z$6:$Z$20001="DESCLASSIFICADO"</formula>
    </cfRule>
  </conditionalFormatting>
  <conditionalFormatting sqref="A1:E4">
    <cfRule type="expression" dxfId="576" priority="15777">
      <formula>$Z$6:$Z$20001="REMANEJADO"</formula>
    </cfRule>
  </conditionalFormatting>
  <conditionalFormatting sqref="A1:E4">
    <cfRule type="expression" dxfId="575" priority="15780">
      <formula>$Z$6:$Z$20001="1ª CONVOCAÇÃO"</formula>
    </cfRule>
  </conditionalFormatting>
  <conditionalFormatting sqref="A1:E4">
    <cfRule type="expression" dxfId="574" priority="15783">
      <formula>$Z$6:$Z$20001="2ª CONVOCAÇÃO"</formula>
    </cfRule>
  </conditionalFormatting>
  <conditionalFormatting sqref="A1:E4">
    <cfRule type="expression" dxfId="573" priority="15786">
      <formula>$Z$6:$Z$20001="NÃO ATENDE/AGUARDANDO RETORNO"</formula>
    </cfRule>
  </conditionalFormatting>
  <conditionalFormatting sqref="A1:E4">
    <cfRule type="expression" dxfId="572" priority="15789">
      <formula>$Z$6:$Z$20806="CONTRATADO"</formula>
    </cfRule>
  </conditionalFormatting>
  <conditionalFormatting sqref="A1:E4">
    <cfRule type="expression" dxfId="571" priority="15792">
      <formula>$Z$6:$Z$20806="DESCLASSIFICADO"</formula>
    </cfRule>
  </conditionalFormatting>
  <conditionalFormatting sqref="A1:E4">
    <cfRule type="expression" dxfId="570" priority="15795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E3"/>
    </sheetView>
  </sheetViews>
  <sheetFormatPr defaultColWidth="14.42578125" defaultRowHeight="15"/>
  <cols>
    <col min="2" max="2" width="31.140625" style="48" bestFit="1" customWidth="1"/>
    <col min="3" max="3" width="8" bestFit="1" customWidth="1"/>
    <col min="4" max="4" width="17.28515625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5467</v>
      </c>
      <c r="C5" s="45" t="s">
        <v>64</v>
      </c>
      <c r="D5" s="45" t="s">
        <v>5475</v>
      </c>
      <c r="E5" s="21" t="s">
        <v>325</v>
      </c>
    </row>
    <row r="6" spans="1:5" ht="15.75" customHeight="1">
      <c r="A6" s="45">
        <v>2</v>
      </c>
      <c r="B6" s="51" t="s">
        <v>5476</v>
      </c>
      <c r="C6" s="45" t="s">
        <v>64</v>
      </c>
      <c r="D6" s="45" t="s">
        <v>5475</v>
      </c>
      <c r="E6" s="21" t="s">
        <v>6687</v>
      </c>
    </row>
    <row r="7" spans="1:5" ht="15.75" customHeight="1">
      <c r="A7" s="45">
        <v>3</v>
      </c>
      <c r="B7" s="51" t="s">
        <v>5483</v>
      </c>
      <c r="C7" s="45" t="s">
        <v>64</v>
      </c>
      <c r="D7" s="45" t="s">
        <v>5475</v>
      </c>
      <c r="E7" s="21" t="s">
        <v>325</v>
      </c>
    </row>
    <row r="8" spans="1:5" ht="15.75" customHeight="1">
      <c r="A8" s="45">
        <v>4</v>
      </c>
      <c r="B8" s="51" t="s">
        <v>5489</v>
      </c>
      <c r="C8" s="45" t="s">
        <v>64</v>
      </c>
      <c r="D8" s="45" t="s">
        <v>5475</v>
      </c>
      <c r="E8" s="21" t="s">
        <v>69</v>
      </c>
    </row>
  </sheetData>
  <mergeCells count="1">
    <mergeCell ref="A1:E3"/>
  </mergeCells>
  <conditionalFormatting sqref="A1:D4 E1:E8">
    <cfRule type="expression" dxfId="569" priority="15799">
      <formula>$E$5:$E$20001="CONTRATADO"</formula>
    </cfRule>
  </conditionalFormatting>
  <conditionalFormatting sqref="E5:E8 A1:E4">
    <cfRule type="expression" dxfId="568" priority="15802">
      <formula>$E$5:$E$20001="DESCLASSIFICADO"</formula>
    </cfRule>
  </conditionalFormatting>
  <conditionalFormatting sqref="E5:E8 A1:E4">
    <cfRule type="expression" dxfId="567" priority="15805">
      <formula>$E$5:$E$20001="REMANEJADO"</formula>
    </cfRule>
  </conditionalFormatting>
  <conditionalFormatting sqref="E5:E8 A1:E4">
    <cfRule type="expression" dxfId="566" priority="15808">
      <formula>$E$5:$E$20001="1ª CONVOCAÇÃO"</formula>
    </cfRule>
  </conditionalFormatting>
  <conditionalFormatting sqref="E5:E8 A1:E4">
    <cfRule type="expression" dxfId="565" priority="15811">
      <formula>$E$5:$E$20001="2ª CONVOCAÇÃO"</formula>
    </cfRule>
  </conditionalFormatting>
  <conditionalFormatting sqref="E5:E8 A1:E4">
    <cfRule type="expression" dxfId="564" priority="15814">
      <formula>$E$5:$E$20001="NÃO ATENDE/AGUARDANDO RETORNO"</formula>
    </cfRule>
  </conditionalFormatting>
  <conditionalFormatting sqref="E5:E8 A1:E4">
    <cfRule type="expression" dxfId="563" priority="15839">
      <formula>$E$5:$E$20806="REMANEJADO"</formula>
    </cfRule>
  </conditionalFormatting>
  <conditionalFormatting sqref="E5:E8 A1:E4">
    <cfRule type="expression" dxfId="562" priority="15845">
      <formula>$E$5:$E$20806="2ª CONVOCAÇÃO"</formula>
    </cfRule>
  </conditionalFormatting>
  <conditionalFormatting sqref="E5:E8 A1:E4">
    <cfRule type="expression" dxfId="561" priority="15848">
      <formula>$E$5:$E$20806="NÃO ATENDE/AGUARDANDO RETORNO"</formula>
    </cfRule>
  </conditionalFormatting>
  <conditionalFormatting sqref="E5:E8 A1:E4">
    <cfRule type="expression" dxfId="560" priority="15851">
      <formula>$E$6:$E$20806="CONTRATADO"</formula>
    </cfRule>
  </conditionalFormatting>
  <conditionalFormatting sqref="E5:E8 A1:E4">
    <cfRule type="expression" dxfId="559" priority="16020">
      <formula>$Z$6:$Z$20806="REMANEJADO"</formula>
    </cfRule>
  </conditionalFormatting>
  <conditionalFormatting sqref="E5:E8 A1:E4">
    <cfRule type="expression" dxfId="558" priority="16024">
      <formula>$Z$6:$Z$20001="DESCLASSIFICADO"</formula>
    </cfRule>
  </conditionalFormatting>
  <conditionalFormatting sqref="E5:E8 A1:E4">
    <cfRule type="expression" dxfId="557" priority="16028">
      <formula>$Z$6:$Z$20001="REMANEJADO"</formula>
    </cfRule>
  </conditionalFormatting>
  <conditionalFormatting sqref="E5:E8 A1:E4">
    <cfRule type="expression" dxfId="556" priority="16032">
      <formula>$Z$6:$Z$20001="1ª CONVOCAÇÃO"</formula>
    </cfRule>
  </conditionalFormatting>
  <conditionalFormatting sqref="E5:E8 A1:E4">
    <cfRule type="expression" dxfId="555" priority="16036">
      <formula>$Z$6:$Z$20001="2ª CONVOCAÇÃO"</formula>
    </cfRule>
  </conditionalFormatting>
  <conditionalFormatting sqref="E5:E8 A1:E4">
    <cfRule type="expression" dxfId="554" priority="16040">
      <formula>$Z$6:$Z$20001="NÃO ATENDE/AGUARDANDO RETORNO"</formula>
    </cfRule>
  </conditionalFormatting>
  <conditionalFormatting sqref="E5:E8 A1:E4">
    <cfRule type="expression" dxfId="553" priority="16044">
      <formula>$Z$6:$Z$20806="CONTRATADO"</formula>
    </cfRule>
  </conditionalFormatting>
  <conditionalFormatting sqref="E5:E8 A1:E4">
    <cfRule type="expression" dxfId="552" priority="16048">
      <formula>$Z$6:$Z$20806="DESCLASSIFICADO"</formula>
    </cfRule>
  </conditionalFormatting>
  <conditionalFormatting sqref="E5:E8 A1:E4">
    <cfRule type="expression" dxfId="551" priority="16052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E6" sqref="E6"/>
    </sheetView>
  </sheetViews>
  <sheetFormatPr defaultColWidth="14.42578125" defaultRowHeight="15"/>
  <cols>
    <col min="2" max="2" width="22" bestFit="1" customWidth="1"/>
    <col min="3" max="3" width="8" bestFit="1" customWidth="1"/>
    <col min="4" max="4" width="14.285156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27.75" customHeight="1">
      <c r="A3" s="52"/>
      <c r="B3" s="52"/>
      <c r="C3" s="52"/>
      <c r="D3" s="52"/>
      <c r="E3" s="52"/>
    </row>
    <row r="4" spans="1:5" ht="38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8.75" customHeight="1">
      <c r="A5" s="28">
        <v>1</v>
      </c>
      <c r="B5" s="29" t="s">
        <v>5540</v>
      </c>
      <c r="C5" s="30" t="s">
        <v>64</v>
      </c>
      <c r="D5" s="30" t="s">
        <v>5548</v>
      </c>
      <c r="E5" s="21" t="s">
        <v>69</v>
      </c>
    </row>
  </sheetData>
  <mergeCells count="1">
    <mergeCell ref="A1:E3"/>
  </mergeCells>
  <conditionalFormatting sqref="A1:E5">
    <cfRule type="expression" dxfId="550" priority="16353">
      <formula>$E$5:$E$20001="CONTRATADO"</formula>
    </cfRule>
  </conditionalFormatting>
  <conditionalFormatting sqref="A1:E5">
    <cfRule type="expression" dxfId="549" priority="16355">
      <formula>$E$5:$E$20001="DESCLASSIFICADO"</formula>
    </cfRule>
  </conditionalFormatting>
  <conditionalFormatting sqref="A1:E5">
    <cfRule type="expression" dxfId="548" priority="16357">
      <formula>$E$5:$E$20001="REMANEJADO"</formula>
    </cfRule>
  </conditionalFormatting>
  <conditionalFormatting sqref="A1:E5">
    <cfRule type="expression" dxfId="547" priority="16359">
      <formula>$E$5:$E$20001="1ª CONVOCAÇÃO"</formula>
    </cfRule>
  </conditionalFormatting>
  <conditionalFormatting sqref="A1:E5">
    <cfRule type="expression" dxfId="546" priority="16361">
      <formula>$E$5:$E$20001="2ª CONVOCAÇÃO"</formula>
    </cfRule>
  </conditionalFormatting>
  <conditionalFormatting sqref="A1:E5">
    <cfRule type="expression" dxfId="545" priority="16363">
      <formula>$E$5:$E$20001="NÃO ATENDE/AGUARDANDO RETORNO"</formula>
    </cfRule>
  </conditionalFormatting>
  <conditionalFormatting sqref="A1:E5">
    <cfRule type="expression" dxfId="544" priority="16379">
      <formula>$E$5:$E$20806="REMANEJADO"</formula>
    </cfRule>
  </conditionalFormatting>
  <conditionalFormatting sqref="A1:E5">
    <cfRule type="expression" dxfId="543" priority="16383">
      <formula>$E$5:$E$20806="2ª CONVOCAÇÃO"</formula>
    </cfRule>
  </conditionalFormatting>
  <conditionalFormatting sqref="A1:E5">
    <cfRule type="expression" dxfId="542" priority="16385">
      <formula>$E$5:$E$20806="NÃO ATENDE/AGUARDANDO RETORNO"</formula>
    </cfRule>
  </conditionalFormatting>
  <conditionalFormatting sqref="A1:E5">
    <cfRule type="expression" dxfId="541" priority="16387">
      <formula>$E$6:$E$20806="CONTRATADO"</formula>
    </cfRule>
  </conditionalFormatting>
  <conditionalFormatting sqref="A1:E5">
    <cfRule type="expression" dxfId="540" priority="16476">
      <formula>$Z$6:$Z$20806="REMANEJADO"</formula>
    </cfRule>
  </conditionalFormatting>
  <conditionalFormatting sqref="A1:E5">
    <cfRule type="expression" dxfId="539" priority="16478">
      <formula>$Z$6:$Z$20001="DESCLASSIFICADO"</formula>
    </cfRule>
  </conditionalFormatting>
  <conditionalFormatting sqref="A1:E5">
    <cfRule type="expression" dxfId="538" priority="16480">
      <formula>$Z$6:$Z$20001="REMANEJADO"</formula>
    </cfRule>
  </conditionalFormatting>
  <conditionalFormatting sqref="A1:E5">
    <cfRule type="expression" dxfId="537" priority="16482">
      <formula>$Z$6:$Z$20001="1ª CONVOCAÇÃO"</formula>
    </cfRule>
  </conditionalFormatting>
  <conditionalFormatting sqref="A1:E5">
    <cfRule type="expression" dxfId="536" priority="16484">
      <formula>$Z$6:$Z$20001="2ª CONVOCAÇÃO"</formula>
    </cfRule>
  </conditionalFormatting>
  <conditionalFormatting sqref="A1:E5">
    <cfRule type="expression" dxfId="535" priority="16486">
      <formula>$Z$6:$Z$20001="NÃO ATENDE/AGUARDANDO RETORNO"</formula>
    </cfRule>
  </conditionalFormatting>
  <conditionalFormatting sqref="A1:E5">
    <cfRule type="expression" dxfId="534" priority="16488">
      <formula>$Z$6:$Z$20806="CONTRATADO"</formula>
    </cfRule>
  </conditionalFormatting>
  <conditionalFormatting sqref="A1:E5">
    <cfRule type="expression" dxfId="533" priority="16490">
      <formula>$Z$6:$Z$20806="DESCLASSIFICADO"</formula>
    </cfRule>
  </conditionalFormatting>
  <conditionalFormatting sqref="A1:E5">
    <cfRule type="expression" dxfId="532" priority="16492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activeCell="B16" sqref="B16"/>
    </sheetView>
  </sheetViews>
  <sheetFormatPr defaultColWidth="14.42578125" defaultRowHeight="15"/>
  <cols>
    <col min="2" max="2" width="33.42578125" style="48" bestFit="1" customWidth="1"/>
    <col min="3" max="3" width="8" bestFit="1" customWidth="1"/>
    <col min="4" max="4" width="23.28515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5549</v>
      </c>
      <c r="C5" s="45" t="s">
        <v>64</v>
      </c>
      <c r="D5" s="45" t="s">
        <v>5559</v>
      </c>
      <c r="E5" s="21" t="s">
        <v>5198</v>
      </c>
    </row>
    <row r="6" spans="1:5" ht="15.75" customHeight="1">
      <c r="A6" s="45">
        <v>2</v>
      </c>
      <c r="B6" s="51" t="s">
        <v>5560</v>
      </c>
      <c r="C6" s="45" t="s">
        <v>64</v>
      </c>
      <c r="D6" s="45" t="s">
        <v>5559</v>
      </c>
      <c r="E6" s="21" t="s">
        <v>325</v>
      </c>
    </row>
  </sheetData>
  <mergeCells count="1">
    <mergeCell ref="A1:E3"/>
  </mergeCells>
  <conditionalFormatting sqref="A1:D4 E1:E6">
    <cfRule type="expression" dxfId="531" priority="16702">
      <formula>$E$5:$E$20001="CONTRATADO"</formula>
    </cfRule>
  </conditionalFormatting>
  <conditionalFormatting sqref="E5:E6 A1:E4">
    <cfRule type="expression" dxfId="530" priority="16705">
      <formula>$E$5:$E$20001="DESCLASSIFICADO"</formula>
    </cfRule>
  </conditionalFormatting>
  <conditionalFormatting sqref="E5:E6 A1:E4">
    <cfRule type="expression" dxfId="529" priority="16708">
      <formula>$E$5:$E$20001="REMANEJADO"</formula>
    </cfRule>
  </conditionalFormatting>
  <conditionalFormatting sqref="E5:E6 A1:E4">
    <cfRule type="expression" dxfId="528" priority="16711">
      <formula>$E$5:$E$20001="1ª CONVOCAÇÃO"</formula>
    </cfRule>
  </conditionalFormatting>
  <conditionalFormatting sqref="E5:E6 A1:E4">
    <cfRule type="expression" dxfId="527" priority="16714">
      <formula>$E$5:$E$20001="2ª CONVOCAÇÃO"</formula>
    </cfRule>
  </conditionalFormatting>
  <conditionalFormatting sqref="E5:E6 A1:E4">
    <cfRule type="expression" dxfId="526" priority="16717">
      <formula>$E$5:$E$20001="NÃO ATENDE/AGUARDANDO RETORNO"</formula>
    </cfRule>
  </conditionalFormatting>
  <conditionalFormatting sqref="E5:E6 A1:E4">
    <cfRule type="expression" dxfId="525" priority="16720">
      <formula>$E$5:$E$20806="REMANEJADO"</formula>
    </cfRule>
  </conditionalFormatting>
  <conditionalFormatting sqref="E5:E6 A1:E4">
    <cfRule type="expression" dxfId="524" priority="16723">
      <formula>$E$5:$E$20806="2ª CONVOCAÇÃO"</formula>
    </cfRule>
  </conditionalFormatting>
  <conditionalFormatting sqref="E5:E6 A1:E4">
    <cfRule type="expression" dxfId="523" priority="16726">
      <formula>$E$5:$E$20806="NÃO ATENDE/AGUARDANDO RETORNO"</formula>
    </cfRule>
  </conditionalFormatting>
  <conditionalFormatting sqref="E5:E6 A1:E4">
    <cfRule type="expression" dxfId="522" priority="16729">
      <formula>$E$6:$E$20806="CONTRATADO"</formula>
    </cfRule>
  </conditionalFormatting>
  <conditionalFormatting sqref="E5:E6 A1:E4">
    <cfRule type="expression" dxfId="521" priority="16732">
      <formula>$Y$6:$Y$20806="REMANEJADO"</formula>
    </cfRule>
  </conditionalFormatting>
  <conditionalFormatting sqref="E5:E6 A1:E4">
    <cfRule type="expression" dxfId="520" priority="16735">
      <formula>$Y$6:$Y$20001="DESCLASSIFICADO"</formula>
    </cfRule>
  </conditionalFormatting>
  <conditionalFormatting sqref="E5:E6 A1:E4">
    <cfRule type="expression" dxfId="519" priority="16738">
      <formula>$Y$6:$Y$20001="REMANEJADO"</formula>
    </cfRule>
  </conditionalFormatting>
  <conditionalFormatting sqref="E5:E6 A1:E4">
    <cfRule type="expression" dxfId="518" priority="16741">
      <formula>$Y$6:$Y$20001="1ª CONVOCAÇÃO"</formula>
    </cfRule>
  </conditionalFormatting>
  <conditionalFormatting sqref="E5:E6 A1:E4">
    <cfRule type="expression" dxfId="517" priority="16744">
      <formula>$Y$6:$Y$20001="2ª CONVOCAÇÃO"</formula>
    </cfRule>
  </conditionalFormatting>
  <conditionalFormatting sqref="E5:E6 A1:E4">
    <cfRule type="expression" dxfId="516" priority="16747">
      <formula>$Y$6:$Y$20001="NÃO ATENDE/AGUARDANDO RETORNO"</formula>
    </cfRule>
  </conditionalFormatting>
  <conditionalFormatting sqref="E5:E6 A1:E4">
    <cfRule type="expression" dxfId="515" priority="16750">
      <formula>$Y$6:$Y$20806="CONTRATADO"</formula>
    </cfRule>
  </conditionalFormatting>
  <conditionalFormatting sqref="E5:E6 A1:E4">
    <cfRule type="expression" dxfId="514" priority="16753">
      <formula>$Y$6:$Y$20806="DESCLASSIFICADO"</formula>
    </cfRule>
  </conditionalFormatting>
  <conditionalFormatting sqref="E5:E6 A1:E4">
    <cfRule type="expression" dxfId="513" priority="16756">
      <formula>$Y$6:$Y$20806="1ª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R8"/>
  <sheetViews>
    <sheetView zoomScaleNormal="100" workbookViewId="0">
      <selection sqref="A1:E3"/>
    </sheetView>
  </sheetViews>
  <sheetFormatPr defaultColWidth="14.42578125" defaultRowHeight="15"/>
  <cols>
    <col min="2" max="2" width="33.5703125" style="48" bestFit="1" customWidth="1"/>
    <col min="3" max="3" width="16.5703125" customWidth="1"/>
    <col min="4" max="4" width="2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5568</v>
      </c>
      <c r="C5" s="45" t="s">
        <v>64</v>
      </c>
      <c r="D5" s="45" t="s">
        <v>5573</v>
      </c>
      <c r="E5" s="21" t="s">
        <v>325</v>
      </c>
    </row>
    <row r="6" spans="1:5" ht="15" customHeight="1">
      <c r="A6" s="45">
        <v>2</v>
      </c>
      <c r="B6" s="51" t="s">
        <v>5574</v>
      </c>
      <c r="C6" s="45" t="s">
        <v>64</v>
      </c>
      <c r="D6" s="45" t="s">
        <v>5573</v>
      </c>
      <c r="E6" s="21" t="s">
        <v>325</v>
      </c>
    </row>
    <row r="7" spans="1:5" ht="15.75" customHeight="1">
      <c r="A7" s="45">
        <v>3</v>
      </c>
      <c r="B7" s="51" t="s">
        <v>5580</v>
      </c>
      <c r="C7" s="45" t="s">
        <v>64</v>
      </c>
      <c r="D7" s="45" t="s">
        <v>5573</v>
      </c>
      <c r="E7" s="21" t="s">
        <v>325</v>
      </c>
    </row>
    <row r="8" spans="1:5" ht="15.75" customHeight="1">
      <c r="A8" s="45">
        <v>1</v>
      </c>
      <c r="B8" s="51" t="s">
        <v>5588</v>
      </c>
      <c r="C8" s="45" t="s">
        <v>204</v>
      </c>
      <c r="D8" s="45" t="s">
        <v>5573</v>
      </c>
      <c r="E8" s="21" t="s">
        <v>69</v>
      </c>
    </row>
  </sheetData>
  <mergeCells count="1">
    <mergeCell ref="A1:E3"/>
  </mergeCells>
  <conditionalFormatting sqref="A1:D4 E1:E8">
    <cfRule type="expression" dxfId="512" priority="16760">
      <formula>$E$5:$E$20001="CONTRATADO"</formula>
    </cfRule>
  </conditionalFormatting>
  <conditionalFormatting sqref="E5:E8 A1:E4">
    <cfRule type="expression" dxfId="511" priority="16763">
      <formula>$E$5:$E$20001="DESCLASSIFICADO"</formula>
    </cfRule>
  </conditionalFormatting>
  <conditionalFormatting sqref="E5:E8 A1:E4">
    <cfRule type="expression" dxfId="510" priority="16766">
      <formula>$E$5:$E$20001="REMANEJADO"</formula>
    </cfRule>
  </conditionalFormatting>
  <conditionalFormatting sqref="E5:E8 A1:E4">
    <cfRule type="expression" dxfId="509" priority="16769">
      <formula>$E$5:$E$20001="1ª CONVOCAÇÃO"</formula>
    </cfRule>
  </conditionalFormatting>
  <conditionalFormatting sqref="E5:E8 A1:E4">
    <cfRule type="expression" dxfId="508" priority="16772">
      <formula>$E$5:$E$20001="2ª CONVOCAÇÃO"</formula>
    </cfRule>
  </conditionalFormatting>
  <conditionalFormatting sqref="E5:E8 A1:E4">
    <cfRule type="expression" dxfId="507" priority="16775">
      <formula>$E$5:$E$20001="NÃO ATENDE/AGUARDANDO RETORNO"</formula>
    </cfRule>
  </conditionalFormatting>
  <conditionalFormatting sqref="E5:E8 A1:E4">
    <cfRule type="expression" dxfId="506" priority="16800">
      <formula>$E$5:$E$20806="REMANEJADO"</formula>
    </cfRule>
  </conditionalFormatting>
  <conditionalFormatting sqref="E5:E8 A1:E4">
    <cfRule type="expression" dxfId="505" priority="16806">
      <formula>$E$5:$E$20806="2ª CONVOCAÇÃO"</formula>
    </cfRule>
  </conditionalFormatting>
  <conditionalFormatting sqref="E5:E8 A1:E4">
    <cfRule type="expression" dxfId="504" priority="16809">
      <formula>$E$5:$E$20806="NÃO ATENDE/AGUARDANDO RETORNO"</formula>
    </cfRule>
  </conditionalFormatting>
  <conditionalFormatting sqref="E5:E8 A1:E4">
    <cfRule type="expression" dxfId="503" priority="16812">
      <formula>$E$6:$E$20806="CONTRATADO"</formula>
    </cfRule>
  </conditionalFormatting>
  <conditionalFormatting sqref="E5:E8 A1:E4">
    <cfRule type="expression" dxfId="502" priority="16981">
      <formula>$Z$6:$Z$20806="REMANEJADO"</formula>
    </cfRule>
  </conditionalFormatting>
  <conditionalFormatting sqref="E5:E8 A1:E4">
    <cfRule type="expression" dxfId="501" priority="16985">
      <formula>$Z$6:$Z$20001="DESCLASSIFICADO"</formula>
    </cfRule>
  </conditionalFormatting>
  <conditionalFormatting sqref="E5:E8 A1:E4">
    <cfRule type="expression" dxfId="500" priority="16989">
      <formula>$Z$6:$Z$20001="REMANEJADO"</formula>
    </cfRule>
  </conditionalFormatting>
  <conditionalFormatting sqref="E5:E8 A1:E4">
    <cfRule type="expression" dxfId="499" priority="16993">
      <formula>$Z$6:$Z$20001="1ª CONVOCAÇÃO"</formula>
    </cfRule>
  </conditionalFormatting>
  <conditionalFormatting sqref="E5:E8 A1:E4">
    <cfRule type="expression" dxfId="498" priority="16997">
      <formula>$Z$6:$Z$20001="2ª CONVOCAÇÃO"</formula>
    </cfRule>
  </conditionalFormatting>
  <conditionalFormatting sqref="E5:E8 A1:E4">
    <cfRule type="expression" dxfId="497" priority="17001">
      <formula>$Z$6:$Z$20001="NÃO ATENDE/AGUARDANDO RETORNO"</formula>
    </cfRule>
  </conditionalFormatting>
  <conditionalFormatting sqref="E5:E8 A1:E4">
    <cfRule type="expression" dxfId="496" priority="17005">
      <formula>$Z$6:$Z$20806="CONTRATADO"</formula>
    </cfRule>
  </conditionalFormatting>
  <conditionalFormatting sqref="E5:E8 A1:E4">
    <cfRule type="expression" dxfId="495" priority="17009">
      <formula>$Z$6:$Z$20806="DESCLASSIFICADO"</formula>
    </cfRule>
  </conditionalFormatting>
  <conditionalFormatting sqref="E5:E8 A1:E4">
    <cfRule type="expression" dxfId="494" priority="17013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D14" sqref="D14"/>
    </sheetView>
  </sheetViews>
  <sheetFormatPr defaultColWidth="14.42578125" defaultRowHeight="15"/>
  <cols>
    <col min="2" max="2" width="31.5703125" style="48" bestFit="1" customWidth="1"/>
    <col min="3" max="3" width="21.85546875" customWidth="1"/>
    <col min="4" max="4" width="22.28515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>
      <c r="A5" s="28">
        <v>1</v>
      </c>
      <c r="B5" s="50" t="s">
        <v>70</v>
      </c>
      <c r="C5" s="30" t="s">
        <v>80</v>
      </c>
      <c r="D5" s="30" t="s">
        <v>81</v>
      </c>
      <c r="E5" s="21" t="s">
        <v>69</v>
      </c>
    </row>
    <row r="6" spans="1:5">
      <c r="A6" s="45">
        <v>1</v>
      </c>
      <c r="B6" s="51" t="s">
        <v>82</v>
      </c>
      <c r="C6" s="45" t="s">
        <v>64</v>
      </c>
      <c r="D6" s="45" t="s">
        <v>81</v>
      </c>
      <c r="E6" s="21" t="s">
        <v>325</v>
      </c>
    </row>
    <row r="7" spans="1:5">
      <c r="A7" s="45">
        <v>2</v>
      </c>
      <c r="B7" s="51" t="s">
        <v>92</v>
      </c>
      <c r="C7" s="45" t="s">
        <v>64</v>
      </c>
      <c r="D7" s="45" t="s">
        <v>81</v>
      </c>
      <c r="E7" s="21" t="s">
        <v>325</v>
      </c>
    </row>
    <row r="8" spans="1:5">
      <c r="A8" s="45">
        <v>3</v>
      </c>
      <c r="B8" s="51" t="s">
        <v>99</v>
      </c>
      <c r="C8" s="45" t="s">
        <v>64</v>
      </c>
      <c r="D8" s="45" t="s">
        <v>81</v>
      </c>
      <c r="E8" s="21" t="s">
        <v>325</v>
      </c>
    </row>
  </sheetData>
  <mergeCells count="1">
    <mergeCell ref="A1:E3"/>
  </mergeCells>
  <conditionalFormatting sqref="A1:D5 E1:E8">
    <cfRule type="expression" dxfId="1680" priority="102">
      <formula>$E$5:$E$20000="CONTRATADO"</formula>
    </cfRule>
  </conditionalFormatting>
  <conditionalFormatting sqref="E6:E8 A1:E5">
    <cfRule type="expression" dxfId="1679" priority="105">
      <formula>$E$5:$E$20000="DESCLASSIFICADO"</formula>
    </cfRule>
  </conditionalFormatting>
  <conditionalFormatting sqref="E6:E8 A1:E5">
    <cfRule type="expression" dxfId="1678" priority="108">
      <formula>$E$5:$E$20000="REMANEJADO"</formula>
    </cfRule>
  </conditionalFormatting>
  <conditionalFormatting sqref="E6:E8 A1:E5">
    <cfRule type="expression" dxfId="1677" priority="111">
      <formula>$E$5:$E$20000="1ª CONVOCAÇÃO"</formula>
    </cfRule>
  </conditionalFormatting>
  <conditionalFormatting sqref="E6:E8 A1:E5">
    <cfRule type="expression" dxfId="1676" priority="114">
      <formula>$E$5:$E$20000="2ª CONVOCAÇÃO"</formula>
    </cfRule>
  </conditionalFormatting>
  <conditionalFormatting sqref="E6:E8 A1:E5">
    <cfRule type="expression" dxfId="1675" priority="117">
      <formula>$E$5:$E$20000="NÃO ATENDE/AGUARDANDO RETORNO"</formula>
    </cfRule>
  </conditionalFormatting>
  <conditionalFormatting sqref="E6:E8 A1:E5">
    <cfRule type="expression" dxfId="1674" priority="142">
      <formula>$E$5:$E$20805="REMANEJADO"</formula>
    </cfRule>
  </conditionalFormatting>
  <conditionalFormatting sqref="E6:E8 A1:E5">
    <cfRule type="expression" dxfId="1673" priority="148">
      <formula>$E$5:$E$20805="2ª CONVOCAÇÃO"</formula>
    </cfRule>
  </conditionalFormatting>
  <conditionalFormatting sqref="E6:E8 A1:E5">
    <cfRule type="expression" dxfId="1672" priority="151">
      <formula>$E$5:$E$20805="NÃO ATENDE/AGUARDANDO RETORNO"</formula>
    </cfRule>
  </conditionalFormatting>
  <conditionalFormatting sqref="E6:E8 A1:E5">
    <cfRule type="expression" dxfId="1671" priority="154">
      <formula>$E$6:$E$20805="CONTRATADO"</formula>
    </cfRule>
  </conditionalFormatting>
  <conditionalFormatting sqref="E6:E8 A1:E5">
    <cfRule type="expression" dxfId="1670" priority="1445">
      <formula>$Z$6:$Z$20805="REMANEJADO"</formula>
    </cfRule>
  </conditionalFormatting>
  <conditionalFormatting sqref="E6:E8 A1:E5">
    <cfRule type="expression" dxfId="1669" priority="1449">
      <formula>$Z$6:$Z$20000="DESCLASSIFICADO"</formula>
    </cfRule>
  </conditionalFormatting>
  <conditionalFormatting sqref="E6:E8 A1:E5">
    <cfRule type="expression" dxfId="1668" priority="1453">
      <formula>$Z$6:$Z$20000="REMANEJADO"</formula>
    </cfRule>
  </conditionalFormatting>
  <conditionalFormatting sqref="E6:E8 A1:E5">
    <cfRule type="expression" dxfId="1667" priority="1457">
      <formula>$Z$6:$Z$20000="1ª CONVOCAÇÃO"</formula>
    </cfRule>
  </conditionalFormatting>
  <conditionalFormatting sqref="E6:E8 A1:E5">
    <cfRule type="expression" dxfId="1666" priority="1461">
      <formula>$Z$6:$Z$20000="2ª CONVOCAÇÃO"</formula>
    </cfRule>
  </conditionalFormatting>
  <conditionalFormatting sqref="E6:E8 A1:E5">
    <cfRule type="expression" dxfId="1665" priority="1465">
      <formula>$Z$6:$Z$20000="NÃO ATENDE/AGUARDANDO RETORNO"</formula>
    </cfRule>
  </conditionalFormatting>
  <conditionalFormatting sqref="E6:E8 A1:E5">
    <cfRule type="expression" dxfId="1664" priority="1469">
      <formula>$Z$6:$Z$20805="CONTRATADO"</formula>
    </cfRule>
  </conditionalFormatting>
  <conditionalFormatting sqref="E6:E8 A1:E5">
    <cfRule type="expression" dxfId="1663" priority="1473">
      <formula>$Z$6:$Z$20805="DESCLASSIFICADO"</formula>
    </cfRule>
  </conditionalFormatting>
  <conditionalFormatting sqref="E6:E8 A1:E5">
    <cfRule type="expression" dxfId="1662" priority="1477">
      <formula>$Z$6:$Z$20805="1ª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Normal="100" workbookViewId="0">
      <selection sqref="A1:E3"/>
    </sheetView>
  </sheetViews>
  <sheetFormatPr defaultColWidth="14.42578125" defaultRowHeight="15"/>
  <cols>
    <col min="2" max="2" width="37.5703125" bestFit="1" customWidth="1"/>
    <col min="3" max="3" width="17.140625" customWidth="1"/>
    <col min="4" max="4" width="24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5495</v>
      </c>
      <c r="C5" s="30" t="s">
        <v>64</v>
      </c>
      <c r="D5" s="30" t="s">
        <v>5505</v>
      </c>
      <c r="E5" s="21" t="s">
        <v>69</v>
      </c>
    </row>
    <row r="6" spans="1:5" ht="15.75" customHeight="1">
      <c r="A6" s="28">
        <v>2</v>
      </c>
      <c r="B6" s="29" t="s">
        <v>5506</v>
      </c>
      <c r="C6" s="30" t="s">
        <v>64</v>
      </c>
      <c r="D6" s="30" t="s">
        <v>5505</v>
      </c>
      <c r="E6" s="21" t="s">
        <v>69</v>
      </c>
    </row>
    <row r="7" spans="1:5" ht="15.75" customHeight="1">
      <c r="A7" s="28">
        <v>3</v>
      </c>
      <c r="B7" s="29" t="s">
        <v>5513</v>
      </c>
      <c r="C7" s="30" t="s">
        <v>64</v>
      </c>
      <c r="D7" s="30" t="s">
        <v>5505</v>
      </c>
      <c r="E7" s="21" t="s">
        <v>69</v>
      </c>
    </row>
    <row r="8" spans="1:5" ht="15.75" customHeight="1">
      <c r="A8" s="28">
        <v>4</v>
      </c>
      <c r="B8" s="29" t="s">
        <v>5519</v>
      </c>
      <c r="C8" s="30" t="s">
        <v>64</v>
      </c>
      <c r="D8" s="30" t="s">
        <v>5505</v>
      </c>
      <c r="E8" s="21" t="s">
        <v>69</v>
      </c>
    </row>
    <row r="9" spans="1:5" ht="15.75" customHeight="1">
      <c r="A9" s="28">
        <v>5</v>
      </c>
      <c r="B9" s="29" t="s">
        <v>5526</v>
      </c>
      <c r="C9" s="30" t="s">
        <v>64</v>
      </c>
      <c r="D9" s="30" t="s">
        <v>5505</v>
      </c>
      <c r="E9" s="21" t="s">
        <v>69</v>
      </c>
    </row>
    <row r="10" spans="1:5" ht="15.75" customHeight="1">
      <c r="A10" s="28">
        <v>6</v>
      </c>
      <c r="B10" s="29" t="s">
        <v>5535</v>
      </c>
      <c r="C10" s="30" t="s">
        <v>64</v>
      </c>
      <c r="D10" s="30" t="s">
        <v>5505</v>
      </c>
      <c r="E10" s="21" t="s">
        <v>69</v>
      </c>
    </row>
  </sheetData>
  <mergeCells count="1">
    <mergeCell ref="A1:E3"/>
  </mergeCells>
  <conditionalFormatting sqref="A1:E10">
    <cfRule type="expression" dxfId="493" priority="17314">
      <formula>$E$5:$E$20001="CONTRATADO"</formula>
    </cfRule>
  </conditionalFormatting>
  <conditionalFormatting sqref="A1:E10">
    <cfRule type="expression" dxfId="492" priority="17316">
      <formula>$E$5:$E$20001="DESCLASSIFICADO"</formula>
    </cfRule>
  </conditionalFormatting>
  <conditionalFormatting sqref="A1:E10">
    <cfRule type="expression" dxfId="491" priority="17318">
      <formula>$E$5:$E$20001="REMANEJADO"</formula>
    </cfRule>
  </conditionalFormatting>
  <conditionalFormatting sqref="A1:E10">
    <cfRule type="expression" dxfId="490" priority="17320">
      <formula>$E$5:$E$20001="1ª CONVOCAÇÃO"</formula>
    </cfRule>
  </conditionalFormatting>
  <conditionalFormatting sqref="A1:E10">
    <cfRule type="expression" dxfId="489" priority="17322">
      <formula>$E$5:$E$20001="2ª CONVOCAÇÃO"</formula>
    </cfRule>
  </conditionalFormatting>
  <conditionalFormatting sqref="A1:E10">
    <cfRule type="expression" dxfId="488" priority="17324">
      <formula>$E$5:$E$20001="NÃO ATENDE/AGUARDANDO RETORNO"</formula>
    </cfRule>
  </conditionalFormatting>
  <conditionalFormatting sqref="A1:E10">
    <cfRule type="expression" dxfId="487" priority="17340">
      <formula>$E$5:$E$20806="REMANEJADO"</formula>
    </cfRule>
  </conditionalFormatting>
  <conditionalFormatting sqref="A1:E10">
    <cfRule type="expression" dxfId="486" priority="17344">
      <formula>$E$5:$E$20806="2ª CONVOCAÇÃO"</formula>
    </cfRule>
  </conditionalFormatting>
  <conditionalFormatting sqref="A1:E10">
    <cfRule type="expression" dxfId="485" priority="17346">
      <formula>$E$5:$E$20806="NÃO ATENDE/AGUARDANDO RETORNO"</formula>
    </cfRule>
  </conditionalFormatting>
  <conditionalFormatting sqref="A1:E10">
    <cfRule type="expression" dxfId="484" priority="17348">
      <formula>$E$6:$E$20806="CONTRATADO"</formula>
    </cfRule>
  </conditionalFormatting>
  <conditionalFormatting sqref="A1:E10">
    <cfRule type="expression" dxfId="483" priority="17437">
      <formula>$Y$6:$Y$20806="REMANEJADO"</formula>
    </cfRule>
  </conditionalFormatting>
  <conditionalFormatting sqref="A1:E10">
    <cfRule type="expression" dxfId="482" priority="17439">
      <formula>$Y$6:$Y$20001="DESCLASSIFICADO"</formula>
    </cfRule>
  </conditionalFormatting>
  <conditionalFormatting sqref="A1:E10">
    <cfRule type="expression" dxfId="481" priority="17441">
      <formula>$Y$6:$Y$20001="REMANEJADO"</formula>
    </cfRule>
  </conditionalFormatting>
  <conditionalFormatting sqref="A1:E10">
    <cfRule type="expression" dxfId="480" priority="17443">
      <formula>$Y$6:$Y$20001="1ª CONVOCAÇÃO"</formula>
    </cfRule>
  </conditionalFormatting>
  <conditionalFormatting sqref="A1:E10">
    <cfRule type="expression" dxfId="479" priority="17445">
      <formula>$Y$6:$Y$20001="2ª CONVOCAÇÃO"</formula>
    </cfRule>
  </conditionalFormatting>
  <conditionalFormatting sqref="A1:E10">
    <cfRule type="expression" dxfId="478" priority="17447">
      <formula>$Y$6:$Y$20001="NÃO ATENDE/AGUARDANDO RETORNO"</formula>
    </cfRule>
  </conditionalFormatting>
  <conditionalFormatting sqref="A1:E10">
    <cfRule type="expression" dxfId="477" priority="17449">
      <formula>$Y$6:$Y$20806="CONTRATADO"</formula>
    </cfRule>
  </conditionalFormatting>
  <conditionalFormatting sqref="A1:E10">
    <cfRule type="expression" dxfId="476" priority="17451">
      <formula>$Y$6:$Y$20806="DESCLASSIFICADO"</formula>
    </cfRule>
  </conditionalFormatting>
  <conditionalFormatting sqref="A1:E10">
    <cfRule type="expression" dxfId="475" priority="17453">
      <formula>$Y$6:$Y$20806="1ª CONVOCAÇÃO"</formula>
    </cfRule>
  </conditionalFormatting>
  <dataValidations count="1">
    <dataValidation type="list" allowBlank="1" showErrorMessage="1" sqref="E5:E10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pane ySplit="4" topLeftCell="A5" activePane="bottomLeft" state="frozen"/>
      <selection pane="bottomLeft" sqref="A1:E3"/>
    </sheetView>
  </sheetViews>
  <sheetFormatPr defaultColWidth="14.42578125" defaultRowHeight="15"/>
  <cols>
    <col min="2" max="2" width="37" bestFit="1" customWidth="1"/>
    <col min="3" max="3" width="8" bestFit="1" customWidth="1"/>
    <col min="4" max="4" width="21.28515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5595</v>
      </c>
      <c r="C5" s="30" t="s">
        <v>64</v>
      </c>
      <c r="D5" s="30" t="s">
        <v>5604</v>
      </c>
      <c r="E5" s="21" t="s">
        <v>69</v>
      </c>
    </row>
    <row r="6" spans="1:5" ht="15.75" customHeight="1">
      <c r="A6" s="28">
        <v>2</v>
      </c>
      <c r="B6" s="29" t="s">
        <v>5605</v>
      </c>
      <c r="C6" s="30" t="s">
        <v>64</v>
      </c>
      <c r="D6" s="30" t="s">
        <v>5604</v>
      </c>
      <c r="E6" s="21" t="s">
        <v>69</v>
      </c>
    </row>
    <row r="7" spans="1:5" ht="15.75" customHeight="1">
      <c r="A7" s="28">
        <v>3</v>
      </c>
      <c r="B7" s="29" t="s">
        <v>5611</v>
      </c>
      <c r="C7" s="30" t="s">
        <v>64</v>
      </c>
      <c r="D7" s="30" t="s">
        <v>5604</v>
      </c>
      <c r="E7" s="21" t="s">
        <v>69</v>
      </c>
    </row>
    <row r="8" spans="1:5" ht="15.75" customHeight="1">
      <c r="A8" s="28">
        <v>4</v>
      </c>
      <c r="B8" s="29" t="s">
        <v>5617</v>
      </c>
      <c r="C8" s="30" t="s">
        <v>64</v>
      </c>
      <c r="D8" s="30" t="s">
        <v>5604</v>
      </c>
      <c r="E8" s="21" t="s">
        <v>69</v>
      </c>
    </row>
    <row r="9" spans="1:5" ht="15.75" customHeight="1">
      <c r="A9" s="28">
        <v>5</v>
      </c>
      <c r="B9" s="29" t="s">
        <v>5624</v>
      </c>
      <c r="C9" s="30" t="s">
        <v>64</v>
      </c>
      <c r="D9" s="30" t="s">
        <v>5604</v>
      </c>
      <c r="E9" s="21" t="s">
        <v>69</v>
      </c>
    </row>
    <row r="10" spans="1:5" ht="15.75" customHeight="1">
      <c r="A10" s="28">
        <v>6</v>
      </c>
      <c r="B10" s="29" t="s">
        <v>5632</v>
      </c>
      <c r="C10" s="30" t="s">
        <v>64</v>
      </c>
      <c r="D10" s="30" t="s">
        <v>5604</v>
      </c>
      <c r="E10" s="21" t="s">
        <v>69</v>
      </c>
    </row>
    <row r="11" spans="1:5" ht="15.75" customHeight="1">
      <c r="A11" s="28">
        <v>7</v>
      </c>
      <c r="B11" s="29" t="s">
        <v>5638</v>
      </c>
      <c r="C11" s="30" t="s">
        <v>64</v>
      </c>
      <c r="D11" s="30" t="s">
        <v>5604</v>
      </c>
      <c r="E11" s="21" t="s">
        <v>69</v>
      </c>
    </row>
    <row r="12" spans="1:5" ht="15" customHeight="1">
      <c r="A12" s="28">
        <v>8</v>
      </c>
      <c r="B12" s="29" t="s">
        <v>5646</v>
      </c>
      <c r="C12" s="30" t="s">
        <v>64</v>
      </c>
      <c r="D12" s="30" t="s">
        <v>5604</v>
      </c>
      <c r="E12" s="21" t="s">
        <v>69</v>
      </c>
    </row>
    <row r="13" spans="1:5" ht="15.75" customHeight="1">
      <c r="A13" s="28">
        <v>9</v>
      </c>
      <c r="B13" s="29" t="s">
        <v>5652</v>
      </c>
      <c r="C13" s="30" t="s">
        <v>64</v>
      </c>
      <c r="D13" s="30" t="s">
        <v>5604</v>
      </c>
      <c r="E13" s="21" t="s">
        <v>69</v>
      </c>
    </row>
    <row r="14" spans="1:5" ht="15.75" customHeight="1">
      <c r="A14" s="28">
        <v>10</v>
      </c>
      <c r="B14" s="29" t="s">
        <v>5659</v>
      </c>
      <c r="C14" s="30" t="s">
        <v>64</v>
      </c>
      <c r="D14" s="30" t="s">
        <v>5604</v>
      </c>
      <c r="E14" s="21" t="s">
        <v>69</v>
      </c>
    </row>
    <row r="15" spans="1:5" ht="15.75" customHeight="1">
      <c r="A15" s="28">
        <v>11</v>
      </c>
      <c r="B15" s="29" t="s">
        <v>5665</v>
      </c>
      <c r="C15" s="30" t="s">
        <v>64</v>
      </c>
      <c r="D15" s="30" t="s">
        <v>5604</v>
      </c>
      <c r="E15" s="21" t="s">
        <v>69</v>
      </c>
    </row>
    <row r="16" spans="1:5" ht="15.75" customHeight="1">
      <c r="A16" s="28">
        <v>12</v>
      </c>
      <c r="B16" s="29" t="s">
        <v>5674</v>
      </c>
      <c r="C16" s="30" t="s">
        <v>64</v>
      </c>
      <c r="D16" s="30" t="s">
        <v>5604</v>
      </c>
      <c r="E16" s="21" t="s">
        <v>69</v>
      </c>
    </row>
    <row r="17" spans="1:5" ht="15.75" customHeight="1">
      <c r="A17" s="28">
        <v>13</v>
      </c>
      <c r="B17" s="29" t="s">
        <v>5680</v>
      </c>
      <c r="C17" s="30" t="s">
        <v>64</v>
      </c>
      <c r="D17" s="30" t="s">
        <v>5604</v>
      </c>
      <c r="E17" s="21" t="s">
        <v>69</v>
      </c>
    </row>
    <row r="18" spans="1:5" ht="15.75" customHeight="1">
      <c r="A18" s="28">
        <v>14</v>
      </c>
      <c r="B18" s="29" t="s">
        <v>5688</v>
      </c>
      <c r="C18" s="30" t="s">
        <v>64</v>
      </c>
      <c r="D18" s="30" t="s">
        <v>5604</v>
      </c>
      <c r="E18" s="21" t="s">
        <v>69</v>
      </c>
    </row>
    <row r="19" spans="1:5" ht="15.75" customHeight="1">
      <c r="A19" s="28">
        <v>15</v>
      </c>
      <c r="B19" s="29" t="s">
        <v>5694</v>
      </c>
      <c r="C19" s="30" t="s">
        <v>64</v>
      </c>
      <c r="D19" s="30" t="s">
        <v>5604</v>
      </c>
      <c r="E19" s="21" t="s">
        <v>69</v>
      </c>
    </row>
    <row r="20" spans="1:5" ht="15.75" customHeight="1">
      <c r="A20" s="28">
        <v>16</v>
      </c>
      <c r="B20" s="29" t="s">
        <v>5699</v>
      </c>
      <c r="C20" s="30" t="s">
        <v>64</v>
      </c>
      <c r="D20" s="30" t="s">
        <v>5604</v>
      </c>
      <c r="E20" s="21" t="s">
        <v>69</v>
      </c>
    </row>
    <row r="21" spans="1:5" ht="15.75" customHeight="1">
      <c r="A21" s="28">
        <v>17</v>
      </c>
      <c r="B21" s="29" t="s">
        <v>5704</v>
      </c>
      <c r="C21" s="30" t="s">
        <v>64</v>
      </c>
      <c r="D21" s="30" t="s">
        <v>5604</v>
      </c>
      <c r="E21" s="21" t="s">
        <v>69</v>
      </c>
    </row>
    <row r="22" spans="1:5" ht="15.75" customHeight="1">
      <c r="A22" s="28">
        <v>18</v>
      </c>
      <c r="B22" s="29" t="s">
        <v>5709</v>
      </c>
      <c r="C22" s="30" t="s">
        <v>64</v>
      </c>
      <c r="D22" s="30" t="s">
        <v>5604</v>
      </c>
      <c r="E22" s="21" t="s">
        <v>69</v>
      </c>
    </row>
  </sheetData>
  <mergeCells count="1">
    <mergeCell ref="A1:E3"/>
  </mergeCells>
  <conditionalFormatting sqref="A1:E22">
    <cfRule type="expression" dxfId="474" priority="17754">
      <formula>$E$5:$E$20001="CONTRATADO"</formula>
    </cfRule>
  </conditionalFormatting>
  <conditionalFormatting sqref="A1:E22">
    <cfRule type="expression" dxfId="473" priority="17756">
      <formula>$E$5:$E$20001="DESCLASSIFICADO"</formula>
    </cfRule>
  </conditionalFormatting>
  <conditionalFormatting sqref="A1:E22">
    <cfRule type="expression" dxfId="472" priority="17758">
      <formula>$E$5:$E$20001="REMANEJADO"</formula>
    </cfRule>
  </conditionalFormatting>
  <conditionalFormatting sqref="A1:E22">
    <cfRule type="expression" dxfId="471" priority="17760">
      <formula>$E$5:$E$20001="1ª CONVOCAÇÃO"</formula>
    </cfRule>
  </conditionalFormatting>
  <conditionalFormatting sqref="A1:E22">
    <cfRule type="expression" dxfId="470" priority="17762">
      <formula>$E$5:$E$20001="2ª CONVOCAÇÃO"</formula>
    </cfRule>
  </conditionalFormatting>
  <conditionalFormatting sqref="A1:E22">
    <cfRule type="expression" dxfId="469" priority="17764">
      <formula>$E$5:$E$20001="NÃO ATENDE/AGUARDANDO RETORNO"</formula>
    </cfRule>
  </conditionalFormatting>
  <conditionalFormatting sqref="A1:E22">
    <cfRule type="expression" dxfId="468" priority="17780">
      <formula>$E$5:$E$20806="REMANEJADO"</formula>
    </cfRule>
  </conditionalFormatting>
  <conditionalFormatting sqref="A1:E22">
    <cfRule type="expression" dxfId="467" priority="17784">
      <formula>$E$5:$E$20806="2ª CONVOCAÇÃO"</formula>
    </cfRule>
  </conditionalFormatting>
  <conditionalFormatting sqref="A1:E22">
    <cfRule type="expression" dxfId="466" priority="17786">
      <formula>$E$5:$E$20806="NÃO ATENDE/AGUARDANDO RETORNO"</formula>
    </cfRule>
  </conditionalFormatting>
  <conditionalFormatting sqref="A1:E22">
    <cfRule type="expression" dxfId="465" priority="17788">
      <formula>$E$6:$E$20806="CONTRATADO"</formula>
    </cfRule>
  </conditionalFormatting>
  <conditionalFormatting sqref="A1:E22">
    <cfRule type="expression" dxfId="464" priority="17877">
      <formula>$Z$6:$Z$20806="REMANEJADO"</formula>
    </cfRule>
  </conditionalFormatting>
  <conditionalFormatting sqref="A1:E22">
    <cfRule type="expression" dxfId="463" priority="17879">
      <formula>$Z$6:$Z$20001="DESCLASSIFICADO"</formula>
    </cfRule>
  </conditionalFormatting>
  <conditionalFormatting sqref="A1:E22">
    <cfRule type="expression" dxfId="462" priority="17881">
      <formula>$Z$6:$Z$20001="REMANEJADO"</formula>
    </cfRule>
  </conditionalFormatting>
  <conditionalFormatting sqref="A1:E22">
    <cfRule type="expression" dxfId="461" priority="17883">
      <formula>$Z$6:$Z$20001="1ª CONVOCAÇÃO"</formula>
    </cfRule>
  </conditionalFormatting>
  <conditionalFormatting sqref="A1:E22">
    <cfRule type="expression" dxfId="460" priority="17885">
      <formula>$Z$6:$Z$20001="2ª CONVOCAÇÃO"</formula>
    </cfRule>
  </conditionalFormatting>
  <conditionalFormatting sqref="A1:E22">
    <cfRule type="expression" dxfId="459" priority="17887">
      <formula>$Z$6:$Z$20001="NÃO ATENDE/AGUARDANDO RETORNO"</formula>
    </cfRule>
  </conditionalFormatting>
  <conditionalFormatting sqref="A1:E22">
    <cfRule type="expression" dxfId="458" priority="17889">
      <formula>$Z$6:$Z$20806="CONTRATADO"</formula>
    </cfRule>
  </conditionalFormatting>
  <conditionalFormatting sqref="A1:E22">
    <cfRule type="expression" dxfId="457" priority="17891">
      <formula>$Z$6:$Z$20806="DESCLASSIFICADO"</formula>
    </cfRule>
  </conditionalFormatting>
  <conditionalFormatting sqref="A1:E22">
    <cfRule type="expression" dxfId="456" priority="17893">
      <formula>$Z$6:$Z$20806="1ª CONVOCAÇÃO"</formula>
    </cfRule>
  </conditionalFormatting>
  <dataValidations count="1">
    <dataValidation type="list" allowBlank="1" showErrorMessage="1" sqref="E5:E22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F11" sqref="F11"/>
    </sheetView>
  </sheetViews>
  <sheetFormatPr defaultColWidth="14.42578125" defaultRowHeight="15"/>
  <cols>
    <col min="2" max="2" width="32.42578125" style="48" bestFit="1" customWidth="1"/>
    <col min="3" max="3" width="8" bestFit="1" customWidth="1"/>
    <col min="4" max="4" width="20.140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5714</v>
      </c>
      <c r="C5" s="45" t="s">
        <v>64</v>
      </c>
      <c r="D5" s="45" t="s">
        <v>5722</v>
      </c>
      <c r="E5" s="21" t="s">
        <v>325</v>
      </c>
    </row>
    <row r="6" spans="1:5" ht="15.75" customHeight="1">
      <c r="A6" s="45">
        <v>2</v>
      </c>
      <c r="B6" s="51" t="s">
        <v>5723</v>
      </c>
      <c r="C6" s="45" t="s">
        <v>64</v>
      </c>
      <c r="D6" s="45" t="s">
        <v>5722</v>
      </c>
      <c r="E6" s="21" t="s">
        <v>5198</v>
      </c>
    </row>
    <row r="7" spans="1:5" ht="15.75" customHeight="1">
      <c r="A7" s="45">
        <v>3</v>
      </c>
      <c r="B7" s="51" t="s">
        <v>5731</v>
      </c>
      <c r="C7" s="45" t="s">
        <v>64</v>
      </c>
      <c r="D7" s="45" t="s">
        <v>5722</v>
      </c>
      <c r="E7" s="21" t="s">
        <v>325</v>
      </c>
    </row>
    <row r="8" spans="1:5" ht="15.75" customHeight="1">
      <c r="A8" s="45">
        <v>4</v>
      </c>
      <c r="B8" s="51" t="s">
        <v>5739</v>
      </c>
      <c r="C8" s="45" t="s">
        <v>64</v>
      </c>
      <c r="D8" s="45" t="s">
        <v>5722</v>
      </c>
      <c r="E8" s="21" t="s">
        <v>5198</v>
      </c>
    </row>
  </sheetData>
  <mergeCells count="1">
    <mergeCell ref="A1:E3"/>
  </mergeCells>
  <conditionalFormatting sqref="A1:D4 E1:E8">
    <cfRule type="expression" dxfId="455" priority="17897">
      <formula>$E$5:$E$20001="CONTRATADO"</formula>
    </cfRule>
  </conditionalFormatting>
  <conditionalFormatting sqref="E5:E8 A1:E4">
    <cfRule type="expression" dxfId="454" priority="17900">
      <formula>$E$5:$E$20001="DESCLASSIFICADO"</formula>
    </cfRule>
  </conditionalFormatting>
  <conditionalFormatting sqref="E5:E8 A1:E4">
    <cfRule type="expression" dxfId="453" priority="17903">
      <formula>$E$5:$E$20001="REMANEJADO"</formula>
    </cfRule>
  </conditionalFormatting>
  <conditionalFormatting sqref="E5:E8 A1:E4">
    <cfRule type="expression" dxfId="452" priority="17906">
      <formula>$E$5:$E$20001="1ª CONVOCAÇÃO"</formula>
    </cfRule>
  </conditionalFormatting>
  <conditionalFormatting sqref="E5:E8 A1:E4">
    <cfRule type="expression" dxfId="451" priority="17909">
      <formula>$E$5:$E$20001="2ª CONVOCAÇÃO"</formula>
    </cfRule>
  </conditionalFormatting>
  <conditionalFormatting sqref="E5:E8 A1:E4">
    <cfRule type="expression" dxfId="450" priority="17912">
      <formula>$E$5:$E$20001="NÃO ATENDE/AGUARDANDO RETORNO"</formula>
    </cfRule>
  </conditionalFormatting>
  <conditionalFormatting sqref="E5:E8 A1:E4">
    <cfRule type="expression" dxfId="449" priority="17937">
      <formula>$E$5:$E$20806="REMANEJADO"</formula>
    </cfRule>
  </conditionalFormatting>
  <conditionalFormatting sqref="E5:E8 A1:E4">
    <cfRule type="expression" dxfId="448" priority="17943">
      <formula>$E$5:$E$20806="2ª CONVOCAÇÃO"</formula>
    </cfRule>
  </conditionalFormatting>
  <conditionalFormatting sqref="E5:E8 A1:E4">
    <cfRule type="expression" dxfId="447" priority="17946">
      <formula>$E$5:$E$20806="NÃO ATENDE/AGUARDANDO RETORNO"</formula>
    </cfRule>
  </conditionalFormatting>
  <conditionalFormatting sqref="E5:E8 A1:E4">
    <cfRule type="expression" dxfId="446" priority="17949">
      <formula>$E$6:$E$20806="CONTRATADO"</formula>
    </cfRule>
  </conditionalFormatting>
  <conditionalFormatting sqref="E5:E8 A1:E4">
    <cfRule type="expression" dxfId="445" priority="18118">
      <formula>$Z$6:$Z$20806="REMANEJADO"</formula>
    </cfRule>
  </conditionalFormatting>
  <conditionalFormatting sqref="E5:E8 A1:E4">
    <cfRule type="expression" dxfId="444" priority="18122">
      <formula>$Z$6:$Z$20001="DESCLASSIFICADO"</formula>
    </cfRule>
  </conditionalFormatting>
  <conditionalFormatting sqref="E5:E8 A1:E4">
    <cfRule type="expression" dxfId="443" priority="18126">
      <formula>$Z$6:$Z$20001="REMANEJADO"</formula>
    </cfRule>
  </conditionalFormatting>
  <conditionalFormatting sqref="E5:E8 A1:E4">
    <cfRule type="expression" dxfId="442" priority="18130">
      <formula>$Z$6:$Z$20001="1ª CONVOCAÇÃO"</formula>
    </cfRule>
  </conditionalFormatting>
  <conditionalFormatting sqref="E5:E8 A1:E4">
    <cfRule type="expression" dxfId="441" priority="18134">
      <formula>$Z$6:$Z$20001="2ª CONVOCAÇÃO"</formula>
    </cfRule>
  </conditionalFormatting>
  <conditionalFormatting sqref="E5:E8 A1:E4">
    <cfRule type="expression" dxfId="440" priority="18138">
      <formula>$Z$6:$Z$20001="NÃO ATENDE/AGUARDANDO RETORNO"</formula>
    </cfRule>
  </conditionalFormatting>
  <conditionalFormatting sqref="E5:E8 A1:E4">
    <cfRule type="expression" dxfId="439" priority="18142">
      <formula>$Z$6:$Z$20806="CONTRATADO"</formula>
    </cfRule>
  </conditionalFormatting>
  <conditionalFormatting sqref="E5:E8 A1:E4">
    <cfRule type="expression" dxfId="438" priority="18146">
      <formula>$Z$6:$Z$20806="DESCLASSIFICADO"</formula>
    </cfRule>
  </conditionalFormatting>
  <conditionalFormatting sqref="E5:E8 A1:E4">
    <cfRule type="expression" dxfId="437" priority="18150">
      <formula>$Z$6:$Z$20806="1ª CONVOCAÇÃO"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activeCell="B5" sqref="B5"/>
    </sheetView>
  </sheetViews>
  <sheetFormatPr defaultColWidth="14.42578125" defaultRowHeight="15"/>
  <cols>
    <col min="2" max="2" width="37.140625" style="48" bestFit="1" customWidth="1"/>
    <col min="3" max="3" width="8" bestFit="1" customWidth="1"/>
    <col min="4" max="4" width="16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27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50" t="s">
        <v>5771</v>
      </c>
      <c r="C5" s="30" t="s">
        <v>64</v>
      </c>
      <c r="D5" s="30" t="s">
        <v>5781</v>
      </c>
      <c r="E5" s="21" t="s">
        <v>69</v>
      </c>
    </row>
    <row r="6" spans="1:5" ht="15.75" customHeight="1">
      <c r="A6" s="45">
        <v>2</v>
      </c>
      <c r="B6" s="51" t="s">
        <v>5782</v>
      </c>
      <c r="C6" s="45" t="s">
        <v>64</v>
      </c>
      <c r="D6" s="45" t="s">
        <v>5781</v>
      </c>
      <c r="E6" s="21" t="s">
        <v>325</v>
      </c>
    </row>
    <row r="7" spans="1:5" ht="15.75" customHeight="1">
      <c r="A7" s="28">
        <v>3</v>
      </c>
      <c r="B7" s="50" t="s">
        <v>5789</v>
      </c>
      <c r="C7" s="30" t="s">
        <v>64</v>
      </c>
      <c r="D7" s="30" t="s">
        <v>5781</v>
      </c>
      <c r="E7" s="21" t="s">
        <v>69</v>
      </c>
    </row>
    <row r="8" spans="1:5" ht="15.75" customHeight="1">
      <c r="A8" s="28">
        <v>4</v>
      </c>
      <c r="B8" s="50" t="s">
        <v>5796</v>
      </c>
      <c r="C8" s="30" t="s">
        <v>64</v>
      </c>
      <c r="D8" s="30" t="s">
        <v>5781</v>
      </c>
      <c r="E8" s="21" t="s">
        <v>69</v>
      </c>
    </row>
    <row r="9" spans="1:5" ht="15.75" customHeight="1">
      <c r="A9" s="28">
        <v>5</v>
      </c>
      <c r="B9" s="50" t="s">
        <v>5804</v>
      </c>
      <c r="C9" s="30" t="s">
        <v>64</v>
      </c>
      <c r="D9" s="30" t="s">
        <v>5781</v>
      </c>
      <c r="E9" s="21" t="s">
        <v>69</v>
      </c>
    </row>
  </sheetData>
  <mergeCells count="1">
    <mergeCell ref="A1:E3"/>
  </mergeCells>
  <conditionalFormatting sqref="A1:D5 E1:E9 A7:D9">
    <cfRule type="expression" dxfId="436" priority="2">
      <formula>$Z$6:$Z$20806="REMANEJADO"</formula>
    </cfRule>
  </conditionalFormatting>
  <conditionalFormatting sqref="A1:D5 A7:D9 E1:E9">
    <cfRule type="expression" dxfId="435" priority="3">
      <formula>$E$5:$E$20001="CONTRATADO"</formula>
    </cfRule>
  </conditionalFormatting>
  <conditionalFormatting sqref="A1:D5 A7:D9 E1:E9">
    <cfRule type="expression" dxfId="434" priority="4">
      <formula>$E$5:$E$20001="DESCLASSIFICADO"</formula>
    </cfRule>
  </conditionalFormatting>
  <conditionalFormatting sqref="A1:D5 A7:D9 E1:E9">
    <cfRule type="expression" dxfId="433" priority="5">
      <formula>$E$5:$E$20001="REMANEJADO"</formula>
    </cfRule>
  </conditionalFormatting>
  <conditionalFormatting sqref="A1:D5 A7:D9 E1:E9">
    <cfRule type="expression" dxfId="432" priority="6">
      <formula>$E$5:$E$20001="1ª CONVOCAÇÃO"</formula>
    </cfRule>
  </conditionalFormatting>
  <conditionalFormatting sqref="A1:D5 A7:D9 E1:E9">
    <cfRule type="expression" dxfId="431" priority="7">
      <formula>$E$5:$E$20001="2ª CONVOCAÇÃO"</formula>
    </cfRule>
  </conditionalFormatting>
  <conditionalFormatting sqref="A1:D5 A7:D9 E1:E9">
    <cfRule type="expression" dxfId="430" priority="8">
      <formula>$E$5:$E$20001="NÃO ATENDE/AGUARDANDO RETORNO"</formula>
    </cfRule>
  </conditionalFormatting>
  <conditionalFormatting sqref="A1:D5 E1:E9 A7:D9">
    <cfRule type="expression" dxfId="429" priority="10">
      <formula>$Z$6:$Z$20001="DESCLASSIFICADO"</formula>
    </cfRule>
  </conditionalFormatting>
  <conditionalFormatting sqref="A1:D5 E1:E9 A7:D9">
    <cfRule type="expression" dxfId="428" priority="11">
      <formula>$Z$6:$Z$20001="REMANEJADO"</formula>
    </cfRule>
  </conditionalFormatting>
  <conditionalFormatting sqref="A1:D5 E1:E9 A7:D9">
    <cfRule type="expression" dxfId="427" priority="12">
      <formula>$Z$6:$Z$20001="1ª CONVOCAÇÃO"</formula>
    </cfRule>
  </conditionalFormatting>
  <conditionalFormatting sqref="A1:D5 E1:E9 A7:D9">
    <cfRule type="expression" dxfId="426" priority="13">
      <formula>$Z$6:$Z$20001="2ª CONVOCAÇÃO"</formula>
    </cfRule>
  </conditionalFormatting>
  <conditionalFormatting sqref="A1:D5 E1:E9 A7:D9">
    <cfRule type="expression" dxfId="425" priority="14">
      <formula>$Z$6:$Z$20001="NÃO ATENDE/AGUARDANDO RETORNO"</formula>
    </cfRule>
  </conditionalFormatting>
  <conditionalFormatting sqref="A1:D5 E1:E9 A7:D9">
    <cfRule type="expression" dxfId="424" priority="15">
      <formula>$Z$6:$Z$20806="CONTRATADO"</formula>
    </cfRule>
  </conditionalFormatting>
  <conditionalFormatting sqref="A1:D5 E1:E9 A7:D9">
    <cfRule type="expression" dxfId="423" priority="16">
      <formula>$Z$6:$Z$20806="DESCLASSIFICADO"</formula>
    </cfRule>
  </conditionalFormatting>
  <conditionalFormatting sqref="A1:D5 A7:D9 E1:E9">
    <cfRule type="expression" dxfId="422" priority="17">
      <formula>$E$5:$E$20806="REMANEJADO"</formula>
    </cfRule>
  </conditionalFormatting>
  <conditionalFormatting sqref="A1:D5 E1:E9 A7:D9">
    <cfRule type="expression" dxfId="421" priority="18">
      <formula>$Z$6:$Z$20806="1ª CONVOCAÇÃO"</formula>
    </cfRule>
  </conditionalFormatting>
  <conditionalFormatting sqref="A1:D5 A7:D9 E1:E9">
    <cfRule type="expression" dxfId="420" priority="19">
      <formula>$E$5:$E$20806="2ª CONVOCAÇÃO"</formula>
    </cfRule>
  </conditionalFormatting>
  <conditionalFormatting sqref="A1:D5 A7:D9 E1:E9">
    <cfRule type="expression" dxfId="419" priority="20">
      <formula>$E$5:$E$20806="NÃO ATENDE/AGUARDANDO RETORNO"</formula>
    </cfRule>
  </conditionalFormatting>
  <conditionalFormatting sqref="A1:D5 A7:D9 E1:E9">
    <cfRule type="expression" dxfId="418" priority="21">
      <formula>$E$6:$E$20806="CONTRATADO"</formula>
    </cfRule>
  </conditionalFormatting>
  <dataValidations count="1">
    <dataValidation type="list" allowBlank="1" showErrorMessage="1" sqref="E5:E9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E3"/>
    </sheetView>
  </sheetViews>
  <sheetFormatPr defaultColWidth="14.42578125" defaultRowHeight="15"/>
  <cols>
    <col min="2" max="2" width="30.42578125" style="48" bestFit="1" customWidth="1"/>
    <col min="3" max="3" width="8" bestFit="1" customWidth="1"/>
    <col min="4" max="4" width="18.42578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3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5811</v>
      </c>
      <c r="C5" s="45" t="s">
        <v>64</v>
      </c>
      <c r="D5" s="45" t="s">
        <v>5822</v>
      </c>
      <c r="E5" s="45" t="s">
        <v>325</v>
      </c>
    </row>
    <row r="6" spans="1:5" ht="15.75" customHeight="1">
      <c r="A6" s="45">
        <v>2</v>
      </c>
      <c r="B6" s="51" t="s">
        <v>5823</v>
      </c>
      <c r="C6" s="45" t="s">
        <v>64</v>
      </c>
      <c r="D6" s="45" t="s">
        <v>5822</v>
      </c>
      <c r="E6" s="45" t="s">
        <v>325</v>
      </c>
    </row>
    <row r="7" spans="1:5" ht="15.75" customHeight="1">
      <c r="A7" s="45">
        <v>3</v>
      </c>
      <c r="B7" s="51" t="s">
        <v>5831</v>
      </c>
      <c r="C7" s="45" t="s">
        <v>64</v>
      </c>
      <c r="D7" s="45" t="s">
        <v>5822</v>
      </c>
      <c r="E7" s="45" t="s">
        <v>325</v>
      </c>
    </row>
    <row r="8" spans="1:5" ht="15.75" customHeight="1">
      <c r="A8" s="45">
        <v>4</v>
      </c>
      <c r="B8" s="51" t="s">
        <v>5841</v>
      </c>
      <c r="C8" s="45" t="s">
        <v>64</v>
      </c>
      <c r="D8" s="45" t="s">
        <v>5822</v>
      </c>
      <c r="E8" s="45" t="s">
        <v>325</v>
      </c>
    </row>
  </sheetData>
  <mergeCells count="1">
    <mergeCell ref="A1:E3"/>
  </mergeCells>
  <conditionalFormatting sqref="A1:E4">
    <cfRule type="expression" dxfId="417" priority="3">
      <formula>$E$5:$E$20001="CONTRATADO"</formula>
    </cfRule>
  </conditionalFormatting>
  <conditionalFormatting sqref="A1:E4">
    <cfRule type="expression" dxfId="416" priority="4">
      <formula>$E$5:$E$20001="DESCLASSIFICADO"</formula>
    </cfRule>
  </conditionalFormatting>
  <conditionalFormatting sqref="A1:E4">
    <cfRule type="expression" dxfId="415" priority="5">
      <formula>$E$5:$E$20001="REMANEJADO"</formula>
    </cfRule>
  </conditionalFormatting>
  <conditionalFormatting sqref="A1:E4">
    <cfRule type="expression" dxfId="414" priority="6">
      <formula>$E$5:$E$20001="1ª CONVOCAÇÃO"</formula>
    </cfRule>
  </conditionalFormatting>
  <conditionalFormatting sqref="A1:E4">
    <cfRule type="expression" dxfId="413" priority="7">
      <formula>$E$5:$E$20001="2ª CONVOCAÇÃO"</formula>
    </cfRule>
  </conditionalFormatting>
  <conditionalFormatting sqref="A1:E4">
    <cfRule type="expression" dxfId="412" priority="8">
      <formula>$E$5:$E$20001="NÃO ATENDE/AGUARDANDO RETORNO"</formula>
    </cfRule>
  </conditionalFormatting>
  <conditionalFormatting sqref="A1:E4">
    <cfRule type="expression" dxfId="411" priority="17">
      <formula>$E$5:$E$20806="REMANEJADO"</formula>
    </cfRule>
  </conditionalFormatting>
  <conditionalFormatting sqref="A1:E4">
    <cfRule type="expression" dxfId="410" priority="19">
      <formula>$E$5:$E$20806="2ª CONVOCAÇÃO"</formula>
    </cfRule>
  </conditionalFormatting>
  <conditionalFormatting sqref="A1:E4">
    <cfRule type="expression" dxfId="409" priority="20">
      <formula>$E$5:$E$20806="NÃO ATENDE/AGUARDANDO RETORNO"</formula>
    </cfRule>
  </conditionalFormatting>
  <conditionalFormatting sqref="A1:E4">
    <cfRule type="expression" dxfId="408" priority="21">
      <formula>$E$6:$E$20806="CONTRATADO"</formula>
    </cfRule>
  </conditionalFormatting>
  <conditionalFormatting sqref="A1:E4">
    <cfRule type="expression" dxfId="407" priority="18279">
      <formula>$Z$6:$Z$20806="REMANEJADO"</formula>
    </cfRule>
  </conditionalFormatting>
  <conditionalFormatting sqref="A1:E4">
    <cfRule type="expression" dxfId="406" priority="18282">
      <formula>$Z$6:$Z$20001="DESCLASSIFICADO"</formula>
    </cfRule>
  </conditionalFormatting>
  <conditionalFormatting sqref="A1:E4">
    <cfRule type="expression" dxfId="405" priority="18285">
      <formula>$Z$6:$Z$20001="REMANEJADO"</formula>
    </cfRule>
  </conditionalFormatting>
  <conditionalFormatting sqref="A1:E4">
    <cfRule type="expression" dxfId="404" priority="18288">
      <formula>$Z$6:$Z$20001="1ª CONVOCAÇÃO"</formula>
    </cfRule>
  </conditionalFormatting>
  <conditionalFormatting sqref="A1:E4">
    <cfRule type="expression" dxfId="403" priority="18291">
      <formula>$Z$6:$Z$20001="2ª CONVOCAÇÃO"</formula>
    </cfRule>
  </conditionalFormatting>
  <conditionalFormatting sqref="A1:E4">
    <cfRule type="expression" dxfId="402" priority="18294">
      <formula>$Z$6:$Z$20001="NÃO ATENDE/AGUARDANDO RETORNO"</formula>
    </cfRule>
  </conditionalFormatting>
  <conditionalFormatting sqref="A1:E4">
    <cfRule type="expression" dxfId="401" priority="18297">
      <formula>$Z$6:$Z$20806="CONTRATADO"</formula>
    </cfRule>
  </conditionalFormatting>
  <conditionalFormatting sqref="A1:E4">
    <cfRule type="expression" dxfId="400" priority="18300">
      <formula>$Z$6:$Z$20806="DESCLASSIFICADO"</formula>
    </cfRule>
  </conditionalFormatting>
  <conditionalFormatting sqref="A1:E4">
    <cfRule type="expression" dxfId="399" priority="18303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sqref="A1:E3"/>
    </sheetView>
  </sheetViews>
  <sheetFormatPr defaultColWidth="14.42578125" defaultRowHeight="15"/>
  <cols>
    <col min="2" max="2" width="50.5703125" style="48" bestFit="1" customWidth="1"/>
    <col min="3" max="3" width="19.85546875" bestFit="1" customWidth="1"/>
    <col min="4" max="4" width="18.42578125" bestFit="1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5848</v>
      </c>
      <c r="C5" s="45" t="s">
        <v>266</v>
      </c>
      <c r="D5" s="45" t="s">
        <v>5856</v>
      </c>
      <c r="E5" s="45" t="s">
        <v>69</v>
      </c>
    </row>
    <row r="6" spans="1:5" ht="15.75" customHeight="1">
      <c r="A6" s="45">
        <v>1</v>
      </c>
      <c r="B6" s="51" t="s">
        <v>5857</v>
      </c>
      <c r="C6" s="45" t="s">
        <v>64</v>
      </c>
      <c r="D6" s="45" t="s">
        <v>5856</v>
      </c>
      <c r="E6" s="45" t="s">
        <v>325</v>
      </c>
    </row>
    <row r="7" spans="1:5" ht="15.75" customHeight="1">
      <c r="A7" s="45">
        <v>2</v>
      </c>
      <c r="B7" s="51" t="s">
        <v>5867</v>
      </c>
      <c r="C7" s="45" t="s">
        <v>64</v>
      </c>
      <c r="D7" s="45" t="s">
        <v>5856</v>
      </c>
      <c r="E7" s="45" t="s">
        <v>325</v>
      </c>
    </row>
    <row r="8" spans="1:5" ht="15.75" customHeight="1">
      <c r="A8" s="45">
        <v>3</v>
      </c>
      <c r="B8" s="51" t="s">
        <v>5875</v>
      </c>
      <c r="C8" s="45" t="s">
        <v>64</v>
      </c>
      <c r="D8" s="45" t="s">
        <v>5856</v>
      </c>
      <c r="E8" s="45" t="s">
        <v>325</v>
      </c>
    </row>
    <row r="9" spans="1:5" ht="15.75" customHeight="1">
      <c r="A9" s="45">
        <v>4</v>
      </c>
      <c r="B9" s="51" t="s">
        <v>5883</v>
      </c>
      <c r="C9" s="45" t="s">
        <v>64</v>
      </c>
      <c r="D9" s="45" t="s">
        <v>5856</v>
      </c>
      <c r="E9" s="45" t="s">
        <v>325</v>
      </c>
    </row>
    <row r="10" spans="1:5" ht="15.75" customHeight="1">
      <c r="A10" s="45">
        <v>5</v>
      </c>
      <c r="B10" s="51" t="s">
        <v>5890</v>
      </c>
      <c r="C10" s="45" t="s">
        <v>64</v>
      </c>
      <c r="D10" s="45" t="s">
        <v>5856</v>
      </c>
      <c r="E10" s="45" t="s">
        <v>7</v>
      </c>
    </row>
    <row r="11" spans="1:5" ht="15.75" customHeight="1">
      <c r="A11" s="45">
        <v>6</v>
      </c>
      <c r="B11" s="51" t="s">
        <v>5900</v>
      </c>
      <c r="C11" s="45" t="s">
        <v>64</v>
      </c>
      <c r="D11" s="45" t="s">
        <v>5856</v>
      </c>
      <c r="E11" s="45" t="s">
        <v>6687</v>
      </c>
    </row>
    <row r="12" spans="1:5" ht="15.75" customHeight="1">
      <c r="A12" s="45">
        <v>7</v>
      </c>
      <c r="B12" s="51" t="s">
        <v>5908</v>
      </c>
      <c r="C12" s="45" t="s">
        <v>64</v>
      </c>
      <c r="D12" s="45" t="s">
        <v>5856</v>
      </c>
      <c r="E12" s="45" t="s">
        <v>325</v>
      </c>
    </row>
    <row r="13" spans="1:5" ht="15.75" customHeight="1">
      <c r="A13" s="45">
        <v>8</v>
      </c>
      <c r="B13" s="51" t="s">
        <v>5916</v>
      </c>
      <c r="C13" s="45" t="s">
        <v>64</v>
      </c>
      <c r="D13" s="45" t="s">
        <v>5856</v>
      </c>
      <c r="E13" s="45" t="s">
        <v>6687</v>
      </c>
    </row>
    <row r="14" spans="1:5" ht="15.75" customHeight="1">
      <c r="A14" s="45">
        <v>9</v>
      </c>
      <c r="B14" s="51" t="s">
        <v>5923</v>
      </c>
      <c r="C14" s="45" t="s">
        <v>64</v>
      </c>
      <c r="D14" s="45" t="s">
        <v>5856</v>
      </c>
      <c r="E14" s="45" t="s">
        <v>6687</v>
      </c>
    </row>
    <row r="15" spans="1:5" ht="15.75" customHeight="1">
      <c r="A15" s="45">
        <v>10</v>
      </c>
      <c r="B15" s="51" t="s">
        <v>5930</v>
      </c>
      <c r="C15" s="45" t="s">
        <v>64</v>
      </c>
      <c r="D15" s="45" t="s">
        <v>5856</v>
      </c>
      <c r="E15" s="45" t="s">
        <v>325</v>
      </c>
    </row>
    <row r="16" spans="1:5" ht="15.75" customHeight="1">
      <c r="A16" s="45">
        <v>11</v>
      </c>
      <c r="B16" s="51" t="s">
        <v>5938</v>
      </c>
      <c r="C16" s="45" t="s">
        <v>64</v>
      </c>
      <c r="D16" s="45" t="s">
        <v>5856</v>
      </c>
      <c r="E16" s="45" t="s">
        <v>325</v>
      </c>
    </row>
    <row r="17" spans="1:5" ht="15.75" customHeight="1">
      <c r="A17" s="45">
        <v>12</v>
      </c>
      <c r="B17" s="51" t="s">
        <v>5946</v>
      </c>
      <c r="C17" s="45" t="s">
        <v>64</v>
      </c>
      <c r="D17" s="45" t="s">
        <v>5856</v>
      </c>
      <c r="E17" s="45" t="s">
        <v>6687</v>
      </c>
    </row>
    <row r="18" spans="1:5" ht="15.75" customHeight="1">
      <c r="A18" s="45">
        <v>13</v>
      </c>
      <c r="B18" s="51" t="s">
        <v>5955</v>
      </c>
      <c r="C18" s="45" t="s">
        <v>64</v>
      </c>
      <c r="D18" s="45" t="s">
        <v>5856</v>
      </c>
      <c r="E18" s="45" t="s">
        <v>325</v>
      </c>
    </row>
    <row r="19" spans="1:5" ht="15.75" customHeight="1">
      <c r="A19" s="45">
        <v>14</v>
      </c>
      <c r="B19" s="51" t="s">
        <v>5964</v>
      </c>
      <c r="C19" s="45" t="s">
        <v>64</v>
      </c>
      <c r="D19" s="45" t="s">
        <v>5856</v>
      </c>
      <c r="E19" s="45" t="s">
        <v>325</v>
      </c>
    </row>
    <row r="20" spans="1:5" ht="15.75" customHeight="1">
      <c r="A20" s="45">
        <v>15</v>
      </c>
      <c r="B20" s="51" t="s">
        <v>5972</v>
      </c>
      <c r="C20" s="45" t="s">
        <v>64</v>
      </c>
      <c r="D20" s="45" t="s">
        <v>5856</v>
      </c>
      <c r="E20" s="45" t="s">
        <v>325</v>
      </c>
    </row>
    <row r="21" spans="1:5" ht="15.75" customHeight="1">
      <c r="A21" s="45">
        <v>16</v>
      </c>
      <c r="B21" s="51" t="s">
        <v>5980</v>
      </c>
      <c r="C21" s="45" t="s">
        <v>64</v>
      </c>
      <c r="D21" s="45" t="s">
        <v>5856</v>
      </c>
      <c r="E21" s="45" t="s">
        <v>325</v>
      </c>
    </row>
    <row r="22" spans="1:5" ht="15.75" customHeight="1">
      <c r="A22" s="45">
        <v>17</v>
      </c>
      <c r="B22" s="51" t="s">
        <v>5988</v>
      </c>
      <c r="C22" s="45" t="s">
        <v>64</v>
      </c>
      <c r="D22" s="45" t="s">
        <v>5856</v>
      </c>
      <c r="E22" s="45" t="s">
        <v>6687</v>
      </c>
    </row>
    <row r="23" spans="1:5" ht="15.75" customHeight="1">
      <c r="A23" s="45">
        <v>18</v>
      </c>
      <c r="B23" s="51" t="s">
        <v>5996</v>
      </c>
      <c r="C23" s="45" t="s">
        <v>64</v>
      </c>
      <c r="D23" s="45" t="s">
        <v>5856</v>
      </c>
      <c r="E23" s="45" t="s">
        <v>325</v>
      </c>
    </row>
    <row r="24" spans="1:5" ht="15.75" customHeight="1">
      <c r="A24" s="45">
        <v>19</v>
      </c>
      <c r="B24" s="51" t="s">
        <v>6004</v>
      </c>
      <c r="C24" s="45" t="s">
        <v>64</v>
      </c>
      <c r="D24" s="45" t="s">
        <v>5856</v>
      </c>
      <c r="E24" s="45" t="s">
        <v>7</v>
      </c>
    </row>
    <row r="25" spans="1:5" ht="15.75" customHeight="1">
      <c r="A25" s="45">
        <v>1</v>
      </c>
      <c r="B25" s="51" t="s">
        <v>6009</v>
      </c>
      <c r="C25" s="45" t="s">
        <v>204</v>
      </c>
      <c r="D25" s="45" t="s">
        <v>5856</v>
      </c>
      <c r="E25" s="45" t="s">
        <v>69</v>
      </c>
    </row>
    <row r="26" spans="1:5" ht="15.75" customHeight="1">
      <c r="A26" s="45">
        <v>2</v>
      </c>
      <c r="B26" s="51" t="s">
        <v>6017</v>
      </c>
      <c r="C26" s="45" t="s">
        <v>204</v>
      </c>
      <c r="D26" s="45" t="s">
        <v>5856</v>
      </c>
      <c r="E26" s="45" t="s">
        <v>69</v>
      </c>
    </row>
    <row r="27" spans="1:5" ht="15.75" customHeight="1">
      <c r="A27" s="45">
        <v>3</v>
      </c>
      <c r="B27" s="51" t="s">
        <v>6025</v>
      </c>
      <c r="C27" s="45" t="s">
        <v>204</v>
      </c>
      <c r="D27" s="45" t="s">
        <v>5856</v>
      </c>
      <c r="E27" s="45" t="s">
        <v>69</v>
      </c>
    </row>
    <row r="28" spans="1:5" ht="15.75" customHeight="1">
      <c r="A28" s="45">
        <v>4</v>
      </c>
      <c r="B28" s="51" t="s">
        <v>6032</v>
      </c>
      <c r="C28" s="45" t="s">
        <v>204</v>
      </c>
      <c r="D28" s="45" t="s">
        <v>5856</v>
      </c>
      <c r="E28" s="45" t="s">
        <v>69</v>
      </c>
    </row>
    <row r="29" spans="1:5" ht="15.75" customHeight="1">
      <c r="A29" s="45">
        <v>1</v>
      </c>
      <c r="B29" s="51" t="s">
        <v>6039</v>
      </c>
      <c r="C29" s="45" t="s">
        <v>1005</v>
      </c>
      <c r="D29" s="45" t="s">
        <v>5856</v>
      </c>
      <c r="E29" s="45" t="s">
        <v>69</v>
      </c>
    </row>
    <row r="30" spans="1:5" ht="15.75" customHeight="1">
      <c r="A30" s="45">
        <v>2</v>
      </c>
      <c r="B30" s="51" t="s">
        <v>6047</v>
      </c>
      <c r="C30" s="45" t="s">
        <v>1005</v>
      </c>
      <c r="D30" s="45" t="s">
        <v>5856</v>
      </c>
      <c r="E30" s="45" t="s">
        <v>69</v>
      </c>
    </row>
  </sheetData>
  <mergeCells count="1">
    <mergeCell ref="A1:E3"/>
  </mergeCells>
  <conditionalFormatting sqref="A1:E4">
    <cfRule type="expression" dxfId="398" priority="3">
      <formula>$E$5:$E$20001="CONTRATADO"</formula>
    </cfRule>
  </conditionalFormatting>
  <conditionalFormatting sqref="A1:E4">
    <cfRule type="expression" dxfId="397" priority="4">
      <formula>$E$5:$E$20001="DESCLASSIFICADO"</formula>
    </cfRule>
  </conditionalFormatting>
  <conditionalFormatting sqref="A1:E4">
    <cfRule type="expression" dxfId="396" priority="5">
      <formula>$E$5:$E$20001="REMANEJADO"</formula>
    </cfRule>
  </conditionalFormatting>
  <conditionalFormatting sqref="A1:E4">
    <cfRule type="expression" dxfId="395" priority="6">
      <formula>$E$5:$E$20001="1ª CONVOCAÇÃO"</formula>
    </cfRule>
  </conditionalFormatting>
  <conditionalFormatting sqref="A1:E4">
    <cfRule type="expression" dxfId="394" priority="7">
      <formula>$E$5:$E$20001="2ª CONVOCAÇÃO"</formula>
    </cfRule>
  </conditionalFormatting>
  <conditionalFormatting sqref="A1:E4">
    <cfRule type="expression" dxfId="393" priority="8">
      <formula>$E$5:$E$20001="NÃO ATENDE/AGUARDANDO RETORNO"</formula>
    </cfRule>
  </conditionalFormatting>
  <conditionalFormatting sqref="A1:E4">
    <cfRule type="expression" dxfId="392" priority="17">
      <formula>$E$5:$E$20806="REMANEJADO"</formula>
    </cfRule>
  </conditionalFormatting>
  <conditionalFormatting sqref="A1:E4">
    <cfRule type="expression" dxfId="391" priority="19">
      <formula>$E$5:$E$20806="2ª CONVOCAÇÃO"</formula>
    </cfRule>
  </conditionalFormatting>
  <conditionalFormatting sqref="A1:E4">
    <cfRule type="expression" dxfId="390" priority="20">
      <formula>$E$5:$E$20806="NÃO ATENDE/AGUARDANDO RETORNO"</formula>
    </cfRule>
  </conditionalFormatting>
  <conditionalFormatting sqref="A1:E4">
    <cfRule type="expression" dxfId="389" priority="21">
      <formula>$E$6:$E$20806="CONTRATADO"</formula>
    </cfRule>
  </conditionalFormatting>
  <conditionalFormatting sqref="A1:E4">
    <cfRule type="expression" dxfId="388" priority="18432">
      <formula>$Z$6:$Z$20806="REMANEJADO"</formula>
    </cfRule>
  </conditionalFormatting>
  <conditionalFormatting sqref="A1:E4">
    <cfRule type="expression" dxfId="387" priority="18435">
      <formula>$Z$6:$Z$20001="DESCLASSIFICADO"</formula>
    </cfRule>
  </conditionalFormatting>
  <conditionalFormatting sqref="A1:E4">
    <cfRule type="expression" dxfId="386" priority="18438">
      <formula>$Z$6:$Z$20001="REMANEJADO"</formula>
    </cfRule>
  </conditionalFormatting>
  <conditionalFormatting sqref="A1:E4">
    <cfRule type="expression" dxfId="385" priority="18441">
      <formula>$Z$6:$Z$20001="1ª CONVOCAÇÃO"</formula>
    </cfRule>
  </conditionalFormatting>
  <conditionalFormatting sqref="A1:E4">
    <cfRule type="expression" dxfId="384" priority="18444">
      <formula>$Z$6:$Z$20001="2ª CONVOCAÇÃO"</formula>
    </cfRule>
  </conditionalFormatting>
  <conditionalFormatting sqref="A1:E4">
    <cfRule type="expression" dxfId="383" priority="18447">
      <formula>$Z$6:$Z$20001="NÃO ATENDE/AGUARDANDO RETORNO"</formula>
    </cfRule>
  </conditionalFormatting>
  <conditionalFormatting sqref="A1:E4">
    <cfRule type="expression" dxfId="382" priority="18450">
      <formula>$Z$6:$Z$20806="CONTRATADO"</formula>
    </cfRule>
  </conditionalFormatting>
  <conditionalFormatting sqref="A1:E4">
    <cfRule type="expression" dxfId="381" priority="18453">
      <formula>$Z$6:$Z$20806="DESCLASSIFICADO"</formula>
    </cfRule>
  </conditionalFormatting>
  <conditionalFormatting sqref="A1:E4">
    <cfRule type="expression" dxfId="380" priority="18456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zoomScaleNormal="100" workbookViewId="0">
      <selection sqref="A1:E3"/>
    </sheetView>
  </sheetViews>
  <sheetFormatPr defaultColWidth="14.42578125" defaultRowHeight="15"/>
  <cols>
    <col min="1" max="1" width="14.42578125" style="6"/>
    <col min="2" max="2" width="26.42578125" style="48" bestFit="1" customWidth="1"/>
    <col min="3" max="3" width="9.5703125" style="6" customWidth="1"/>
    <col min="4" max="4" width="18.42578125" style="6" bestFit="1" customWidth="1"/>
    <col min="5" max="5" width="16.5703125" style="6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3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50" t="s">
        <v>5749</v>
      </c>
      <c r="C5" s="30" t="s">
        <v>64</v>
      </c>
      <c r="D5" s="30" t="s">
        <v>5757</v>
      </c>
      <c r="E5" s="21" t="s">
        <v>69</v>
      </c>
    </row>
    <row r="6" spans="1:5" ht="15.75" customHeight="1">
      <c r="A6" s="28">
        <v>2</v>
      </c>
      <c r="B6" s="50" t="s">
        <v>5758</v>
      </c>
      <c r="C6" s="30" t="s">
        <v>64</v>
      </c>
      <c r="D6" s="30" t="s">
        <v>5757</v>
      </c>
      <c r="E6" s="21" t="s">
        <v>69</v>
      </c>
    </row>
    <row r="7" spans="1:5" ht="15.75" customHeight="1">
      <c r="A7" s="45">
        <v>3</v>
      </c>
      <c r="B7" s="51" t="s">
        <v>5764</v>
      </c>
      <c r="C7" s="45" t="s">
        <v>64</v>
      </c>
      <c r="D7" s="45" t="s">
        <v>5757</v>
      </c>
      <c r="E7" s="21" t="s">
        <v>325</v>
      </c>
    </row>
  </sheetData>
  <mergeCells count="1">
    <mergeCell ref="A1:E3"/>
  </mergeCells>
  <conditionalFormatting sqref="A1:D6 E1:E7">
    <cfRule type="expression" dxfId="379" priority="18460">
      <formula>$E$5:$E$20001="CONTRATADO"</formula>
    </cfRule>
  </conditionalFormatting>
  <conditionalFormatting sqref="E7 A1:E6">
    <cfRule type="expression" dxfId="378" priority="18463">
      <formula>$E$5:$E$20001="DESCLASSIFICADO"</formula>
    </cfRule>
  </conditionalFormatting>
  <conditionalFormatting sqref="E7 A1:E6">
    <cfRule type="expression" dxfId="377" priority="18466">
      <formula>$E$5:$E$20001="REMANEJADO"</formula>
    </cfRule>
  </conditionalFormatting>
  <conditionalFormatting sqref="E7 A1:E6">
    <cfRule type="expression" dxfId="376" priority="18469">
      <formula>$E$5:$E$20001="1ª CONVOCAÇÃO"</formula>
    </cfRule>
  </conditionalFormatting>
  <conditionalFormatting sqref="E7 A1:E6">
    <cfRule type="expression" dxfId="375" priority="18472">
      <formula>$E$5:$E$20001="2ª CONVOCAÇÃO"</formula>
    </cfRule>
  </conditionalFormatting>
  <conditionalFormatting sqref="E7 A1:E6">
    <cfRule type="expression" dxfId="374" priority="18475">
      <formula>$E$5:$E$20001="NÃO ATENDE/AGUARDANDO RETORNO"</formula>
    </cfRule>
  </conditionalFormatting>
  <conditionalFormatting sqref="E7 A1:E6">
    <cfRule type="expression" dxfId="373" priority="18500">
      <formula>$E$5:$E$20806="REMANEJADO"</formula>
    </cfRule>
  </conditionalFormatting>
  <conditionalFormatting sqref="E7 A1:E6">
    <cfRule type="expression" dxfId="372" priority="18506">
      <formula>$E$5:$E$20806="2ª CONVOCAÇÃO"</formula>
    </cfRule>
  </conditionalFormatting>
  <conditionalFormatting sqref="E7 A1:E6">
    <cfRule type="expression" dxfId="371" priority="18509">
      <formula>$E$5:$E$20806="NÃO ATENDE/AGUARDANDO RETORNO"</formula>
    </cfRule>
  </conditionalFormatting>
  <conditionalFormatting sqref="E7 A1:E6">
    <cfRule type="expression" dxfId="370" priority="18512">
      <formula>$E$6:$E$20806="CONTRATADO"</formula>
    </cfRule>
  </conditionalFormatting>
  <conditionalFormatting sqref="E7 A1:E6">
    <cfRule type="expression" dxfId="369" priority="18681">
      <formula>$Z$6:$Z$20806="REMANEJADO"</formula>
    </cfRule>
  </conditionalFormatting>
  <conditionalFormatting sqref="E7 A1:E6">
    <cfRule type="expression" dxfId="368" priority="18685">
      <formula>$Z$6:$Z$20001="DESCLASSIFICADO"</formula>
    </cfRule>
  </conditionalFormatting>
  <conditionalFormatting sqref="E7 A1:E6">
    <cfRule type="expression" dxfId="367" priority="18689">
      <formula>$Z$6:$Z$20001="REMANEJADO"</formula>
    </cfRule>
  </conditionalFormatting>
  <conditionalFormatting sqref="E7 A1:E6">
    <cfRule type="expression" dxfId="366" priority="18693">
      <formula>$Z$6:$Z$20001="1ª CONVOCAÇÃO"</formula>
    </cfRule>
  </conditionalFormatting>
  <conditionalFormatting sqref="E7 A1:E6">
    <cfRule type="expression" dxfId="365" priority="18697">
      <formula>$Z$6:$Z$20001="2ª CONVOCAÇÃO"</formula>
    </cfRule>
  </conditionalFormatting>
  <conditionalFormatting sqref="E7 A1:E6">
    <cfRule type="expression" dxfId="364" priority="18701">
      <formula>$Z$6:$Z$20001="NÃO ATENDE/AGUARDANDO RETORNO"</formula>
    </cfRule>
  </conditionalFormatting>
  <conditionalFormatting sqref="E7 A1:E6">
    <cfRule type="expression" dxfId="363" priority="18705">
      <formula>$Z$6:$Z$20806="CONTRATADO"</formula>
    </cfRule>
  </conditionalFormatting>
  <conditionalFormatting sqref="E7 A1:E6">
    <cfRule type="expression" dxfId="362" priority="18709">
      <formula>$Z$6:$Z$20806="DESCLASSIFICADO"</formula>
    </cfRule>
  </conditionalFormatting>
  <conditionalFormatting sqref="E7 A1:E6">
    <cfRule type="expression" dxfId="361" priority="18713">
      <formula>$Z$6:$Z$20806="1ª CONVOCAÇÃO"</formula>
    </cfRule>
  </conditionalFormatting>
  <dataValidations count="1">
    <dataValidation type="list" allowBlank="1" showErrorMessage="1" sqref="E5:E7">
      <formula1>"DISPONÍVEL,CONTRATADO,DESCLASSIFICADO,NÃO ATENDE/AGUARDANDO RETORNO,REMANEJADO,1ª CONVOCAÇÃO,2ª CONVOCAÇÃO"</formula1>
      <formula2>0</formula2>
    </dataValidation>
  </dataValidations>
  <printOptions horizontalCentered="1" gridLines="1"/>
  <pageMargins left="0.7" right="0.7" top="0.75" bottom="0.75" header="0.511811023622047" footer="0.511811023622047"/>
  <pageSetup paperSize="9" fitToHeight="0" pageOrder="overThenDown" orientation="landscape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workbookViewId="0">
      <selection sqref="A1:E3"/>
    </sheetView>
  </sheetViews>
  <sheetFormatPr defaultColWidth="14.42578125" defaultRowHeight="15"/>
  <cols>
    <col min="2" max="2" width="35.5703125" bestFit="1" customWidth="1"/>
    <col min="3" max="3" width="8" bestFit="1" customWidth="1"/>
    <col min="4" max="4" width="18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6055</v>
      </c>
      <c r="C5" s="30" t="s">
        <v>64</v>
      </c>
      <c r="D5" s="30" t="s">
        <v>6064</v>
      </c>
      <c r="E5" s="21" t="s">
        <v>69</v>
      </c>
    </row>
    <row r="6" spans="1:5" ht="15.75" customHeight="1">
      <c r="A6" s="28">
        <v>2</v>
      </c>
      <c r="B6" s="29" t="s">
        <v>6065</v>
      </c>
      <c r="C6" s="30" t="s">
        <v>64</v>
      </c>
      <c r="D6" s="30" t="s">
        <v>6064</v>
      </c>
      <c r="E6" s="21" t="s">
        <v>69</v>
      </c>
    </row>
    <row r="7" spans="1:5" ht="15.75" customHeight="1">
      <c r="A7" s="28">
        <v>3</v>
      </c>
      <c r="B7" s="29" t="s">
        <v>6071</v>
      </c>
      <c r="C7" s="30" t="s">
        <v>64</v>
      </c>
      <c r="D7" s="30" t="s">
        <v>6064</v>
      </c>
      <c r="E7" s="21" t="s">
        <v>69</v>
      </c>
    </row>
    <row r="8" spans="1:5" ht="15.75" customHeight="1">
      <c r="A8" s="28">
        <v>4</v>
      </c>
      <c r="B8" s="29" t="s">
        <v>6078</v>
      </c>
      <c r="C8" s="30" t="s">
        <v>64</v>
      </c>
      <c r="D8" s="30" t="s">
        <v>6064</v>
      </c>
      <c r="E8" s="21" t="s">
        <v>69</v>
      </c>
    </row>
    <row r="9" spans="1:5" ht="15.75" customHeight="1">
      <c r="A9" s="28">
        <v>5</v>
      </c>
      <c r="B9" s="29" t="s">
        <v>6084</v>
      </c>
      <c r="C9" s="30" t="s">
        <v>64</v>
      </c>
      <c r="D9" s="30" t="s">
        <v>6064</v>
      </c>
      <c r="E9" s="21" t="s">
        <v>69</v>
      </c>
    </row>
    <row r="10" spans="1:5" ht="15.75" customHeight="1">
      <c r="A10" s="28">
        <v>6</v>
      </c>
      <c r="B10" s="29" t="s">
        <v>6091</v>
      </c>
      <c r="C10" s="30" t="s">
        <v>64</v>
      </c>
      <c r="D10" s="30" t="s">
        <v>6064</v>
      </c>
      <c r="E10" s="21" t="s">
        <v>69</v>
      </c>
    </row>
    <row r="11" spans="1:5" ht="15.75" customHeight="1">
      <c r="A11" s="28">
        <v>7</v>
      </c>
      <c r="B11" s="29" t="s">
        <v>6097</v>
      </c>
      <c r="C11" s="30" t="s">
        <v>64</v>
      </c>
      <c r="D11" s="30" t="s">
        <v>6064</v>
      </c>
      <c r="E11" s="21" t="s">
        <v>69</v>
      </c>
    </row>
  </sheetData>
  <mergeCells count="1">
    <mergeCell ref="A1:E3"/>
  </mergeCells>
  <conditionalFormatting sqref="A1:E11">
    <cfRule type="expression" dxfId="360" priority="19014">
      <formula>$E$5:$E$20001="CONTRATADO"</formula>
    </cfRule>
  </conditionalFormatting>
  <conditionalFormatting sqref="A1:E11">
    <cfRule type="expression" dxfId="359" priority="19016">
      <formula>$E$5:$E$20001="DESCLASSIFICADO"</formula>
    </cfRule>
  </conditionalFormatting>
  <conditionalFormatting sqref="A1:E11">
    <cfRule type="expression" dxfId="358" priority="19018">
      <formula>$E$5:$E$20001="REMANEJADO"</formula>
    </cfRule>
  </conditionalFormatting>
  <conditionalFormatting sqref="A1:E11">
    <cfRule type="expression" dxfId="357" priority="19020">
      <formula>$E$5:$E$20001="1ª CONVOCAÇÃO"</formula>
    </cfRule>
  </conditionalFormatting>
  <conditionalFormatting sqref="A1:E11">
    <cfRule type="expression" dxfId="356" priority="19022">
      <formula>$E$5:$E$20001="2ª CONVOCAÇÃO"</formula>
    </cfRule>
  </conditionalFormatting>
  <conditionalFormatting sqref="A1:E11">
    <cfRule type="expression" dxfId="355" priority="19024">
      <formula>$E$5:$E$20001="NÃO ATENDE/AGUARDANDO RETORNO"</formula>
    </cfRule>
  </conditionalFormatting>
  <conditionalFormatting sqref="A1:E11">
    <cfRule type="expression" dxfId="354" priority="19040">
      <formula>$E$5:$E$20806="REMANEJADO"</formula>
    </cfRule>
  </conditionalFormatting>
  <conditionalFormatting sqref="A1:E11">
    <cfRule type="expression" dxfId="353" priority="19044">
      <formula>$E$5:$E$20806="2ª CONVOCAÇÃO"</formula>
    </cfRule>
  </conditionalFormatting>
  <conditionalFormatting sqref="A1:E11">
    <cfRule type="expression" dxfId="352" priority="19046">
      <formula>$E$5:$E$20806="NÃO ATENDE/AGUARDANDO RETORNO"</formula>
    </cfRule>
  </conditionalFormatting>
  <conditionalFormatting sqref="A1:E11">
    <cfRule type="expression" dxfId="351" priority="19048">
      <formula>$E$6:$E$20806="CONTRATADO"</formula>
    </cfRule>
  </conditionalFormatting>
  <conditionalFormatting sqref="A1:E11">
    <cfRule type="expression" dxfId="350" priority="19137">
      <formula>$Z$6:$Z$20806="REMANEJADO"</formula>
    </cfRule>
  </conditionalFormatting>
  <conditionalFormatting sqref="A1:E11">
    <cfRule type="expression" dxfId="349" priority="19139">
      <formula>$Z$6:$Z$20001="DESCLASSIFICADO"</formula>
    </cfRule>
  </conditionalFormatting>
  <conditionalFormatting sqref="A1:E11">
    <cfRule type="expression" dxfId="348" priority="19141">
      <formula>$Z$6:$Z$20001="REMANEJADO"</formula>
    </cfRule>
  </conditionalFormatting>
  <conditionalFormatting sqref="A1:E11">
    <cfRule type="expression" dxfId="347" priority="19143">
      <formula>$Z$6:$Z$20001="1ª CONVOCAÇÃO"</formula>
    </cfRule>
  </conditionalFormatting>
  <conditionalFormatting sqref="A1:E11">
    <cfRule type="expression" dxfId="346" priority="19145">
      <formula>$Z$6:$Z$20001="2ª CONVOCAÇÃO"</formula>
    </cfRule>
  </conditionalFormatting>
  <conditionalFormatting sqref="A1:E11">
    <cfRule type="expression" dxfId="345" priority="19147">
      <formula>$Z$6:$Z$20001="NÃO ATENDE/AGUARDANDO RETORNO"</formula>
    </cfRule>
  </conditionalFormatting>
  <conditionalFormatting sqref="A1:E11">
    <cfRule type="expression" dxfId="344" priority="19149">
      <formula>$Z$6:$Z$20806="CONTRATADO"</formula>
    </cfRule>
  </conditionalFormatting>
  <conditionalFormatting sqref="A1:E11">
    <cfRule type="expression" dxfId="343" priority="19151">
      <formula>$Z$6:$Z$20806="DESCLASSIFICADO"</formula>
    </cfRule>
  </conditionalFormatting>
  <conditionalFormatting sqref="A1:E11">
    <cfRule type="expression" dxfId="342" priority="19153">
      <formula>$Z$6:$Z$20806="1ª CONVOCAÇÃO"</formula>
    </cfRule>
  </conditionalFormatting>
  <dataValidations count="1">
    <dataValidation type="list" allowBlank="1" showErrorMessage="1" sqref="E5:E11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2.28515625" bestFit="1" customWidth="1"/>
    <col min="3" max="3" width="8" bestFit="1" customWidth="1"/>
    <col min="4" max="4" width="21.710937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8.2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6102</v>
      </c>
      <c r="C5" s="30" t="s">
        <v>64</v>
      </c>
      <c r="D5" s="30" t="s">
        <v>6110</v>
      </c>
      <c r="E5" s="21" t="s">
        <v>69</v>
      </c>
    </row>
  </sheetData>
  <mergeCells count="1">
    <mergeCell ref="A1:E3"/>
  </mergeCells>
  <conditionalFormatting sqref="A1:E5">
    <cfRule type="expression" dxfId="341" priority="19454">
      <formula>$E$5:$E$20001="CONTRATADO"</formula>
    </cfRule>
  </conditionalFormatting>
  <conditionalFormatting sqref="A1:E5">
    <cfRule type="expression" dxfId="340" priority="19456">
      <formula>$E$5:$E$20001="DESCLASSIFICADO"</formula>
    </cfRule>
  </conditionalFormatting>
  <conditionalFormatting sqref="A1:E5">
    <cfRule type="expression" dxfId="339" priority="19458">
      <formula>$E$5:$E$20001="REMANEJADO"</formula>
    </cfRule>
  </conditionalFormatting>
  <conditionalFormatting sqref="A1:E5">
    <cfRule type="expression" dxfId="338" priority="19460">
      <formula>$E$5:$E$20001="1ª CONVOCAÇÃO"</formula>
    </cfRule>
  </conditionalFormatting>
  <conditionalFormatting sqref="A1:E5">
    <cfRule type="expression" dxfId="337" priority="19462">
      <formula>$E$5:$E$20001="2ª CONVOCAÇÃO"</formula>
    </cfRule>
  </conditionalFormatting>
  <conditionalFormatting sqref="A1:E5">
    <cfRule type="expression" dxfId="336" priority="19464">
      <formula>$E$5:$E$20001="NÃO ATENDE/AGUARDANDO RETORNO"</formula>
    </cfRule>
  </conditionalFormatting>
  <conditionalFormatting sqref="A1:E5">
    <cfRule type="expression" dxfId="335" priority="19480">
      <formula>$E$5:$E$20806="REMANEJADO"</formula>
    </cfRule>
  </conditionalFormatting>
  <conditionalFormatting sqref="A1:E5">
    <cfRule type="expression" dxfId="334" priority="19484">
      <formula>$E$5:$E$20806="2ª CONVOCAÇÃO"</formula>
    </cfRule>
  </conditionalFormatting>
  <conditionalFormatting sqref="A1:E5">
    <cfRule type="expression" dxfId="333" priority="19486">
      <formula>$E$5:$E$20806="NÃO ATENDE/AGUARDANDO RETORNO"</formula>
    </cfRule>
  </conditionalFormatting>
  <conditionalFormatting sqref="A1:E5">
    <cfRule type="expression" dxfId="332" priority="19488">
      <formula>$E$6:$E$20806="CONTRATADO"</formula>
    </cfRule>
  </conditionalFormatting>
  <conditionalFormatting sqref="A1:E5">
    <cfRule type="expression" dxfId="331" priority="19577">
      <formula>$Z$6:$Z$20806="REMANEJADO"</formula>
    </cfRule>
  </conditionalFormatting>
  <conditionalFormatting sqref="A1:E5">
    <cfRule type="expression" dxfId="330" priority="19579">
      <formula>$Z$6:$Z$20001="DESCLASSIFICADO"</formula>
    </cfRule>
  </conditionalFormatting>
  <conditionalFormatting sqref="A1:E5">
    <cfRule type="expression" dxfId="329" priority="19581">
      <formula>$Z$6:$Z$20001="REMANEJADO"</formula>
    </cfRule>
  </conditionalFormatting>
  <conditionalFormatting sqref="A1:E5">
    <cfRule type="expression" dxfId="328" priority="19583">
      <formula>$Z$6:$Z$20001="1ª CONVOCAÇÃO"</formula>
    </cfRule>
  </conditionalFormatting>
  <conditionalFormatting sqref="A1:E5">
    <cfRule type="expression" dxfId="327" priority="19585">
      <formula>$Z$6:$Z$20001="2ª CONVOCAÇÃO"</formula>
    </cfRule>
  </conditionalFormatting>
  <conditionalFormatting sqref="A1:E5">
    <cfRule type="expression" dxfId="326" priority="19587">
      <formula>$Z$6:$Z$20001="NÃO ATENDE/AGUARDANDO RETORNO"</formula>
    </cfRule>
  </conditionalFormatting>
  <conditionalFormatting sqref="A1:E5">
    <cfRule type="expression" dxfId="325" priority="19589">
      <formula>$Z$6:$Z$20806="CONTRATADO"</formula>
    </cfRule>
  </conditionalFormatting>
  <conditionalFormatting sqref="A1:E5">
    <cfRule type="expression" dxfId="324" priority="19591">
      <formula>$Z$6:$Z$20806="DESCLASSIFICADO"</formula>
    </cfRule>
  </conditionalFormatting>
  <conditionalFormatting sqref="A1:E5">
    <cfRule type="expression" dxfId="323" priority="19593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Normal="100" workbookViewId="0">
      <selection activeCell="C4" sqref="C4"/>
    </sheetView>
  </sheetViews>
  <sheetFormatPr defaultColWidth="14.42578125" defaultRowHeight="15"/>
  <cols>
    <col min="2" max="2" width="39.85546875" customWidth="1"/>
    <col min="3" max="3" width="12.42578125" customWidth="1"/>
    <col min="4" max="4" width="25.5703125" bestFit="1" customWidth="1"/>
    <col min="5" max="5" width="11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6111</v>
      </c>
      <c r="C5" s="30" t="s">
        <v>64</v>
      </c>
      <c r="D5" s="30" t="s">
        <v>6118</v>
      </c>
      <c r="E5" s="21" t="s">
        <v>69</v>
      </c>
    </row>
    <row r="6" spans="1:5" ht="15.75" customHeight="1">
      <c r="A6" s="28">
        <v>2</v>
      </c>
      <c r="B6" s="29" t="s">
        <v>6119</v>
      </c>
      <c r="C6" s="30" t="s">
        <v>64</v>
      </c>
      <c r="D6" s="30" t="s">
        <v>6118</v>
      </c>
      <c r="E6" s="21" t="s">
        <v>69</v>
      </c>
    </row>
    <row r="7" spans="1:5" ht="15.75" customHeight="1">
      <c r="A7" s="28">
        <v>3</v>
      </c>
      <c r="B7" s="29" t="s">
        <v>6125</v>
      </c>
      <c r="C7" s="30" t="s">
        <v>64</v>
      </c>
      <c r="D7" s="30" t="s">
        <v>6118</v>
      </c>
      <c r="E7" s="21" t="s">
        <v>69</v>
      </c>
    </row>
  </sheetData>
  <mergeCells count="1">
    <mergeCell ref="A1:E3"/>
  </mergeCells>
  <conditionalFormatting sqref="A1:E7">
    <cfRule type="expression" dxfId="322" priority="19997">
      <formula>$E$5:$E$20001="CONTRATADO"</formula>
    </cfRule>
  </conditionalFormatting>
  <conditionalFormatting sqref="A1:E7">
    <cfRule type="expression" dxfId="321" priority="19999">
      <formula>$E$5:$E$20001="DESCLASSIFICADO"</formula>
    </cfRule>
  </conditionalFormatting>
  <conditionalFormatting sqref="A1:E7">
    <cfRule type="expression" dxfId="320" priority="20001">
      <formula>$E$5:$E$20001="REMANEJADO"</formula>
    </cfRule>
  </conditionalFormatting>
  <conditionalFormatting sqref="A1:E7">
    <cfRule type="expression" dxfId="319" priority="20003">
      <formula>$E$5:$E$20001="1ª CONVOCAÇÃO"</formula>
    </cfRule>
  </conditionalFormatting>
  <conditionalFormatting sqref="A1:E7">
    <cfRule type="expression" dxfId="318" priority="20005">
      <formula>$E$5:$E$20001="2ª CONVOCAÇÃO"</formula>
    </cfRule>
  </conditionalFormatting>
  <conditionalFormatting sqref="A1:E7">
    <cfRule type="expression" dxfId="317" priority="20007">
      <formula>$E$5:$E$20001="NÃO ATENDE/AGUARDANDO RETORNO"</formula>
    </cfRule>
  </conditionalFormatting>
  <conditionalFormatting sqref="A1:E7">
    <cfRule type="expression" dxfId="316" priority="20009">
      <formula>$E$5:$E$20806="REMANEJADO"</formula>
    </cfRule>
  </conditionalFormatting>
  <conditionalFormatting sqref="A1:E7">
    <cfRule type="expression" dxfId="315" priority="20011">
      <formula>$E$5:$E$20806="2ª CONVOCAÇÃO"</formula>
    </cfRule>
  </conditionalFormatting>
  <conditionalFormatting sqref="A1:E7">
    <cfRule type="expression" dxfId="314" priority="20013">
      <formula>$E$5:$E$20806="NÃO ATENDE/AGUARDANDO RETORNO"</formula>
    </cfRule>
  </conditionalFormatting>
  <conditionalFormatting sqref="A1:E7">
    <cfRule type="expression" dxfId="313" priority="20015">
      <formula>$E$6:$E$20806="CONTRATADO"</formula>
    </cfRule>
  </conditionalFormatting>
  <conditionalFormatting sqref="A1:E7">
    <cfRule type="expression" dxfId="312" priority="20017">
      <formula>$Z$6:$Z$20806="REMANEJADO"</formula>
    </cfRule>
  </conditionalFormatting>
  <conditionalFormatting sqref="A1:E7">
    <cfRule type="expression" dxfId="311" priority="20019">
      <formula>$Z$6:$Z$20001="DESCLASSIFICADO"</formula>
    </cfRule>
  </conditionalFormatting>
  <conditionalFormatting sqref="A1:E7">
    <cfRule type="expression" dxfId="310" priority="20021">
      <formula>$Z$6:$Z$20001="REMANEJADO"</formula>
    </cfRule>
  </conditionalFormatting>
  <conditionalFormatting sqref="A1:E7">
    <cfRule type="expression" dxfId="309" priority="20023">
      <formula>$Z$6:$Z$20001="1ª CONVOCAÇÃO"</formula>
    </cfRule>
  </conditionalFormatting>
  <conditionalFormatting sqref="A1:E7">
    <cfRule type="expression" dxfId="308" priority="20025">
      <formula>$Z$6:$Z$20001="2ª CONVOCAÇÃO"</formula>
    </cfRule>
  </conditionalFormatting>
  <conditionalFormatting sqref="A1:E7">
    <cfRule type="expression" dxfId="307" priority="20027">
      <formula>$Z$6:$Z$20001="NÃO ATENDE/AGUARDANDO RETORNO"</formula>
    </cfRule>
  </conditionalFormatting>
  <conditionalFormatting sqref="A1:E7">
    <cfRule type="expression" dxfId="306" priority="20029">
      <formula>$Z$6:$Z$20806="CONTRATADO"</formula>
    </cfRule>
  </conditionalFormatting>
  <conditionalFormatting sqref="A1:E7">
    <cfRule type="expression" dxfId="305" priority="20031">
      <formula>$Z$6:$Z$20806="DESCLASSIFICADO"</formula>
    </cfRule>
  </conditionalFormatting>
  <conditionalFormatting sqref="A1:E7">
    <cfRule type="expression" dxfId="304" priority="20033">
      <formula>$Z$6:$Z$20806="1ª CONVOCAÇÃO"</formula>
    </cfRule>
  </conditionalFormatting>
  <dataValidations count="1">
    <dataValidation type="list" allowBlank="1" showErrorMessage="1" sqref="E5:E7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sqref="A1:E3"/>
    </sheetView>
  </sheetViews>
  <sheetFormatPr defaultColWidth="14.42578125" defaultRowHeight="15"/>
  <cols>
    <col min="2" max="2" width="35.140625" style="48" bestFit="1" customWidth="1"/>
    <col min="3" max="3" width="19.28515625" customWidth="1"/>
    <col min="4" max="4" width="29.28515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228</v>
      </c>
      <c r="C5" s="45" t="s">
        <v>80</v>
      </c>
      <c r="D5" s="45" t="s">
        <v>237</v>
      </c>
      <c r="E5" s="21" t="s">
        <v>69</v>
      </c>
    </row>
    <row r="6" spans="1:5" ht="15.75" customHeight="1">
      <c r="A6" s="45">
        <v>1</v>
      </c>
      <c r="B6" s="51" t="s">
        <v>238</v>
      </c>
      <c r="C6" s="45" t="s">
        <v>64</v>
      </c>
      <c r="D6" s="45" t="s">
        <v>237</v>
      </c>
      <c r="E6" s="21" t="s">
        <v>325</v>
      </c>
    </row>
  </sheetData>
  <mergeCells count="1">
    <mergeCell ref="A1:E3"/>
  </mergeCells>
  <conditionalFormatting sqref="A1:D4 E1:E6">
    <cfRule type="expression" dxfId="1661" priority="158">
      <formula>$E$5:$E$20001="CONTRATADO"</formula>
    </cfRule>
  </conditionalFormatting>
  <conditionalFormatting sqref="E5:E6 A1:E4">
    <cfRule type="expression" dxfId="1660" priority="161">
      <formula>$E$5:$E$20001="DESCLASSIFICADO"</formula>
    </cfRule>
  </conditionalFormatting>
  <conditionalFormatting sqref="E5:E6 A1:E4">
    <cfRule type="expression" dxfId="1659" priority="164">
      <formula>$E$5:$E$20001="REMANEJADO"</formula>
    </cfRule>
  </conditionalFormatting>
  <conditionalFormatting sqref="E5:E6 A1:E4">
    <cfRule type="expression" dxfId="1658" priority="167">
      <formula>$E$5:$E$20001="1ª CONVOCAÇÃO"</formula>
    </cfRule>
  </conditionalFormatting>
  <conditionalFormatting sqref="E5:E6 A1:E4">
    <cfRule type="expression" dxfId="1657" priority="170">
      <formula>$E$5:$E$20001="2ª CONVOCAÇÃO"</formula>
    </cfRule>
  </conditionalFormatting>
  <conditionalFormatting sqref="E5:E6 A1:E4">
    <cfRule type="expression" dxfId="1656" priority="173">
      <formula>$E$5:$E$20001="NÃO ATENDE/AGUARDANDO RETORNO"</formula>
    </cfRule>
  </conditionalFormatting>
  <conditionalFormatting sqref="E5:E6 A1:E4">
    <cfRule type="expression" dxfId="1655" priority="198">
      <formula>$E$5:$E$20806="REMANEJADO"</formula>
    </cfRule>
  </conditionalFormatting>
  <conditionalFormatting sqref="E5:E6 A1:E4">
    <cfRule type="expression" dxfId="1654" priority="204">
      <formula>$E$5:$E$20806="2ª CONVOCAÇÃO"</formula>
    </cfRule>
  </conditionalFormatting>
  <conditionalFormatting sqref="E5:E6 A1:E4">
    <cfRule type="expression" dxfId="1653" priority="207">
      <formula>$E$5:$E$20806="NÃO ATENDE/AGUARDANDO RETORNO"</formula>
    </cfRule>
  </conditionalFormatting>
  <conditionalFormatting sqref="E5:E6 A1:E4">
    <cfRule type="expression" dxfId="1652" priority="210">
      <formula>$E$6:$E$20806="CONTRATADO"</formula>
    </cfRule>
  </conditionalFormatting>
  <conditionalFormatting sqref="E5:E6 A1:E4">
    <cfRule type="expression" dxfId="1651" priority="1646">
      <formula>$Z$6:$Z$20806="REMANEJADO"</formula>
    </cfRule>
  </conditionalFormatting>
  <conditionalFormatting sqref="E5:E6 A1:E4">
    <cfRule type="expression" dxfId="1650" priority="1650">
      <formula>$Z$6:$Z$20001="DESCLASSIFICADO"</formula>
    </cfRule>
  </conditionalFormatting>
  <conditionalFormatting sqref="E5:E6 A1:E4">
    <cfRule type="expression" dxfId="1649" priority="1654">
      <formula>$Z$6:$Z$20001="REMANEJADO"</formula>
    </cfRule>
  </conditionalFormatting>
  <conditionalFormatting sqref="E5:E6 A1:E4">
    <cfRule type="expression" dxfId="1648" priority="1658">
      <formula>$Z$6:$Z$20001="1ª CONVOCAÇÃO"</formula>
    </cfRule>
  </conditionalFormatting>
  <conditionalFormatting sqref="E5:E6 A1:E4">
    <cfRule type="expression" dxfId="1647" priority="1662">
      <formula>$Z$6:$Z$20001="2ª CONVOCAÇÃO"</formula>
    </cfRule>
  </conditionalFormatting>
  <conditionalFormatting sqref="E5:E6 A1:E4">
    <cfRule type="expression" dxfId="1646" priority="1666">
      <formula>$Z$6:$Z$20001="NÃO ATENDE/AGUARDANDO RETORNO"</formula>
    </cfRule>
  </conditionalFormatting>
  <conditionalFormatting sqref="E5:E6 A1:E4">
    <cfRule type="expression" dxfId="1645" priority="1670">
      <formula>$Z$6:$Z$20806="CONTRATADO"</formula>
    </cfRule>
  </conditionalFormatting>
  <conditionalFormatting sqref="E5:E6 A1:E4">
    <cfRule type="expression" dxfId="1644" priority="1674">
      <formula>$Z$6:$Z$20806="DESCLASSIFICADO"</formula>
    </cfRule>
  </conditionalFormatting>
  <conditionalFormatting sqref="E5:E6 A1:E4">
    <cfRule type="expression" dxfId="1643" priority="1678">
      <formula>$Z$6:$Z$20806="1ª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sqref="A1:E3"/>
    </sheetView>
  </sheetViews>
  <sheetFormatPr defaultColWidth="14.42578125" defaultRowHeight="15"/>
  <cols>
    <col min="2" max="2" width="31.85546875" bestFit="1" customWidth="1"/>
    <col min="3" max="3" width="8" bestFit="1" customWidth="1"/>
    <col min="4" max="4" width="30.855468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6132</v>
      </c>
      <c r="C5" s="30" t="s">
        <v>64</v>
      </c>
      <c r="D5" s="30" t="s">
        <v>6140</v>
      </c>
      <c r="E5" s="21" t="s">
        <v>69</v>
      </c>
    </row>
    <row r="6" spans="1:5" ht="15.75" customHeight="1">
      <c r="A6" s="28">
        <v>2</v>
      </c>
      <c r="B6" s="29" t="s">
        <v>6141</v>
      </c>
      <c r="C6" s="30" t="s">
        <v>64</v>
      </c>
      <c r="D6" s="30" t="s">
        <v>6140</v>
      </c>
      <c r="E6" s="21" t="s">
        <v>69</v>
      </c>
    </row>
  </sheetData>
  <mergeCells count="1">
    <mergeCell ref="A1:E3"/>
  </mergeCells>
  <conditionalFormatting sqref="A1:E6">
    <cfRule type="expression" dxfId="303" priority="20334">
      <formula>$E$5:$E$20001="CONTRATADO"</formula>
    </cfRule>
  </conditionalFormatting>
  <conditionalFormatting sqref="A1:E6">
    <cfRule type="expression" dxfId="302" priority="20336">
      <formula>$E$5:$E$20001="DESCLASSIFICADO"</formula>
    </cfRule>
  </conditionalFormatting>
  <conditionalFormatting sqref="A1:E6">
    <cfRule type="expression" dxfId="301" priority="20338">
      <formula>$E$5:$E$20001="REMANEJADO"</formula>
    </cfRule>
  </conditionalFormatting>
  <conditionalFormatting sqref="A1:E6">
    <cfRule type="expression" dxfId="300" priority="20340">
      <formula>$E$5:$E$20001="1ª CONVOCAÇÃO"</formula>
    </cfRule>
  </conditionalFormatting>
  <conditionalFormatting sqref="A1:E6">
    <cfRule type="expression" dxfId="299" priority="20342">
      <formula>$E$5:$E$20001="2ª CONVOCAÇÃO"</formula>
    </cfRule>
  </conditionalFormatting>
  <conditionalFormatting sqref="A1:E6">
    <cfRule type="expression" dxfId="298" priority="20344">
      <formula>$E$5:$E$20001="NÃO ATENDE/AGUARDANDO RETORNO"</formula>
    </cfRule>
  </conditionalFormatting>
  <conditionalFormatting sqref="A1:E6">
    <cfRule type="expression" dxfId="297" priority="20360">
      <formula>$E$5:$E$20806="REMANEJADO"</formula>
    </cfRule>
  </conditionalFormatting>
  <conditionalFormatting sqref="A1:E6">
    <cfRule type="expression" dxfId="296" priority="20364">
      <formula>$E$5:$E$20806="2ª CONVOCAÇÃO"</formula>
    </cfRule>
  </conditionalFormatting>
  <conditionalFormatting sqref="A1:E6">
    <cfRule type="expression" dxfId="295" priority="20366">
      <formula>$E$5:$E$20806="NÃO ATENDE/AGUARDANDO RETORNO"</formula>
    </cfRule>
  </conditionalFormatting>
  <conditionalFormatting sqref="A1:E6">
    <cfRule type="expression" dxfId="294" priority="20368">
      <formula>$E$6:$E$20806="CONTRATADO"</formula>
    </cfRule>
  </conditionalFormatting>
  <conditionalFormatting sqref="A1:E6">
    <cfRule type="expression" dxfId="293" priority="20457">
      <formula>$Z$6:$Z$20806="REMANEJADO"</formula>
    </cfRule>
  </conditionalFormatting>
  <conditionalFormatting sqref="A1:E6">
    <cfRule type="expression" dxfId="292" priority="20459">
      <formula>$Z$6:$Z$20001="DESCLASSIFICADO"</formula>
    </cfRule>
  </conditionalFormatting>
  <conditionalFormatting sqref="A1:E6">
    <cfRule type="expression" dxfId="291" priority="20461">
      <formula>$Z$6:$Z$20001="REMANEJADO"</formula>
    </cfRule>
  </conditionalFormatting>
  <conditionalFormatting sqref="A1:E6">
    <cfRule type="expression" dxfId="290" priority="20463">
      <formula>$Z$6:$Z$20001="1ª CONVOCAÇÃO"</formula>
    </cfRule>
  </conditionalFormatting>
  <conditionalFormatting sqref="A1:E6">
    <cfRule type="expression" dxfId="289" priority="20465">
      <formula>$Z$6:$Z$20001="2ª CONVOCAÇÃO"</formula>
    </cfRule>
  </conditionalFormatting>
  <conditionalFormatting sqref="A1:E6">
    <cfRule type="expression" dxfId="288" priority="20467">
      <formula>$Z$6:$Z$20001="NÃO ATENDE/AGUARDANDO RETORNO"</formula>
    </cfRule>
  </conditionalFormatting>
  <conditionalFormatting sqref="A1:E6">
    <cfRule type="expression" dxfId="287" priority="20469">
      <formula>$Z$6:$Z$20806="CONTRATADO"</formula>
    </cfRule>
  </conditionalFormatting>
  <conditionalFormatting sqref="A1:E6">
    <cfRule type="expression" dxfId="286" priority="20471">
      <formula>$Z$6:$Z$20806="DESCLASSIFICADO"</formula>
    </cfRule>
  </conditionalFormatting>
  <conditionalFormatting sqref="A1:E6">
    <cfRule type="expression" dxfId="285" priority="20473">
      <formula>$Z$6:$Z$20806="1ª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sqref="A1:E3"/>
    </sheetView>
  </sheetViews>
  <sheetFormatPr defaultColWidth="14.42578125" defaultRowHeight="15"/>
  <cols>
    <col min="2" max="2" width="31.28515625" bestFit="1" customWidth="1"/>
    <col min="3" max="3" width="8" bestFit="1" customWidth="1"/>
    <col min="4" max="4" width="27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6180</v>
      </c>
      <c r="C5" s="30" t="s">
        <v>64</v>
      </c>
      <c r="D5" s="30" t="s">
        <v>6188</v>
      </c>
      <c r="E5" s="21" t="s">
        <v>69</v>
      </c>
    </row>
    <row r="6" spans="1:5" ht="15.75" customHeight="1">
      <c r="A6" s="28">
        <v>2</v>
      </c>
      <c r="B6" s="29" t="s">
        <v>6189</v>
      </c>
      <c r="C6" s="30" t="s">
        <v>64</v>
      </c>
      <c r="D6" s="30" t="s">
        <v>6188</v>
      </c>
      <c r="E6" s="21" t="s">
        <v>69</v>
      </c>
    </row>
    <row r="7" spans="1:5" ht="15.75" customHeight="1">
      <c r="A7" s="28">
        <v>3</v>
      </c>
      <c r="B7" s="29" t="s">
        <v>6198</v>
      </c>
      <c r="C7" s="30" t="s">
        <v>64</v>
      </c>
      <c r="D7" s="30" t="s">
        <v>6188</v>
      </c>
      <c r="E7" s="21" t="s">
        <v>69</v>
      </c>
    </row>
    <row r="8" spans="1:5" ht="15.75" customHeight="1">
      <c r="A8" s="28">
        <v>4</v>
      </c>
      <c r="B8" s="29" t="s">
        <v>6207</v>
      </c>
      <c r="C8" s="30" t="s">
        <v>64</v>
      </c>
      <c r="D8" s="30" t="s">
        <v>6188</v>
      </c>
      <c r="E8" s="21" t="s">
        <v>69</v>
      </c>
    </row>
    <row r="9" spans="1:5" ht="15.75" customHeight="1">
      <c r="A9" s="28">
        <v>5</v>
      </c>
      <c r="B9" s="29" t="s">
        <v>6214</v>
      </c>
      <c r="C9" s="30" t="s">
        <v>64</v>
      </c>
      <c r="D9" s="30" t="s">
        <v>6188</v>
      </c>
      <c r="E9" s="21" t="s">
        <v>69</v>
      </c>
    </row>
  </sheetData>
  <mergeCells count="1">
    <mergeCell ref="A1:E3"/>
  </mergeCells>
  <conditionalFormatting sqref="A1:E9">
    <cfRule type="expression" dxfId="284" priority="20774">
      <formula>$E$5:$E$20001="CONTRATADO"</formula>
    </cfRule>
  </conditionalFormatting>
  <conditionalFormatting sqref="A1:E9">
    <cfRule type="expression" dxfId="283" priority="20776">
      <formula>$E$5:$E$20001="DESCLASSIFICADO"</formula>
    </cfRule>
  </conditionalFormatting>
  <conditionalFormatting sqref="A1:E9">
    <cfRule type="expression" dxfId="282" priority="20778">
      <formula>$E$5:$E$20001="REMANEJADO"</formula>
    </cfRule>
  </conditionalFormatting>
  <conditionalFormatting sqref="A1:E9">
    <cfRule type="expression" dxfId="281" priority="20780">
      <formula>$E$5:$E$20001="1ª CONVOCAÇÃO"</formula>
    </cfRule>
  </conditionalFormatting>
  <conditionalFormatting sqref="A1:E9">
    <cfRule type="expression" dxfId="280" priority="20782">
      <formula>$E$5:$E$20001="2ª CONVOCAÇÃO"</formula>
    </cfRule>
  </conditionalFormatting>
  <conditionalFormatting sqref="A1:E9">
    <cfRule type="expression" dxfId="279" priority="20784">
      <formula>$E$5:$E$20001="NÃO ATENDE/AGUARDANDO RETORNO"</formula>
    </cfRule>
  </conditionalFormatting>
  <conditionalFormatting sqref="A1:E9">
    <cfRule type="expression" dxfId="278" priority="20800">
      <formula>$E$5:$E$20806="REMANEJADO"</formula>
    </cfRule>
  </conditionalFormatting>
  <conditionalFormatting sqref="A1:E9">
    <cfRule type="expression" dxfId="277" priority="20804">
      <formula>$E$5:$E$20806="2ª CONVOCAÇÃO"</formula>
    </cfRule>
  </conditionalFormatting>
  <conditionalFormatting sqref="A1:E9">
    <cfRule type="expression" dxfId="276" priority="20806">
      <formula>$E$5:$E$20806="NÃO ATENDE/AGUARDANDO RETORNO"</formula>
    </cfRule>
  </conditionalFormatting>
  <conditionalFormatting sqref="A1:E9">
    <cfRule type="expression" dxfId="275" priority="20808">
      <formula>$E$6:$E$20806="CONTRATADO"</formula>
    </cfRule>
  </conditionalFormatting>
  <conditionalFormatting sqref="A1:E9">
    <cfRule type="expression" dxfId="274" priority="20897">
      <formula>$Z$6:$Z$20806="REMANEJADO"</formula>
    </cfRule>
  </conditionalFormatting>
  <conditionalFormatting sqref="A1:E9">
    <cfRule type="expression" dxfId="273" priority="20899">
      <formula>$Z$6:$Z$20001="DESCLASSIFICADO"</formula>
    </cfRule>
  </conditionalFormatting>
  <conditionalFormatting sqref="A1:E9">
    <cfRule type="expression" dxfId="272" priority="20901">
      <formula>$Z$6:$Z$20001="REMANEJADO"</formula>
    </cfRule>
  </conditionalFormatting>
  <conditionalFormatting sqref="A1:E9">
    <cfRule type="expression" dxfId="271" priority="20903">
      <formula>$Z$6:$Z$20001="1ª CONVOCAÇÃO"</formula>
    </cfRule>
  </conditionalFormatting>
  <conditionalFormatting sqref="A1:E9">
    <cfRule type="expression" dxfId="270" priority="20905">
      <formula>$Z$6:$Z$20001="2ª CONVOCAÇÃO"</formula>
    </cfRule>
  </conditionalFormatting>
  <conditionalFormatting sqref="A1:E9">
    <cfRule type="expression" dxfId="269" priority="20907">
      <formula>$Z$6:$Z$20001="NÃO ATENDE/AGUARDANDO RETORNO"</formula>
    </cfRule>
  </conditionalFormatting>
  <conditionalFormatting sqref="A1:E9">
    <cfRule type="expression" dxfId="268" priority="20909">
      <formula>$Z$6:$Z$20806="CONTRATADO"</formula>
    </cfRule>
  </conditionalFormatting>
  <conditionalFormatting sqref="A1:E9">
    <cfRule type="expression" dxfId="267" priority="20911">
      <formula>$Z$6:$Z$20806="DESCLASSIFICADO"</formula>
    </cfRule>
  </conditionalFormatting>
  <conditionalFormatting sqref="A1:E9">
    <cfRule type="expression" dxfId="266" priority="20913">
      <formula>$Z$6:$Z$20806="1ª CONVOCAÇÃO"</formula>
    </cfRule>
  </conditionalFormatting>
  <dataValidations count="1">
    <dataValidation type="list" allowBlank="1" showErrorMessage="1" sqref="E5:E9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sqref="A1:E3"/>
    </sheetView>
  </sheetViews>
  <sheetFormatPr defaultColWidth="14.42578125" defaultRowHeight="15"/>
  <cols>
    <col min="2" max="2" width="30" bestFit="1" customWidth="1"/>
    <col min="3" max="3" width="13.140625" bestFit="1" customWidth="1"/>
    <col min="4" max="4" width="41.140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51">
        <v>1</v>
      </c>
      <c r="B5" s="46" t="s">
        <v>6148</v>
      </c>
      <c r="C5" s="46" t="s">
        <v>64</v>
      </c>
      <c r="D5" s="46" t="s">
        <v>6158</v>
      </c>
      <c r="E5" s="21" t="s">
        <v>325</v>
      </c>
    </row>
    <row r="6" spans="1:5" ht="15.75" customHeight="1">
      <c r="A6" s="51">
        <v>2</v>
      </c>
      <c r="B6" s="46" t="s">
        <v>6159</v>
      </c>
      <c r="C6" s="46" t="s">
        <v>64</v>
      </c>
      <c r="D6" s="46" t="s">
        <v>6158</v>
      </c>
      <c r="E6" s="21" t="s">
        <v>325</v>
      </c>
    </row>
    <row r="7" spans="1:5" ht="15.75" customHeight="1">
      <c r="A7" s="50">
        <v>1</v>
      </c>
      <c r="B7" s="29" t="s">
        <v>6167</v>
      </c>
      <c r="C7" s="30" t="s">
        <v>204</v>
      </c>
      <c r="D7" s="31" t="s">
        <v>6158</v>
      </c>
      <c r="E7" s="21" t="s">
        <v>69</v>
      </c>
    </row>
    <row r="8" spans="1:5" ht="15.75" customHeight="1">
      <c r="A8" s="50">
        <v>1</v>
      </c>
      <c r="B8" s="29" t="s">
        <v>6173</v>
      </c>
      <c r="C8" s="30" t="s">
        <v>1005</v>
      </c>
      <c r="D8" s="31" t="s">
        <v>6158</v>
      </c>
      <c r="E8" s="21" t="s">
        <v>69</v>
      </c>
    </row>
  </sheetData>
  <mergeCells count="1">
    <mergeCell ref="A1:E3"/>
  </mergeCells>
  <conditionalFormatting sqref="A1:D4 E1:E8 A7:D8">
    <cfRule type="expression" dxfId="265" priority="2">
      <formula>$Z$6:$Z$20806="REMANEJADO"</formula>
    </cfRule>
  </conditionalFormatting>
  <conditionalFormatting sqref="A1:D4 A7:D8 E1:E8">
    <cfRule type="expression" dxfId="264" priority="3">
      <formula>$E$5:$E$20001="CONTRATADO"</formula>
    </cfRule>
  </conditionalFormatting>
  <conditionalFormatting sqref="A1:D4 A7:D8 E1:E8">
    <cfRule type="expression" dxfId="263" priority="4">
      <formula>$E$5:$E$20001="DESCLASSIFICADO"</formula>
    </cfRule>
  </conditionalFormatting>
  <conditionalFormatting sqref="A1:D4 A7:D8 E1:E8">
    <cfRule type="expression" dxfId="262" priority="5">
      <formula>$E$5:$E$20001="REMANEJADO"</formula>
    </cfRule>
  </conditionalFormatting>
  <conditionalFormatting sqref="A1:D4 A7:D8 E1:E8">
    <cfRule type="expression" dxfId="261" priority="6">
      <formula>$E$5:$E$20001="1ª CONVOCAÇÃO"</formula>
    </cfRule>
  </conditionalFormatting>
  <conditionalFormatting sqref="A1:D4 A7:D8 E1:E8">
    <cfRule type="expression" dxfId="260" priority="7">
      <formula>$E$5:$E$20001="2ª CONVOCAÇÃO"</formula>
    </cfRule>
  </conditionalFormatting>
  <conditionalFormatting sqref="A1:D4 A7:D8 E1:E8">
    <cfRule type="expression" dxfId="259" priority="8">
      <formula>$E$5:$E$20001="NÃO ATENDE/AGUARDANDO RETORNO"</formula>
    </cfRule>
  </conditionalFormatting>
  <conditionalFormatting sqref="A1:D4 E1:E8 A7:D8">
    <cfRule type="expression" dxfId="258" priority="10">
      <formula>$Z$6:$Z$20001="DESCLASSIFICADO"</formula>
    </cfRule>
  </conditionalFormatting>
  <conditionalFormatting sqref="A1:D4 E1:E8 A7:D8">
    <cfRule type="expression" dxfId="257" priority="11">
      <formula>$Z$6:$Z$20001="REMANEJADO"</formula>
    </cfRule>
  </conditionalFormatting>
  <conditionalFormatting sqref="A1:D4 E1:E8 A7:D8">
    <cfRule type="expression" dxfId="256" priority="12">
      <formula>$Z$6:$Z$20001="1ª CONVOCAÇÃO"</formula>
    </cfRule>
  </conditionalFormatting>
  <conditionalFormatting sqref="A1:D4 E1:E8 A7:D8">
    <cfRule type="expression" dxfId="255" priority="13">
      <formula>$Z$6:$Z$20001="2ª CONVOCAÇÃO"</formula>
    </cfRule>
  </conditionalFormatting>
  <conditionalFormatting sqref="A1:D4 E1:E8 A7:D8">
    <cfRule type="expression" dxfId="254" priority="14">
      <formula>$Z$6:$Z$20001="NÃO ATENDE/AGUARDANDO RETORNO"</formula>
    </cfRule>
  </conditionalFormatting>
  <conditionalFormatting sqref="A1:D4 E1:E8 A7:D8">
    <cfRule type="expression" dxfId="253" priority="15">
      <formula>$Z$6:$Z$20806="CONTRATADO"</formula>
    </cfRule>
  </conditionalFormatting>
  <conditionalFormatting sqref="A1:D4 E1:E8 A7:D8">
    <cfRule type="expression" dxfId="252" priority="16">
      <formula>$Z$6:$Z$20806="DESCLASSIFICADO"</formula>
    </cfRule>
  </conditionalFormatting>
  <conditionalFormatting sqref="A1:D4 A7:D8 E1:E8">
    <cfRule type="expression" dxfId="251" priority="17">
      <formula>$E$5:$E$20806="REMANEJADO"</formula>
    </cfRule>
  </conditionalFormatting>
  <conditionalFormatting sqref="A1:D4 E1:E8 A7:D8">
    <cfRule type="expression" dxfId="250" priority="18">
      <formula>$Z$6:$Z$20806="1ª CONVOCAÇÃO"</formula>
    </cfRule>
  </conditionalFormatting>
  <conditionalFormatting sqref="A1:D4 A7:D8 E1:E8">
    <cfRule type="expression" dxfId="249" priority="19">
      <formula>$E$5:$E$20806="2ª CONVOCAÇÃO"</formula>
    </cfRule>
  </conditionalFormatting>
  <conditionalFormatting sqref="A1:D4 A7:D8 E1:E8">
    <cfRule type="expression" dxfId="248" priority="20">
      <formula>$E$5:$E$20806="NÃO ATENDE/AGUARDANDO RETORNO"</formula>
    </cfRule>
  </conditionalFormatting>
  <conditionalFormatting sqref="A1:D4 A7:D8 E1:E8">
    <cfRule type="expression" dxfId="247" priority="21">
      <formula>$E$6:$E$20806="CONTRATADO"</formula>
    </cfRule>
  </conditionalFormatting>
  <dataValidations count="1">
    <dataValidation type="list" allowBlank="1" showErrorMessage="1" sqref="E5:E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9.7109375" style="48" bestFit="1" customWidth="1"/>
    <col min="3" max="3" width="8" bestFit="1" customWidth="1"/>
    <col min="4" max="4" width="29.85546875" bestFit="1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6223</v>
      </c>
      <c r="C5" s="45" t="s">
        <v>64</v>
      </c>
      <c r="D5" s="45" t="s">
        <v>6232</v>
      </c>
      <c r="E5" s="21" t="s">
        <v>6687</v>
      </c>
    </row>
  </sheetData>
  <mergeCells count="1">
    <mergeCell ref="A1:E3"/>
  </mergeCells>
  <conditionalFormatting sqref="A1:D4 E1:E5">
    <cfRule type="expression" dxfId="246" priority="20917">
      <formula>$E$5:$E$20001="CONTRATADO"</formula>
    </cfRule>
  </conditionalFormatting>
  <conditionalFormatting sqref="E5 A1:E4">
    <cfRule type="expression" dxfId="245" priority="20920">
      <formula>$E$5:$E$20001="DESCLASSIFICADO"</formula>
    </cfRule>
  </conditionalFormatting>
  <conditionalFormatting sqref="E5 A1:E4">
    <cfRule type="expression" dxfId="244" priority="20923">
      <formula>$E$5:$E$20001="REMANEJADO"</formula>
    </cfRule>
  </conditionalFormatting>
  <conditionalFormatting sqref="E5 A1:E4">
    <cfRule type="expression" dxfId="243" priority="20926">
      <formula>$E$5:$E$20001="1ª CONVOCAÇÃO"</formula>
    </cfRule>
  </conditionalFormatting>
  <conditionalFormatting sqref="E5 A1:E4">
    <cfRule type="expression" dxfId="242" priority="20929">
      <formula>$E$5:$E$20001="2ª CONVOCAÇÃO"</formula>
    </cfRule>
  </conditionalFormatting>
  <conditionalFormatting sqref="E5 A1:E4">
    <cfRule type="expression" dxfId="241" priority="20932">
      <formula>$E$5:$E$20001="NÃO ATENDE/AGUARDANDO RETORNO"</formula>
    </cfRule>
  </conditionalFormatting>
  <conditionalFormatting sqref="E5 A1:E4">
    <cfRule type="expression" dxfId="240" priority="20957">
      <formula>$E$5:$E$20806="REMANEJADO"</formula>
    </cfRule>
  </conditionalFormatting>
  <conditionalFormatting sqref="E5 A1:E4">
    <cfRule type="expression" dxfId="239" priority="20963">
      <formula>$E$5:$E$20806="2ª CONVOCAÇÃO"</formula>
    </cfRule>
  </conditionalFormatting>
  <conditionalFormatting sqref="E5 A1:E4">
    <cfRule type="expression" dxfId="238" priority="20966">
      <formula>$E$5:$E$20806="NÃO ATENDE/AGUARDANDO RETORNO"</formula>
    </cfRule>
  </conditionalFormatting>
  <conditionalFormatting sqref="E5 A1:E4">
    <cfRule type="expression" dxfId="237" priority="20969">
      <formula>$E$6:$E$20806="CONTRATADO"</formula>
    </cfRule>
  </conditionalFormatting>
  <conditionalFormatting sqref="E5 A1:E4">
    <cfRule type="expression" dxfId="236" priority="21138">
      <formula>$Z$6:$Z$20806="REMANEJADO"</formula>
    </cfRule>
  </conditionalFormatting>
  <conditionalFormatting sqref="E5 A1:E4">
    <cfRule type="expression" dxfId="235" priority="21142">
      <formula>$Z$6:$Z$20001="DESCLASSIFICADO"</formula>
    </cfRule>
  </conditionalFormatting>
  <conditionalFormatting sqref="E5 A1:E4">
    <cfRule type="expression" dxfId="234" priority="21146">
      <formula>$Z$6:$Z$20001="REMANEJADO"</formula>
    </cfRule>
  </conditionalFormatting>
  <conditionalFormatting sqref="E5 A1:E4">
    <cfRule type="expression" dxfId="233" priority="21150">
      <formula>$Z$6:$Z$20001="1ª CONVOCAÇÃO"</formula>
    </cfRule>
  </conditionalFormatting>
  <conditionalFormatting sqref="E5 A1:E4">
    <cfRule type="expression" dxfId="232" priority="21154">
      <formula>$Z$6:$Z$20001="2ª CONVOCAÇÃO"</formula>
    </cfRule>
  </conditionalFormatting>
  <conditionalFormatting sqref="E5 A1:E4">
    <cfRule type="expression" dxfId="231" priority="21158">
      <formula>$Z$6:$Z$20001="NÃO ATENDE/AGUARDANDO RETORNO"</formula>
    </cfRule>
  </conditionalFormatting>
  <conditionalFormatting sqref="E5 A1:E4">
    <cfRule type="expression" dxfId="230" priority="21162">
      <formula>$Z$6:$Z$20806="CONTRATADO"</formula>
    </cfRule>
  </conditionalFormatting>
  <conditionalFormatting sqref="E5 A1:E4">
    <cfRule type="expression" dxfId="229" priority="21166">
      <formula>$Z$6:$Z$20806="DESCLASSIFICADO"</formula>
    </cfRule>
  </conditionalFormatting>
  <conditionalFormatting sqref="E5 A1:E4">
    <cfRule type="expression" dxfId="228" priority="21170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Normal="100" workbookViewId="0">
      <selection sqref="A1:E3"/>
    </sheetView>
  </sheetViews>
  <sheetFormatPr defaultColWidth="14.42578125" defaultRowHeight="15"/>
  <cols>
    <col min="2" max="2" width="29.85546875" style="48" bestFit="1" customWidth="1"/>
    <col min="3" max="3" width="8" bestFit="1" customWidth="1"/>
    <col min="4" max="4" width="26.140625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6243</v>
      </c>
      <c r="C5" s="45" t="s">
        <v>64</v>
      </c>
      <c r="D5" s="45" t="s">
        <v>6251</v>
      </c>
      <c r="E5" s="21" t="s">
        <v>325</v>
      </c>
    </row>
    <row r="6" spans="1:5" ht="15.75" customHeight="1">
      <c r="A6" s="45">
        <v>2</v>
      </c>
      <c r="B6" s="51" t="s">
        <v>6252</v>
      </c>
      <c r="C6" s="45" t="s">
        <v>64</v>
      </c>
      <c r="D6" s="45" t="s">
        <v>6251</v>
      </c>
      <c r="E6" s="21" t="s">
        <v>325</v>
      </c>
    </row>
    <row r="7" spans="1:5" ht="15.75" customHeight="1">
      <c r="A7" s="45">
        <v>3</v>
      </c>
      <c r="B7" s="51" t="s">
        <v>6261</v>
      </c>
      <c r="C7" s="45" t="s">
        <v>64</v>
      </c>
      <c r="D7" s="45" t="s">
        <v>6251</v>
      </c>
      <c r="E7" s="21" t="s">
        <v>325</v>
      </c>
    </row>
    <row r="8" spans="1:5" ht="15.75" customHeight="1">
      <c r="A8" s="45">
        <v>4</v>
      </c>
      <c r="B8" s="51" t="s">
        <v>6270</v>
      </c>
      <c r="C8" s="45" t="s">
        <v>64</v>
      </c>
      <c r="D8" s="45" t="s">
        <v>6251</v>
      </c>
      <c r="E8" s="21" t="s">
        <v>325</v>
      </c>
    </row>
    <row r="9" spans="1:5" ht="15.75" customHeight="1">
      <c r="A9" s="45">
        <v>5</v>
      </c>
      <c r="B9" s="51" t="s">
        <v>6278</v>
      </c>
      <c r="C9" s="45" t="s">
        <v>64</v>
      </c>
      <c r="D9" s="45" t="s">
        <v>6251</v>
      </c>
      <c r="E9" s="21" t="s">
        <v>325</v>
      </c>
    </row>
    <row r="10" spans="1:5" ht="15.75" customHeight="1">
      <c r="A10" s="45">
        <v>6</v>
      </c>
      <c r="B10" s="51" t="s">
        <v>6285</v>
      </c>
      <c r="C10" s="45" t="s">
        <v>64</v>
      </c>
      <c r="D10" s="45" t="s">
        <v>6251</v>
      </c>
      <c r="E10" s="21" t="s">
        <v>325</v>
      </c>
    </row>
  </sheetData>
  <mergeCells count="1">
    <mergeCell ref="A1:E3"/>
  </mergeCells>
  <conditionalFormatting sqref="A1:D4 E1:E10">
    <cfRule type="expression" dxfId="227" priority="21174">
      <formula>$E$5:$E$20001="CONTRATADO"</formula>
    </cfRule>
  </conditionalFormatting>
  <conditionalFormatting sqref="E5:E10 A1:E4">
    <cfRule type="expression" dxfId="226" priority="21177">
      <formula>$E$5:$E$20001="DESCLASSIFICADO"</formula>
    </cfRule>
  </conditionalFormatting>
  <conditionalFormatting sqref="E5:E10 A1:E4">
    <cfRule type="expression" dxfId="225" priority="21180">
      <formula>$E$5:$E$20001="REMANEJADO"</formula>
    </cfRule>
  </conditionalFormatting>
  <conditionalFormatting sqref="E5:E10 A1:E4">
    <cfRule type="expression" dxfId="224" priority="21183">
      <formula>$E$5:$E$20001="1ª CONVOCAÇÃO"</formula>
    </cfRule>
  </conditionalFormatting>
  <conditionalFormatting sqref="E5:E10 A1:E4">
    <cfRule type="expression" dxfId="223" priority="21186">
      <formula>$E$5:$E$20001="2ª CONVOCAÇÃO"</formula>
    </cfRule>
  </conditionalFormatting>
  <conditionalFormatting sqref="E5:E10 A1:E4">
    <cfRule type="expression" dxfId="222" priority="21189">
      <formula>$E$5:$E$20001="NÃO ATENDE/AGUARDANDO RETORNO"</formula>
    </cfRule>
  </conditionalFormatting>
  <conditionalFormatting sqref="E5:E10 A1:E4">
    <cfRule type="expression" dxfId="221" priority="21214">
      <formula>$E$5:$E$20806="REMANEJADO"</formula>
    </cfRule>
  </conditionalFormatting>
  <conditionalFormatting sqref="E5:E10 A1:E4">
    <cfRule type="expression" dxfId="220" priority="21220">
      <formula>$E$5:$E$20806="2ª CONVOCAÇÃO"</formula>
    </cfRule>
  </conditionalFormatting>
  <conditionalFormatting sqref="E5:E10 A1:E4">
    <cfRule type="expression" dxfId="219" priority="21223">
      <formula>$E$5:$E$20806="NÃO ATENDE/AGUARDANDO RETORNO"</formula>
    </cfRule>
  </conditionalFormatting>
  <conditionalFormatting sqref="E5:E10 A1:E4">
    <cfRule type="expression" dxfId="218" priority="21226">
      <formula>$E$6:$E$20806="CONTRATADO"</formula>
    </cfRule>
  </conditionalFormatting>
  <conditionalFormatting sqref="E5:E10 A1:E4">
    <cfRule type="expression" dxfId="217" priority="21395">
      <formula>$Z$6:$Z$20806="REMANEJADO"</formula>
    </cfRule>
  </conditionalFormatting>
  <conditionalFormatting sqref="E5:E10 A1:E4">
    <cfRule type="expression" dxfId="216" priority="21399">
      <formula>$Z$6:$Z$20001="DESCLASSIFICADO"</formula>
    </cfRule>
  </conditionalFormatting>
  <conditionalFormatting sqref="E5:E10 A1:E4">
    <cfRule type="expression" dxfId="215" priority="21403">
      <formula>$Z$6:$Z$20001="REMANEJADO"</formula>
    </cfRule>
  </conditionalFormatting>
  <conditionalFormatting sqref="E5:E10 A1:E4">
    <cfRule type="expression" dxfId="214" priority="21407">
      <formula>$Z$6:$Z$20001="1ª CONVOCAÇÃO"</formula>
    </cfRule>
  </conditionalFormatting>
  <conditionalFormatting sqref="E5:E10 A1:E4">
    <cfRule type="expression" dxfId="213" priority="21411">
      <formula>$Z$6:$Z$20001="2ª CONVOCAÇÃO"</formula>
    </cfRule>
  </conditionalFormatting>
  <conditionalFormatting sqref="E5:E10 A1:E4">
    <cfRule type="expression" dxfId="212" priority="21415">
      <formula>$Z$6:$Z$20001="NÃO ATENDE/AGUARDANDO RETORNO"</formula>
    </cfRule>
  </conditionalFormatting>
  <conditionalFormatting sqref="E5:E10 A1:E4">
    <cfRule type="expression" dxfId="211" priority="21419">
      <formula>$Z$6:$Z$20806="CONTRATADO"</formula>
    </cfRule>
  </conditionalFormatting>
  <conditionalFormatting sqref="E5:E10 A1:E4">
    <cfRule type="expression" dxfId="210" priority="21423">
      <formula>$Z$6:$Z$20806="DESCLASSIFICADO"</formula>
    </cfRule>
  </conditionalFormatting>
  <conditionalFormatting sqref="E5:E10 A1:E4">
    <cfRule type="expression" dxfId="209" priority="21427">
      <formula>$Z$6:$Z$20806="1ª CONVOCAÇÃO"</formula>
    </cfRule>
  </conditionalFormatting>
  <dataValidations count="1">
    <dataValidation type="list" allowBlank="1" showErrorMessage="1" sqref="E5:E10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1.7109375" style="48" bestFit="1" customWidth="1"/>
    <col min="3" max="3" width="8" bestFit="1" customWidth="1"/>
    <col min="4" max="4" width="13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8.2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6292</v>
      </c>
      <c r="C5" s="45" t="s">
        <v>64</v>
      </c>
      <c r="D5" s="45" t="s">
        <v>6298</v>
      </c>
      <c r="E5" s="21" t="s">
        <v>7</v>
      </c>
    </row>
  </sheetData>
  <mergeCells count="1">
    <mergeCell ref="A1:E3"/>
  </mergeCells>
  <conditionalFormatting sqref="A1:D4 E1:E5">
    <cfRule type="expression" dxfId="208" priority="21431">
      <formula>$E$5:$E$20001="CONTRATADO"</formula>
    </cfRule>
  </conditionalFormatting>
  <conditionalFormatting sqref="E5 A1:E4">
    <cfRule type="expression" dxfId="207" priority="21434">
      <formula>$E$5:$E$20001="DESCLASSIFICADO"</formula>
    </cfRule>
  </conditionalFormatting>
  <conditionalFormatting sqref="E5 A1:E4">
    <cfRule type="expression" dxfId="206" priority="21437">
      <formula>$E$5:$E$20001="REMANEJADO"</formula>
    </cfRule>
  </conditionalFormatting>
  <conditionalFormatting sqref="E5 A1:E4">
    <cfRule type="expression" dxfId="205" priority="21440">
      <formula>$E$5:$E$20001="1ª CONVOCAÇÃO"</formula>
    </cfRule>
  </conditionalFormatting>
  <conditionalFormatting sqref="E5 A1:E4">
    <cfRule type="expression" dxfId="204" priority="21443">
      <formula>$E$5:$E$20001="2ª CONVOCAÇÃO"</formula>
    </cfRule>
  </conditionalFormatting>
  <conditionalFormatting sqref="E5 A1:E4">
    <cfRule type="expression" dxfId="203" priority="21446">
      <formula>$E$5:$E$20001="NÃO ATENDE/AGUARDANDO RETORNO"</formula>
    </cfRule>
  </conditionalFormatting>
  <conditionalFormatting sqref="E5 A1:E4">
    <cfRule type="expression" dxfId="202" priority="21471">
      <formula>$E$5:$E$20806="REMANEJADO"</formula>
    </cfRule>
  </conditionalFormatting>
  <conditionalFormatting sqref="E5 A1:E4">
    <cfRule type="expression" dxfId="201" priority="21477">
      <formula>$E$5:$E$20806="2ª CONVOCAÇÃO"</formula>
    </cfRule>
  </conditionalFormatting>
  <conditionalFormatting sqref="E5 A1:E4">
    <cfRule type="expression" dxfId="200" priority="21480">
      <formula>$E$5:$E$20806="NÃO ATENDE/AGUARDANDO RETORNO"</formula>
    </cfRule>
  </conditionalFormatting>
  <conditionalFormatting sqref="E5 A1:E4">
    <cfRule type="expression" dxfId="199" priority="21483">
      <formula>$E$6:$E$20806="CONTRATADO"</formula>
    </cfRule>
  </conditionalFormatting>
  <conditionalFormatting sqref="E5 A1:E4">
    <cfRule type="expression" dxfId="198" priority="21652">
      <formula>$Z$6:$Z$20806="REMANEJADO"</formula>
    </cfRule>
  </conditionalFormatting>
  <conditionalFormatting sqref="E5 A1:E4">
    <cfRule type="expression" dxfId="197" priority="21656">
      <formula>$Z$6:$Z$20001="DESCLASSIFICADO"</formula>
    </cfRule>
  </conditionalFormatting>
  <conditionalFormatting sqref="E5 A1:E4">
    <cfRule type="expression" dxfId="196" priority="21660">
      <formula>$Z$6:$Z$20001="REMANEJADO"</formula>
    </cfRule>
  </conditionalFormatting>
  <conditionalFormatting sqref="E5 A1:E4">
    <cfRule type="expression" dxfId="195" priority="21664">
      <formula>$Z$6:$Z$20001="1ª CONVOCAÇÃO"</formula>
    </cfRule>
  </conditionalFormatting>
  <conditionalFormatting sqref="E5 A1:E4">
    <cfRule type="expression" dxfId="194" priority="21668">
      <formula>$Z$6:$Z$20001="2ª CONVOCAÇÃO"</formula>
    </cfRule>
  </conditionalFormatting>
  <conditionalFormatting sqref="E5 A1:E4">
    <cfRule type="expression" dxfId="193" priority="21672">
      <formula>$Z$6:$Z$20001="NÃO ATENDE/AGUARDANDO RETORNO"</formula>
    </cfRule>
  </conditionalFormatting>
  <conditionalFormatting sqref="E5 A1:E4">
    <cfRule type="expression" dxfId="192" priority="21676">
      <formula>$Z$6:$Z$20806="CONTRATADO"</formula>
    </cfRule>
  </conditionalFormatting>
  <conditionalFormatting sqref="E5 A1:E4">
    <cfRule type="expression" dxfId="191" priority="21680">
      <formula>$Z$6:$Z$20806="DESCLASSIFICADO"</formula>
    </cfRule>
  </conditionalFormatting>
  <conditionalFormatting sqref="E5 A1:E4">
    <cfRule type="expression" dxfId="190" priority="21684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activeCell="E17" sqref="E17"/>
    </sheetView>
  </sheetViews>
  <sheetFormatPr defaultColWidth="14.42578125" defaultRowHeight="15"/>
  <cols>
    <col min="2" max="2" width="25.28515625" style="48" customWidth="1"/>
    <col min="3" max="3" width="8" bestFit="1" customWidth="1"/>
    <col min="4" max="4" width="15.57031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40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6233</v>
      </c>
      <c r="C5" s="45" t="s">
        <v>64</v>
      </c>
      <c r="D5" s="45" t="s">
        <v>6242</v>
      </c>
      <c r="E5" s="21" t="s">
        <v>325</v>
      </c>
    </row>
  </sheetData>
  <mergeCells count="1">
    <mergeCell ref="A1:E3"/>
  </mergeCells>
  <conditionalFormatting sqref="A1:D4 E1:E5">
    <cfRule type="expression" dxfId="189" priority="21688">
      <formula>$E$5:$E$20001="CONTRATADO"</formula>
    </cfRule>
  </conditionalFormatting>
  <conditionalFormatting sqref="E5 A1:E4">
    <cfRule type="expression" dxfId="188" priority="21691">
      <formula>$E$5:$E$20001="DESCLASSIFICADO"</formula>
    </cfRule>
  </conditionalFormatting>
  <conditionalFormatting sqref="E5 A1:E4">
    <cfRule type="expression" dxfId="187" priority="21694">
      <formula>$E$5:$E$20001="REMANEJADO"</formula>
    </cfRule>
  </conditionalFormatting>
  <conditionalFormatting sqref="E5 A1:E4">
    <cfRule type="expression" dxfId="186" priority="21697">
      <formula>$E$5:$E$20001="1ª CONVOCAÇÃO"</formula>
    </cfRule>
  </conditionalFormatting>
  <conditionalFormatting sqref="E5 A1:E4">
    <cfRule type="expression" dxfId="185" priority="21700">
      <formula>$E$5:$E$20001="2ª CONVOCAÇÃO"</formula>
    </cfRule>
  </conditionalFormatting>
  <conditionalFormatting sqref="E5 A1:E4">
    <cfRule type="expression" dxfId="184" priority="21703">
      <formula>$E$5:$E$20001="NÃO ATENDE/AGUARDANDO RETORNO"</formula>
    </cfRule>
  </conditionalFormatting>
  <conditionalFormatting sqref="E5 A1:E4">
    <cfRule type="expression" dxfId="183" priority="21728">
      <formula>$E$5:$E$20806="REMANEJADO"</formula>
    </cfRule>
  </conditionalFormatting>
  <conditionalFormatting sqref="E5 A1:E4">
    <cfRule type="expression" dxfId="182" priority="21734">
      <formula>$E$5:$E$20806="2ª CONVOCAÇÃO"</formula>
    </cfRule>
  </conditionalFormatting>
  <conditionalFormatting sqref="E5 A1:E4">
    <cfRule type="expression" dxfId="181" priority="21737">
      <formula>$E$5:$E$20806="NÃO ATENDE/AGUARDANDO RETORNO"</formula>
    </cfRule>
  </conditionalFormatting>
  <conditionalFormatting sqref="E5 A1:E4">
    <cfRule type="expression" dxfId="180" priority="21740">
      <formula>$E$6:$E$20806="CONTRATADO"</formula>
    </cfRule>
  </conditionalFormatting>
  <conditionalFormatting sqref="E5 A1:E4">
    <cfRule type="expression" dxfId="179" priority="21909">
      <formula>$Y$6:$Y$20806="REMANEJADO"</formula>
    </cfRule>
  </conditionalFormatting>
  <conditionalFormatting sqref="E5 A1:E4">
    <cfRule type="expression" dxfId="178" priority="21913">
      <formula>$Y$6:$Y$20001="DESCLASSIFICADO"</formula>
    </cfRule>
  </conditionalFormatting>
  <conditionalFormatting sqref="E5 A1:E4">
    <cfRule type="expression" dxfId="177" priority="21917">
      <formula>$Y$6:$Y$20001="REMANEJADO"</formula>
    </cfRule>
  </conditionalFormatting>
  <conditionalFormatting sqref="E5 A1:E4">
    <cfRule type="expression" dxfId="176" priority="21921">
      <formula>$Y$6:$Y$20001="1ª CONVOCAÇÃO"</formula>
    </cfRule>
  </conditionalFormatting>
  <conditionalFormatting sqref="E5 A1:E4">
    <cfRule type="expression" dxfId="175" priority="21925">
      <formula>$Y$6:$Y$20001="2ª CONVOCAÇÃO"</formula>
    </cfRule>
  </conditionalFormatting>
  <conditionalFormatting sqref="E5 A1:E4">
    <cfRule type="expression" dxfId="174" priority="21929">
      <formula>$Y$6:$Y$20001="NÃO ATENDE/AGUARDANDO RETORNO"</formula>
    </cfRule>
  </conditionalFormatting>
  <conditionalFormatting sqref="E5 A1:E4">
    <cfRule type="expression" dxfId="173" priority="21933">
      <formula>$Y$6:$Y$20806="CONTRATADO"</formula>
    </cfRule>
  </conditionalFormatting>
  <conditionalFormatting sqref="E5 A1:E4">
    <cfRule type="expression" dxfId="172" priority="21937">
      <formula>$Y$6:$Y$20806="DESCLASSIFICADO"</formula>
    </cfRule>
  </conditionalFormatting>
  <conditionalFormatting sqref="E5 A1:E4">
    <cfRule type="expression" dxfId="171" priority="21941">
      <formula>$Y$6:$Y$20806="1ª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29" bestFit="1" customWidth="1"/>
    <col min="3" max="3" width="8" bestFit="1" customWidth="1"/>
    <col min="4" max="4" width="24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6299</v>
      </c>
      <c r="C5" s="30" t="s">
        <v>64</v>
      </c>
      <c r="D5" s="30" t="s">
        <v>6307</v>
      </c>
      <c r="E5" s="21" t="s">
        <v>69</v>
      </c>
    </row>
  </sheetData>
  <mergeCells count="1">
    <mergeCell ref="A1:E3"/>
  </mergeCells>
  <conditionalFormatting sqref="A1:E5">
    <cfRule type="expression" dxfId="170" priority="22242">
      <formula>$E$5:$E$20001="CONTRATADO"</formula>
    </cfRule>
  </conditionalFormatting>
  <conditionalFormatting sqref="A1:E5">
    <cfRule type="expression" dxfId="169" priority="22244">
      <formula>$E$5:$E$20001="DESCLASSIFICADO"</formula>
    </cfRule>
  </conditionalFormatting>
  <conditionalFormatting sqref="A1:E5">
    <cfRule type="expression" dxfId="168" priority="22246">
      <formula>$E$5:$E$20001="REMANEJADO"</formula>
    </cfRule>
  </conditionalFormatting>
  <conditionalFormatting sqref="A1:E5">
    <cfRule type="expression" dxfId="167" priority="22248">
      <formula>$E$5:$E$20001="1ª CONVOCAÇÃO"</formula>
    </cfRule>
  </conditionalFormatting>
  <conditionalFormatting sqref="A1:E5">
    <cfRule type="expression" dxfId="166" priority="22250">
      <formula>$E$5:$E$20001="2ª CONVOCAÇÃO"</formula>
    </cfRule>
  </conditionalFormatting>
  <conditionalFormatting sqref="A1:E5">
    <cfRule type="expression" dxfId="165" priority="22252">
      <formula>$E$5:$E$20001="NÃO ATENDE/AGUARDANDO RETORNO"</formula>
    </cfRule>
  </conditionalFormatting>
  <conditionalFormatting sqref="A1:E5">
    <cfRule type="expression" dxfId="164" priority="22268">
      <formula>$E$5:$E$20806="REMANEJADO"</formula>
    </cfRule>
  </conditionalFormatting>
  <conditionalFormatting sqref="A1:E5">
    <cfRule type="expression" dxfId="163" priority="22272">
      <formula>$E$5:$E$20806="2ª CONVOCAÇÃO"</formula>
    </cfRule>
  </conditionalFormatting>
  <conditionalFormatting sqref="A1:E5">
    <cfRule type="expression" dxfId="162" priority="22274">
      <formula>$E$5:$E$20806="NÃO ATENDE/AGUARDANDO RETORNO"</formula>
    </cfRule>
  </conditionalFormatting>
  <conditionalFormatting sqref="A1:E5">
    <cfRule type="expression" dxfId="161" priority="22276">
      <formula>$E$6:$E$20806="CONTRATADO"</formula>
    </cfRule>
  </conditionalFormatting>
  <conditionalFormatting sqref="A1:E5">
    <cfRule type="expression" dxfId="160" priority="22365">
      <formula>$Z$6:$Z$20806="REMANEJADO"</formula>
    </cfRule>
  </conditionalFormatting>
  <conditionalFormatting sqref="A1:E5">
    <cfRule type="expression" dxfId="159" priority="22367">
      <formula>$Z$6:$Z$20001="DESCLASSIFICADO"</formula>
    </cfRule>
  </conditionalFormatting>
  <conditionalFormatting sqref="A1:E5">
    <cfRule type="expression" dxfId="158" priority="22369">
      <formula>$Z$6:$Z$20001="REMANEJADO"</formula>
    </cfRule>
  </conditionalFormatting>
  <conditionalFormatting sqref="A1:E5">
    <cfRule type="expression" dxfId="157" priority="22371">
      <formula>$Z$6:$Z$20001="1ª CONVOCAÇÃO"</formula>
    </cfRule>
  </conditionalFormatting>
  <conditionalFormatting sqref="A1:E5">
    <cfRule type="expression" dxfId="156" priority="22373">
      <formula>$Z$6:$Z$20001="2ª CONVOCAÇÃO"</formula>
    </cfRule>
  </conditionalFormatting>
  <conditionalFormatting sqref="A1:E5">
    <cfRule type="expression" dxfId="155" priority="22375">
      <formula>$Z$6:$Z$20001="NÃO ATENDE/AGUARDANDO RETORNO"</formula>
    </cfRule>
  </conditionalFormatting>
  <conditionalFormatting sqref="A1:E5">
    <cfRule type="expression" dxfId="154" priority="22377">
      <formula>$Z$6:$Z$20806="CONTRATADO"</formula>
    </cfRule>
  </conditionalFormatting>
  <conditionalFormatting sqref="A1:E5">
    <cfRule type="expression" dxfId="153" priority="22379">
      <formula>$Z$6:$Z$20806="DESCLASSIFICADO"</formula>
    </cfRule>
  </conditionalFormatting>
  <conditionalFormatting sqref="A1:E5">
    <cfRule type="expression" dxfId="152" priority="22381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Normal="100" workbookViewId="0">
      <selection sqref="A1:E3"/>
    </sheetView>
  </sheetViews>
  <sheetFormatPr defaultColWidth="14.42578125" defaultRowHeight="15"/>
  <cols>
    <col min="2" max="2" width="37.140625" style="48" bestFit="1" customWidth="1"/>
    <col min="3" max="3" width="13.1406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6308</v>
      </c>
      <c r="C5" s="45" t="s">
        <v>64</v>
      </c>
      <c r="D5" s="45" t="s">
        <v>6319</v>
      </c>
      <c r="E5" s="45" t="s">
        <v>69</v>
      </c>
    </row>
    <row r="6" spans="1:5" ht="15.75" customHeight="1">
      <c r="A6" s="45">
        <v>2</v>
      </c>
      <c r="B6" s="51" t="s">
        <v>6320</v>
      </c>
      <c r="C6" s="45" t="s">
        <v>64</v>
      </c>
      <c r="D6" s="45" t="s">
        <v>6319</v>
      </c>
      <c r="E6" s="45" t="s">
        <v>69</v>
      </c>
    </row>
    <row r="7" spans="1:5" ht="15.75" customHeight="1">
      <c r="A7" s="45">
        <v>3</v>
      </c>
      <c r="B7" s="51" t="s">
        <v>6328</v>
      </c>
      <c r="C7" s="45" t="s">
        <v>64</v>
      </c>
      <c r="D7" s="45" t="s">
        <v>6319</v>
      </c>
      <c r="E7" s="45" t="s">
        <v>69</v>
      </c>
    </row>
    <row r="8" spans="1:5" ht="15.75" customHeight="1">
      <c r="A8" s="45">
        <v>4</v>
      </c>
      <c r="B8" s="51" t="s">
        <v>6334</v>
      </c>
      <c r="C8" s="45" t="s">
        <v>64</v>
      </c>
      <c r="D8" s="45" t="s">
        <v>6319</v>
      </c>
      <c r="E8" s="45" t="s">
        <v>69</v>
      </c>
    </row>
    <row r="9" spans="1:5" ht="15.75" customHeight="1">
      <c r="A9" s="45">
        <v>5</v>
      </c>
      <c r="B9" s="51" t="s">
        <v>6343</v>
      </c>
      <c r="C9" s="45" t="s">
        <v>64</v>
      </c>
      <c r="D9" s="45" t="s">
        <v>6319</v>
      </c>
      <c r="E9" s="45" t="s">
        <v>325</v>
      </c>
    </row>
    <row r="10" spans="1:5" ht="15.75" customHeight="1">
      <c r="A10" s="45">
        <v>1</v>
      </c>
      <c r="B10" s="51" t="s">
        <v>6352</v>
      </c>
      <c r="C10" s="45" t="s">
        <v>204</v>
      </c>
      <c r="D10" s="45" t="s">
        <v>6319</v>
      </c>
      <c r="E10" s="45" t="s">
        <v>69</v>
      </c>
    </row>
    <row r="11" spans="1:5" ht="15.75" customHeight="1">
      <c r="A11" s="45">
        <v>2</v>
      </c>
      <c r="B11" s="51" t="s">
        <v>6360</v>
      </c>
      <c r="C11" s="45" t="s">
        <v>204</v>
      </c>
      <c r="D11" s="45" t="s">
        <v>6319</v>
      </c>
      <c r="E11" s="45" t="s">
        <v>69</v>
      </c>
    </row>
    <row r="12" spans="1:5" ht="15.75" customHeight="1">
      <c r="A12" s="45">
        <v>1</v>
      </c>
      <c r="B12" s="51" t="s">
        <v>6366</v>
      </c>
      <c r="C12" s="45" t="s">
        <v>1005</v>
      </c>
      <c r="D12" s="45" t="s">
        <v>6319</v>
      </c>
      <c r="E12" s="45" t="s">
        <v>69</v>
      </c>
    </row>
  </sheetData>
  <mergeCells count="1">
    <mergeCell ref="A1:E3"/>
  </mergeCells>
  <conditionalFormatting sqref="A1:E4">
    <cfRule type="expression" dxfId="151" priority="3">
      <formula>$E$5:$E$20001="CONTRATADO"</formula>
    </cfRule>
  </conditionalFormatting>
  <conditionalFormatting sqref="A1:E4">
    <cfRule type="expression" dxfId="150" priority="4">
      <formula>$E$5:$E$20001="DESCLASSIFICADO"</formula>
    </cfRule>
  </conditionalFormatting>
  <conditionalFormatting sqref="A1:E4">
    <cfRule type="expression" dxfId="149" priority="5">
      <formula>$E$5:$E$20001="REMANEJADO"</formula>
    </cfRule>
  </conditionalFormatting>
  <conditionalFormatting sqref="A1:E4">
    <cfRule type="expression" dxfId="148" priority="6">
      <formula>$E$5:$E$20001="1ª CONVOCAÇÃO"</formula>
    </cfRule>
  </conditionalFormatting>
  <conditionalFormatting sqref="A1:E4">
    <cfRule type="expression" dxfId="147" priority="7">
      <formula>$E$5:$E$20001="2ª CONVOCAÇÃO"</formula>
    </cfRule>
  </conditionalFormatting>
  <conditionalFormatting sqref="A1:E4">
    <cfRule type="expression" dxfId="146" priority="8">
      <formula>$E$5:$E$20001="NÃO ATENDE/AGUARDANDO RETORNO"</formula>
    </cfRule>
  </conditionalFormatting>
  <conditionalFormatting sqref="A1:E4">
    <cfRule type="expression" dxfId="145" priority="17">
      <formula>$E$5:$E$20806="REMANEJADO"</formula>
    </cfRule>
  </conditionalFormatting>
  <conditionalFormatting sqref="A1:E4">
    <cfRule type="expression" dxfId="144" priority="19">
      <formula>$E$5:$E$20806="2ª CONVOCAÇÃO"</formula>
    </cfRule>
  </conditionalFormatting>
  <conditionalFormatting sqref="A1:E4">
    <cfRule type="expression" dxfId="143" priority="20">
      <formula>$E$5:$E$20806="NÃO ATENDE/AGUARDANDO RETORNO"</formula>
    </cfRule>
  </conditionalFormatting>
  <conditionalFormatting sqref="A1:E4">
    <cfRule type="expression" dxfId="142" priority="21">
      <formula>$E$6:$E$20806="CONTRATADO"</formula>
    </cfRule>
  </conditionalFormatting>
  <conditionalFormatting sqref="A1:E4">
    <cfRule type="expression" dxfId="141" priority="22457">
      <formula>$Z$6:$Z$20806="REMANEJADO"</formula>
    </cfRule>
  </conditionalFormatting>
  <conditionalFormatting sqref="A1:E4">
    <cfRule type="expression" dxfId="140" priority="22460">
      <formula>$Z$6:$Z$20001="DESCLASSIFICADO"</formula>
    </cfRule>
  </conditionalFormatting>
  <conditionalFormatting sqref="A1:E4">
    <cfRule type="expression" dxfId="139" priority="22463">
      <formula>$Z$6:$Z$20001="REMANEJADO"</formula>
    </cfRule>
  </conditionalFormatting>
  <conditionalFormatting sqref="A1:E4">
    <cfRule type="expression" dxfId="138" priority="22466">
      <formula>$Z$6:$Z$20001="1ª CONVOCAÇÃO"</formula>
    </cfRule>
  </conditionalFormatting>
  <conditionalFormatting sqref="A1:E4">
    <cfRule type="expression" dxfId="137" priority="22469">
      <formula>$Z$6:$Z$20001="2ª CONVOCAÇÃO"</formula>
    </cfRule>
  </conditionalFormatting>
  <conditionalFormatting sqref="A1:E4">
    <cfRule type="expression" dxfId="136" priority="22472">
      <formula>$Z$6:$Z$20001="NÃO ATENDE/AGUARDANDO RETORNO"</formula>
    </cfRule>
  </conditionalFormatting>
  <conditionalFormatting sqref="A1:E4">
    <cfRule type="expression" dxfId="135" priority="22475">
      <formula>$Z$6:$Z$20806="CONTRATADO"</formula>
    </cfRule>
  </conditionalFormatting>
  <conditionalFormatting sqref="A1:E4">
    <cfRule type="expression" dxfId="134" priority="22478">
      <formula>$Z$6:$Z$20806="DESCLASSIFICADO"</formula>
    </cfRule>
  </conditionalFormatting>
  <conditionalFormatting sqref="A1:E4">
    <cfRule type="expression" dxfId="133" priority="22481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14.28515625" style="48" bestFit="1" customWidth="1"/>
    <col min="3" max="3" width="8" bestFit="1" customWidth="1"/>
    <col min="4" max="4" width="14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52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6373</v>
      </c>
      <c r="C5" s="45" t="s">
        <v>64</v>
      </c>
      <c r="D5" s="45" t="s">
        <v>6381</v>
      </c>
      <c r="E5" s="45" t="s">
        <v>325</v>
      </c>
    </row>
  </sheetData>
  <mergeCells count="1">
    <mergeCell ref="A1:E3"/>
  </mergeCells>
  <conditionalFormatting sqref="A1:E4">
    <cfRule type="expression" dxfId="132" priority="3">
      <formula>$E$5:$E$20001="CONTRATADO"</formula>
    </cfRule>
  </conditionalFormatting>
  <conditionalFormatting sqref="A1:E4">
    <cfRule type="expression" dxfId="131" priority="4">
      <formula>$E$5:$E$20001="DESCLASSIFICADO"</formula>
    </cfRule>
  </conditionalFormatting>
  <conditionalFormatting sqref="A1:E4">
    <cfRule type="expression" dxfId="130" priority="5">
      <formula>$E$5:$E$20001="REMANEJADO"</formula>
    </cfRule>
  </conditionalFormatting>
  <conditionalFormatting sqref="A1:E4">
    <cfRule type="expression" dxfId="129" priority="6">
      <formula>$E$5:$E$20001="1ª CONVOCAÇÃO"</formula>
    </cfRule>
  </conditionalFormatting>
  <conditionalFormatting sqref="A1:E4">
    <cfRule type="expression" dxfId="128" priority="7">
      <formula>$E$5:$E$20001="2ª CONVOCAÇÃO"</formula>
    </cfRule>
  </conditionalFormatting>
  <conditionalFormatting sqref="A1:E4">
    <cfRule type="expression" dxfId="127" priority="8">
      <formula>$E$5:$E$20001="NÃO ATENDE/AGUARDANDO RETORNO"</formula>
    </cfRule>
  </conditionalFormatting>
  <conditionalFormatting sqref="A1:E4">
    <cfRule type="expression" dxfId="126" priority="17">
      <formula>$E$5:$E$20806="REMANEJADO"</formula>
    </cfRule>
  </conditionalFormatting>
  <conditionalFormatting sqref="A1:E4">
    <cfRule type="expression" dxfId="125" priority="19">
      <formula>$E$5:$E$20806="2ª CONVOCAÇÃO"</formula>
    </cfRule>
  </conditionalFormatting>
  <conditionalFormatting sqref="A1:E4">
    <cfRule type="expression" dxfId="124" priority="20">
      <formula>$E$5:$E$20806="NÃO ATENDE/AGUARDANDO RETORNO"</formula>
    </cfRule>
  </conditionalFormatting>
  <conditionalFormatting sqref="A1:E4">
    <cfRule type="expression" dxfId="123" priority="21">
      <formula>$E$6:$E$20806="CONTRATADO"</formula>
    </cfRule>
  </conditionalFormatting>
  <conditionalFormatting sqref="A1:E4">
    <cfRule type="expression" dxfId="122" priority="22610">
      <formula>$Z$6:$Z$20806="REMANEJADO"</formula>
    </cfRule>
  </conditionalFormatting>
  <conditionalFormatting sqref="A1:E4">
    <cfRule type="expression" dxfId="121" priority="22613">
      <formula>$Z$6:$Z$20001="DESCLASSIFICADO"</formula>
    </cfRule>
  </conditionalFormatting>
  <conditionalFormatting sqref="A1:E4">
    <cfRule type="expression" dxfId="120" priority="22616">
      <formula>$Z$6:$Z$20001="REMANEJADO"</formula>
    </cfRule>
  </conditionalFormatting>
  <conditionalFormatting sqref="A1:E4">
    <cfRule type="expression" dxfId="119" priority="22619">
      <formula>$Z$6:$Z$20001="1ª CONVOCAÇÃO"</formula>
    </cfRule>
  </conditionalFormatting>
  <conditionalFormatting sqref="A1:E4">
    <cfRule type="expression" dxfId="118" priority="22622">
      <formula>$Z$6:$Z$20001="2ª CONVOCAÇÃO"</formula>
    </cfRule>
  </conditionalFormatting>
  <conditionalFormatting sqref="A1:E4">
    <cfRule type="expression" dxfId="117" priority="22625">
      <formula>$Z$6:$Z$20001="NÃO ATENDE/AGUARDANDO RETORNO"</formula>
    </cfRule>
  </conditionalFormatting>
  <conditionalFormatting sqref="A1:E4">
    <cfRule type="expression" dxfId="116" priority="22628">
      <formula>$Z$6:$Z$20806="CONTRATADO"</formula>
    </cfRule>
  </conditionalFormatting>
  <conditionalFormatting sqref="A1:E4">
    <cfRule type="expression" dxfId="115" priority="22631">
      <formula>$Z$6:$Z$20806="DESCLASSIFICADO"</formula>
    </cfRule>
  </conditionalFormatting>
  <conditionalFormatting sqref="A1:E4">
    <cfRule type="expression" dxfId="114" priority="22634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E16" sqref="E16"/>
    </sheetView>
  </sheetViews>
  <sheetFormatPr defaultColWidth="14.42578125" defaultRowHeight="15"/>
  <cols>
    <col min="2" max="2" width="28.85546875" bestFit="1" customWidth="1"/>
    <col min="3" max="3" width="8" bestFit="1" customWidth="1"/>
    <col min="4" max="4" width="13.42578125" bestFit="1" customWidth="1"/>
    <col min="5" max="5" width="18.42578125" bestFit="1" customWidth="1"/>
    <col min="6" max="6" width="16.5703125" bestFit="1" customWidth="1"/>
  </cols>
  <sheetData>
    <row r="1" spans="1:6" ht="18.75" customHeight="1">
      <c r="A1" s="52" t="s">
        <v>6690</v>
      </c>
      <c r="B1" s="52"/>
      <c r="C1" s="52"/>
      <c r="D1" s="52"/>
      <c r="E1" s="52"/>
      <c r="F1" s="52"/>
    </row>
    <row r="2" spans="1:6" ht="18.75" customHeight="1">
      <c r="A2" s="52"/>
      <c r="B2" s="52"/>
      <c r="C2" s="52"/>
      <c r="D2" s="52"/>
      <c r="E2" s="52"/>
      <c r="F2" s="52"/>
    </row>
    <row r="3" spans="1:6" ht="18.75" customHeight="1">
      <c r="A3" s="52"/>
      <c r="B3" s="52"/>
      <c r="C3" s="52"/>
      <c r="D3" s="52"/>
      <c r="E3" s="52"/>
      <c r="F3" s="52"/>
    </row>
    <row r="4" spans="1:6" ht="32.25" customHeight="1">
      <c r="A4" s="18" t="s">
        <v>9</v>
      </c>
      <c r="B4" s="18" t="s">
        <v>10</v>
      </c>
      <c r="C4" s="18" t="s">
        <v>31</v>
      </c>
      <c r="D4" s="18" t="s">
        <v>35</v>
      </c>
      <c r="E4" s="18" t="s">
        <v>41</v>
      </c>
      <c r="F4" s="18" t="s">
        <v>6691</v>
      </c>
    </row>
    <row r="5" spans="1:6" ht="15.75" customHeight="1">
      <c r="A5" s="28">
        <v>1</v>
      </c>
      <c r="B5" s="29" t="s">
        <v>623</v>
      </c>
      <c r="C5" s="30" t="s">
        <v>64</v>
      </c>
      <c r="D5" s="28" t="s">
        <v>66</v>
      </c>
      <c r="E5" s="30" t="s">
        <v>633</v>
      </c>
      <c r="F5" s="21" t="s">
        <v>69</v>
      </c>
    </row>
    <row r="6" spans="1:6" ht="15.75" customHeight="1">
      <c r="A6" s="28">
        <v>2</v>
      </c>
      <c r="B6" s="29" t="s">
        <v>634</v>
      </c>
      <c r="C6" s="30" t="s">
        <v>64</v>
      </c>
      <c r="D6" s="28" t="s">
        <v>66</v>
      </c>
      <c r="E6" s="30" t="s">
        <v>633</v>
      </c>
      <c r="F6" s="21" t="s">
        <v>69</v>
      </c>
    </row>
    <row r="7" spans="1:6" ht="15.75" customHeight="1">
      <c r="A7" s="28">
        <v>3</v>
      </c>
      <c r="B7" s="29" t="s">
        <v>640</v>
      </c>
      <c r="C7" s="30" t="s">
        <v>64</v>
      </c>
      <c r="D7" s="28" t="s">
        <v>66</v>
      </c>
      <c r="E7" s="30" t="s">
        <v>633</v>
      </c>
      <c r="F7" s="21" t="s">
        <v>69</v>
      </c>
    </row>
    <row r="8" spans="1:6" ht="15.75" customHeight="1">
      <c r="A8" s="28">
        <v>4</v>
      </c>
      <c r="B8" s="29" t="s">
        <v>646</v>
      </c>
      <c r="C8" s="30" t="s">
        <v>64</v>
      </c>
      <c r="D8" s="28" t="s">
        <v>66</v>
      </c>
      <c r="E8" s="30" t="s">
        <v>633</v>
      </c>
      <c r="F8" s="21" t="s">
        <v>69</v>
      </c>
    </row>
  </sheetData>
  <mergeCells count="1">
    <mergeCell ref="A1:F3"/>
  </mergeCells>
  <conditionalFormatting sqref="A1:F8">
    <cfRule type="expression" dxfId="1642" priority="474">
      <formula>$F$5:$F$20001="CONTRATADO"</formula>
    </cfRule>
  </conditionalFormatting>
  <conditionalFormatting sqref="A1:F8">
    <cfRule type="expression" dxfId="1641" priority="476">
      <formula>$F$5:$F$20001="DESCLASSIFICADO"</formula>
    </cfRule>
  </conditionalFormatting>
  <conditionalFormatting sqref="A1:F8">
    <cfRule type="expression" dxfId="1640" priority="478">
      <formula>$F$5:$F$20001="REMANEJADO"</formula>
    </cfRule>
  </conditionalFormatting>
  <conditionalFormatting sqref="A1:F8">
    <cfRule type="expression" dxfId="1639" priority="480">
      <formula>$F$5:$F$20001="1ª CONVOCAÇÃO"</formula>
    </cfRule>
  </conditionalFormatting>
  <conditionalFormatting sqref="A1:F8">
    <cfRule type="expression" dxfId="1638" priority="482">
      <formula>$F$5:$F$20001="2ª CONVOCAÇÃO"</formula>
    </cfRule>
  </conditionalFormatting>
  <conditionalFormatting sqref="A1:F8">
    <cfRule type="expression" dxfId="1637" priority="484">
      <formula>$F$5:$F$20001="NÃO ATENDE/AGUARDANDO RETORNO"</formula>
    </cfRule>
  </conditionalFormatting>
  <conditionalFormatting sqref="A1:F8">
    <cfRule type="expression" dxfId="1636" priority="500">
      <formula>$F$5:$F$20806="REMANEJADO"</formula>
    </cfRule>
  </conditionalFormatting>
  <conditionalFormatting sqref="A1:F8">
    <cfRule type="expression" dxfId="1635" priority="504">
      <formula>$F$5:$F$20806="2ª CONVOCAÇÃO"</formula>
    </cfRule>
  </conditionalFormatting>
  <conditionalFormatting sqref="A1:F8">
    <cfRule type="expression" dxfId="1634" priority="506">
      <formula>$F$5:$F$20806="NÃO ATENDE/AGUARDANDO RETORNO"</formula>
    </cfRule>
  </conditionalFormatting>
  <conditionalFormatting sqref="A1:F8">
    <cfRule type="expression" dxfId="1633" priority="508">
      <formula>$F$6:$F$20806="CONTRATADO"</formula>
    </cfRule>
  </conditionalFormatting>
  <conditionalFormatting sqref="A1:F8">
    <cfRule type="expression" dxfId="1632" priority="1059">
      <formula>$Z$6:$Z$20806="REMANEJADO"</formula>
    </cfRule>
  </conditionalFormatting>
  <conditionalFormatting sqref="A1:F8">
    <cfRule type="expression" dxfId="1631" priority="1061">
      <formula>$Z$6:$Z$20001="DESCLASSIFICADO"</formula>
    </cfRule>
  </conditionalFormatting>
  <conditionalFormatting sqref="A1:F8">
    <cfRule type="expression" dxfId="1630" priority="1063">
      <formula>$Z$6:$Z$20001="REMANEJADO"</formula>
    </cfRule>
  </conditionalFormatting>
  <conditionalFormatting sqref="A1:F8">
    <cfRule type="expression" dxfId="1629" priority="1065">
      <formula>$Z$6:$Z$20001="1ª CONVOCAÇÃO"</formula>
    </cfRule>
  </conditionalFormatting>
  <conditionalFormatting sqref="A1:F8">
    <cfRule type="expression" dxfId="1628" priority="1067">
      <formula>$Z$6:$Z$20001="2ª CONVOCAÇÃO"</formula>
    </cfRule>
  </conditionalFormatting>
  <conditionalFormatting sqref="A1:F8">
    <cfRule type="expression" dxfId="1627" priority="1069">
      <formula>$Z$6:$Z$20001="NÃO ATENDE/AGUARDANDO RETORNO"</formula>
    </cfRule>
  </conditionalFormatting>
  <conditionalFormatting sqref="A1:F8">
    <cfRule type="expression" dxfId="1626" priority="1071">
      <formula>$Z$6:$Z$20806="CONTRATADO"</formula>
    </cfRule>
  </conditionalFormatting>
  <conditionalFormatting sqref="A1:F8">
    <cfRule type="expression" dxfId="1625" priority="1073">
      <formula>$Z$6:$Z$20806="DESCLASSIFICADO"</formula>
    </cfRule>
  </conditionalFormatting>
  <conditionalFormatting sqref="A1:F8">
    <cfRule type="expression" dxfId="1624" priority="1075">
      <formula>$Z$6:$Z$20806="1ª CONVOCAÇÃO"</formula>
    </cfRule>
  </conditionalFormatting>
  <dataValidations count="1">
    <dataValidation type="list" allowBlank="1" showErrorMessage="1" sqref="F5:F8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sqref="A1:E3"/>
    </sheetView>
  </sheetViews>
  <sheetFormatPr defaultColWidth="14.42578125" defaultRowHeight="15"/>
  <cols>
    <col min="2" max="2" width="33.28515625" bestFit="1" customWidth="1"/>
    <col min="3" max="3" width="8" bestFit="1" customWidth="1"/>
    <col min="4" max="4" width="12.71093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9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6382</v>
      </c>
      <c r="C5" s="30" t="s">
        <v>64</v>
      </c>
      <c r="D5" s="30" t="s">
        <v>6388</v>
      </c>
      <c r="E5" s="21" t="s">
        <v>69</v>
      </c>
    </row>
    <row r="6" spans="1:5" ht="15.75" customHeight="1">
      <c r="A6" s="28">
        <v>2</v>
      </c>
      <c r="B6" s="29" t="s">
        <v>6389</v>
      </c>
      <c r="C6" s="30" t="s">
        <v>64</v>
      </c>
      <c r="D6" s="30" t="s">
        <v>6388</v>
      </c>
      <c r="E6" s="21" t="s">
        <v>69</v>
      </c>
    </row>
    <row r="7" spans="1:5" ht="15.75" customHeight="1">
      <c r="A7" s="28">
        <v>3</v>
      </c>
      <c r="B7" s="29" t="s">
        <v>6396</v>
      </c>
      <c r="C7" s="30" t="s">
        <v>64</v>
      </c>
      <c r="D7" s="30" t="s">
        <v>6388</v>
      </c>
      <c r="E7" s="21" t="s">
        <v>69</v>
      </c>
    </row>
    <row r="8" spans="1:5" ht="15.75" customHeight="1">
      <c r="A8" s="28">
        <v>4</v>
      </c>
      <c r="B8" s="29" t="s">
        <v>6404</v>
      </c>
      <c r="C8" s="30" t="s">
        <v>64</v>
      </c>
      <c r="D8" s="30" t="s">
        <v>6388</v>
      </c>
      <c r="E8" s="21" t="s">
        <v>69</v>
      </c>
    </row>
    <row r="9" spans="1:5" ht="15.75" customHeight="1">
      <c r="A9" s="28">
        <v>5</v>
      </c>
      <c r="B9" s="29" t="s">
        <v>6411</v>
      </c>
      <c r="C9" s="30" t="s">
        <v>64</v>
      </c>
      <c r="D9" s="30" t="s">
        <v>6388</v>
      </c>
      <c r="E9" s="21" t="s">
        <v>69</v>
      </c>
    </row>
  </sheetData>
  <mergeCells count="1">
    <mergeCell ref="A1:E3"/>
  </mergeCells>
  <conditionalFormatting sqref="A1:E9">
    <cfRule type="expression" dxfId="113" priority="22935">
      <formula>$E$5:$E$20001="CONTRATADO"</formula>
    </cfRule>
  </conditionalFormatting>
  <conditionalFormatting sqref="A1:E9">
    <cfRule type="expression" dxfId="112" priority="22937">
      <formula>$E$5:$E$20001="DESCLASSIFICADO"</formula>
    </cfRule>
  </conditionalFormatting>
  <conditionalFormatting sqref="A1:E9">
    <cfRule type="expression" dxfId="111" priority="22939">
      <formula>$E$5:$E$20001="REMANEJADO"</formula>
    </cfRule>
  </conditionalFormatting>
  <conditionalFormatting sqref="A1:E9">
    <cfRule type="expression" dxfId="110" priority="22941">
      <formula>$E$5:$E$20001="1ª CONVOCAÇÃO"</formula>
    </cfRule>
  </conditionalFormatting>
  <conditionalFormatting sqref="A1:E9">
    <cfRule type="expression" dxfId="109" priority="22943">
      <formula>$E$5:$E$20001="2ª CONVOCAÇÃO"</formula>
    </cfRule>
  </conditionalFormatting>
  <conditionalFormatting sqref="A1:E9">
    <cfRule type="expression" dxfId="108" priority="22945">
      <formula>$E$5:$E$20001="NÃO ATENDE/AGUARDANDO RETORNO"</formula>
    </cfRule>
  </conditionalFormatting>
  <conditionalFormatting sqref="A1:E9">
    <cfRule type="expression" dxfId="107" priority="22961">
      <formula>$E$5:$E$20806="REMANEJADO"</formula>
    </cfRule>
  </conditionalFormatting>
  <conditionalFormatting sqref="A1:E9">
    <cfRule type="expression" dxfId="106" priority="22965">
      <formula>$E$5:$E$20806="2ª CONVOCAÇÃO"</formula>
    </cfRule>
  </conditionalFormatting>
  <conditionalFormatting sqref="A1:E9">
    <cfRule type="expression" dxfId="105" priority="22967">
      <formula>$E$5:$E$20806="NÃO ATENDE/AGUARDANDO RETORNO"</formula>
    </cfRule>
  </conditionalFormatting>
  <conditionalFormatting sqref="A1:E9">
    <cfRule type="expression" dxfId="104" priority="22969">
      <formula>$E$6:$E$20806="CONTRATADO"</formula>
    </cfRule>
  </conditionalFormatting>
  <conditionalFormatting sqref="A1:E9">
    <cfRule type="expression" dxfId="103" priority="23058">
      <formula>$Z$6:$Z$20806="REMANEJADO"</formula>
    </cfRule>
  </conditionalFormatting>
  <conditionalFormatting sqref="A1:E9">
    <cfRule type="expression" dxfId="102" priority="23060">
      <formula>$Z$6:$Z$20001="DESCLASSIFICADO"</formula>
    </cfRule>
  </conditionalFormatting>
  <conditionalFormatting sqref="A1:E9">
    <cfRule type="expression" dxfId="101" priority="23062">
      <formula>$Z$6:$Z$20001="REMANEJADO"</formula>
    </cfRule>
  </conditionalFormatting>
  <conditionalFormatting sqref="A1:E9">
    <cfRule type="expression" dxfId="100" priority="23064">
      <formula>$Z$6:$Z$20001="1ª CONVOCAÇÃO"</formula>
    </cfRule>
  </conditionalFormatting>
  <conditionalFormatting sqref="A1:E9">
    <cfRule type="expression" dxfId="99" priority="23066">
      <formula>$Z$6:$Z$20001="2ª CONVOCAÇÃO"</formula>
    </cfRule>
  </conditionalFormatting>
  <conditionalFormatting sqref="A1:E9">
    <cfRule type="expression" dxfId="98" priority="23068">
      <formula>$Z$6:$Z$20001="NÃO ATENDE/AGUARDANDO RETORNO"</formula>
    </cfRule>
  </conditionalFormatting>
  <conditionalFormatting sqref="A1:E9">
    <cfRule type="expression" dxfId="97" priority="23070">
      <formula>$Z$6:$Z$20806="CONTRATADO"</formula>
    </cfRule>
  </conditionalFormatting>
  <conditionalFormatting sqref="A1:E9">
    <cfRule type="expression" dxfId="96" priority="23072">
      <formula>$Z$6:$Z$20806="DESCLASSIFICADO"</formula>
    </cfRule>
  </conditionalFormatting>
  <conditionalFormatting sqref="A1:E9">
    <cfRule type="expression" dxfId="95" priority="23074">
      <formula>$Z$6:$Z$20806="1ª CONVOCAÇÃO"</formula>
    </cfRule>
  </conditionalFormatting>
  <dataValidations count="1">
    <dataValidation type="list" allowBlank="1" showErrorMessage="1" sqref="E5:E9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Normal="100" workbookViewId="0">
      <selection sqref="A1:E3"/>
    </sheetView>
  </sheetViews>
  <sheetFormatPr defaultColWidth="14.42578125" defaultRowHeight="15"/>
  <cols>
    <col min="2" max="2" width="28.85546875" bestFit="1" customWidth="1"/>
    <col min="3" max="3" width="10.28515625" customWidth="1"/>
    <col min="4" max="4" width="13.14062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9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6417</v>
      </c>
      <c r="C5" s="30" t="s">
        <v>64</v>
      </c>
      <c r="D5" s="30" t="s">
        <v>6426</v>
      </c>
      <c r="E5" s="21" t="s">
        <v>69</v>
      </c>
    </row>
    <row r="6" spans="1:5" ht="15.75" customHeight="1">
      <c r="A6" s="28">
        <v>2</v>
      </c>
      <c r="B6" s="29" t="s">
        <v>6427</v>
      </c>
      <c r="C6" s="30" t="s">
        <v>64</v>
      </c>
      <c r="D6" s="30" t="s">
        <v>6426</v>
      </c>
      <c r="E6" s="21" t="s">
        <v>69</v>
      </c>
    </row>
  </sheetData>
  <mergeCells count="1">
    <mergeCell ref="A1:E3"/>
  </mergeCells>
  <conditionalFormatting sqref="A1:E6">
    <cfRule type="expression" dxfId="94" priority="23375">
      <formula>$E$5:$E$20001="CONTRATADO"</formula>
    </cfRule>
  </conditionalFormatting>
  <conditionalFormatting sqref="A1:E6">
    <cfRule type="expression" dxfId="93" priority="23377">
      <formula>$E$5:$E$20001="DESCLASSIFICADO"</formula>
    </cfRule>
  </conditionalFormatting>
  <conditionalFormatting sqref="A1:E6">
    <cfRule type="expression" dxfId="92" priority="23379">
      <formula>$E$5:$E$20001="REMANEJADO"</formula>
    </cfRule>
  </conditionalFormatting>
  <conditionalFormatting sqref="A1:E6">
    <cfRule type="expression" dxfId="91" priority="23381">
      <formula>$E$5:$E$20001="1ª CONVOCAÇÃO"</formula>
    </cfRule>
  </conditionalFormatting>
  <conditionalFormatting sqref="A1:E6">
    <cfRule type="expression" dxfId="90" priority="23383">
      <formula>$E$5:$E$20001="2ª CONVOCAÇÃO"</formula>
    </cfRule>
  </conditionalFormatting>
  <conditionalFormatting sqref="A1:E6">
    <cfRule type="expression" dxfId="89" priority="23385">
      <formula>$E$5:$E$20001="NÃO ATENDE/AGUARDANDO RETORNO"</formula>
    </cfRule>
  </conditionalFormatting>
  <conditionalFormatting sqref="A1:E6">
    <cfRule type="expression" dxfId="88" priority="23401">
      <formula>$E$5:$E$20806="REMANEJADO"</formula>
    </cfRule>
  </conditionalFormatting>
  <conditionalFormatting sqref="A1:E6">
    <cfRule type="expression" dxfId="87" priority="23405">
      <formula>$E$5:$E$20806="2ª CONVOCAÇÃO"</formula>
    </cfRule>
  </conditionalFormatting>
  <conditionalFormatting sqref="A1:E6">
    <cfRule type="expression" dxfId="86" priority="23407">
      <formula>$E$5:$E$20806="NÃO ATENDE/AGUARDANDO RETORNO"</formula>
    </cfRule>
  </conditionalFormatting>
  <conditionalFormatting sqref="A1:E6">
    <cfRule type="expression" dxfId="85" priority="23409">
      <formula>$E$6:$E$20806="CONTRATADO"</formula>
    </cfRule>
  </conditionalFormatting>
  <conditionalFormatting sqref="A1:E6">
    <cfRule type="expression" dxfId="84" priority="23498">
      <formula>$Z$6:$Z$20806="REMANEJADO"</formula>
    </cfRule>
  </conditionalFormatting>
  <conditionalFormatting sqref="A1:E6">
    <cfRule type="expression" dxfId="83" priority="23500">
      <formula>$Z$6:$Z$20001="DESCLASSIFICADO"</formula>
    </cfRule>
  </conditionalFormatting>
  <conditionalFormatting sqref="A1:E6">
    <cfRule type="expression" dxfId="82" priority="23502">
      <formula>$Z$6:$Z$20001="REMANEJADO"</formula>
    </cfRule>
  </conditionalFormatting>
  <conditionalFormatting sqref="A1:E6">
    <cfRule type="expression" dxfId="81" priority="23504">
      <formula>$Z$6:$Z$20001="1ª CONVOCAÇÃO"</formula>
    </cfRule>
  </conditionalFormatting>
  <conditionalFormatting sqref="A1:E6">
    <cfRule type="expression" dxfId="80" priority="23506">
      <formula>$Z$6:$Z$20001="2ª CONVOCAÇÃO"</formula>
    </cfRule>
  </conditionalFormatting>
  <conditionalFormatting sqref="A1:E6">
    <cfRule type="expression" dxfId="79" priority="23508">
      <formula>$Z$6:$Z$20001="NÃO ATENDE/AGUARDANDO RETORNO"</formula>
    </cfRule>
  </conditionalFormatting>
  <conditionalFormatting sqref="A1:E6">
    <cfRule type="expression" dxfId="78" priority="23510">
      <formula>$Z$6:$Z$20806="CONTRATADO"</formula>
    </cfRule>
  </conditionalFormatting>
  <conditionalFormatting sqref="A1:E6">
    <cfRule type="expression" dxfId="77" priority="23512">
      <formula>$Z$6:$Z$20806="DESCLASSIFICADO"</formula>
    </cfRule>
  </conditionalFormatting>
  <conditionalFormatting sqref="A1:E6">
    <cfRule type="expression" dxfId="76" priority="23514">
      <formula>$Z$6:$Z$20806="1ª CONVOCAÇÃO"</formula>
    </cfRule>
  </conditionalFormatting>
  <dataValidations count="1">
    <dataValidation type="list" allowBlank="1" showErrorMessage="1" sqref="E5:E6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Normal="100" workbookViewId="0">
      <selection sqref="A1:E3"/>
    </sheetView>
  </sheetViews>
  <sheetFormatPr defaultColWidth="14.42578125" defaultRowHeight="15"/>
  <cols>
    <col min="2" max="2" width="39" bestFit="1" customWidth="1"/>
    <col min="3" max="3" width="8" bestFit="1" customWidth="1"/>
    <col min="4" max="4" width="11.85546875" bestFit="1" customWidth="1"/>
    <col min="5" max="5" width="16.5703125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31.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18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28">
        <v>1</v>
      </c>
      <c r="B5" s="29" t="s">
        <v>6433</v>
      </c>
      <c r="C5" s="30" t="s">
        <v>64</v>
      </c>
      <c r="D5" s="30" t="s">
        <v>6439</v>
      </c>
      <c r="E5" s="21" t="s">
        <v>69</v>
      </c>
    </row>
  </sheetData>
  <mergeCells count="1">
    <mergeCell ref="A1:E3"/>
  </mergeCells>
  <conditionalFormatting sqref="A1:E5">
    <cfRule type="expression" dxfId="75" priority="23815">
      <formula>$E$5:$E$20001="CONTRATADO"</formula>
    </cfRule>
  </conditionalFormatting>
  <conditionalFormatting sqref="A1:E5">
    <cfRule type="expression" dxfId="74" priority="23817">
      <formula>$E$5:$E$20001="DESCLASSIFICADO"</formula>
    </cfRule>
  </conditionalFormatting>
  <conditionalFormatting sqref="A1:E5">
    <cfRule type="expression" dxfId="73" priority="23819">
      <formula>$E$5:$E$20001="REMANEJADO"</formula>
    </cfRule>
  </conditionalFormatting>
  <conditionalFormatting sqref="A1:E5">
    <cfRule type="expression" dxfId="72" priority="23821">
      <formula>$E$5:$E$20001="1ª CONVOCAÇÃO"</formula>
    </cfRule>
  </conditionalFormatting>
  <conditionalFormatting sqref="A1:E5">
    <cfRule type="expression" dxfId="71" priority="23823">
      <formula>$E$5:$E$20001="2ª CONVOCAÇÃO"</formula>
    </cfRule>
  </conditionalFormatting>
  <conditionalFormatting sqref="A1:E5">
    <cfRule type="expression" dxfId="70" priority="23825">
      <formula>$E$5:$E$20001="NÃO ATENDE/AGUARDANDO RETORNO"</formula>
    </cfRule>
  </conditionalFormatting>
  <conditionalFormatting sqref="A1:E5">
    <cfRule type="expression" dxfId="69" priority="23841">
      <formula>$E$5:$E$20806="REMANEJADO"</formula>
    </cfRule>
  </conditionalFormatting>
  <conditionalFormatting sqref="A1:E5">
    <cfRule type="expression" dxfId="68" priority="23845">
      <formula>$E$5:$E$20806="2ª CONVOCAÇÃO"</formula>
    </cfRule>
  </conditionalFormatting>
  <conditionalFormatting sqref="A1:E5">
    <cfRule type="expression" dxfId="67" priority="23847">
      <formula>$E$5:$E$20806="NÃO ATENDE/AGUARDANDO RETORNO"</formula>
    </cfRule>
  </conditionalFormatting>
  <conditionalFormatting sqref="A1:E5">
    <cfRule type="expression" dxfId="66" priority="23849">
      <formula>$E$6:$E$20806="CONTRATADO"</formula>
    </cfRule>
  </conditionalFormatting>
  <conditionalFormatting sqref="A1:E5">
    <cfRule type="expression" dxfId="65" priority="23938">
      <formula>$Z$6:$Z$20806="REMANEJADO"</formula>
    </cfRule>
  </conditionalFormatting>
  <conditionalFormatting sqref="A1:E5">
    <cfRule type="expression" dxfId="64" priority="23940">
      <formula>$Z$6:$Z$20001="DESCLASSIFICADO"</formula>
    </cfRule>
  </conditionalFormatting>
  <conditionalFormatting sqref="A1:E5">
    <cfRule type="expression" dxfId="63" priority="23942">
      <formula>$Z$6:$Z$20001="REMANEJADO"</formula>
    </cfRule>
  </conditionalFormatting>
  <conditionalFormatting sqref="A1:E5">
    <cfRule type="expression" dxfId="62" priority="23944">
      <formula>$Z$6:$Z$20001="1ª CONVOCAÇÃO"</formula>
    </cfRule>
  </conditionalFormatting>
  <conditionalFormatting sqref="A1:E5">
    <cfRule type="expression" dxfId="61" priority="23946">
      <formula>$Z$6:$Z$20001="2ª CONVOCAÇÃO"</formula>
    </cfRule>
  </conditionalFormatting>
  <conditionalFormatting sqref="A1:E5">
    <cfRule type="expression" dxfId="60" priority="23948">
      <formula>$Z$6:$Z$20001="NÃO ATENDE/AGUARDANDO RETORNO"</formula>
    </cfRule>
  </conditionalFormatting>
  <conditionalFormatting sqref="A1:E5">
    <cfRule type="expression" dxfId="59" priority="23950">
      <formula>$Z$6:$Z$20806="CONTRATADO"</formula>
    </cfRule>
  </conditionalFormatting>
  <conditionalFormatting sqref="A1:E5">
    <cfRule type="expression" dxfId="58" priority="23952">
      <formula>$Z$6:$Z$20806="DESCLASSIFICADO"</formula>
    </cfRule>
  </conditionalFormatting>
  <conditionalFormatting sqref="A1:E5">
    <cfRule type="expression" dxfId="57" priority="23954">
      <formula>$Z$6:$Z$20806="1ª CONVOCAÇÃO"</formula>
    </cfRule>
  </conditionalFormatting>
  <dataValidations count="1">
    <dataValidation type="list" allowBlank="1" showErrorMessage="1" sqref="E5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sqref="A1:E3"/>
    </sheetView>
  </sheetViews>
  <sheetFormatPr defaultColWidth="14.42578125" defaultRowHeight="15"/>
  <cols>
    <col min="2" max="2" width="38.28515625" style="48" bestFit="1" customWidth="1"/>
    <col min="3" max="3" width="19.85546875" bestFit="1" customWidth="1"/>
    <col min="4" max="4" width="20.85546875" customWidth="1"/>
    <col min="5" max="5" width="17" bestFit="1" customWidth="1"/>
  </cols>
  <sheetData>
    <row r="1" spans="1:5" ht="18.75" customHeight="1">
      <c r="A1" s="52" t="s">
        <v>6690</v>
      </c>
      <c r="B1" s="52"/>
      <c r="C1" s="52"/>
      <c r="D1" s="52"/>
      <c r="E1" s="52"/>
    </row>
    <row r="2" spans="1:5" ht="18.75" customHeight="1">
      <c r="A2" s="52"/>
      <c r="B2" s="52"/>
      <c r="C2" s="52"/>
      <c r="D2" s="52"/>
      <c r="E2" s="52"/>
    </row>
    <row r="3" spans="1:5" ht="18.75" customHeight="1">
      <c r="A3" s="52"/>
      <c r="B3" s="52"/>
      <c r="C3" s="52"/>
      <c r="D3" s="52"/>
      <c r="E3" s="52"/>
    </row>
    <row r="4" spans="1:5" ht="32.25" customHeight="1">
      <c r="A4" s="18" t="s">
        <v>9</v>
      </c>
      <c r="B4" s="49" t="s">
        <v>10</v>
      </c>
      <c r="C4" s="18" t="s">
        <v>31</v>
      </c>
      <c r="D4" s="18" t="s">
        <v>41</v>
      </c>
      <c r="E4" s="18" t="s">
        <v>6691</v>
      </c>
    </row>
    <row r="5" spans="1:5" ht="15.75" customHeight="1">
      <c r="A5" s="45">
        <v>1</v>
      </c>
      <c r="B5" s="51" t="s">
        <v>6440</v>
      </c>
      <c r="C5" s="45" t="s">
        <v>80</v>
      </c>
      <c r="D5" s="45" t="s">
        <v>6449</v>
      </c>
      <c r="E5" s="45" t="s">
        <v>325</v>
      </c>
    </row>
    <row r="6" spans="1:5" ht="15.75" customHeight="1">
      <c r="A6" s="45">
        <v>1</v>
      </c>
      <c r="B6" s="51" t="s">
        <v>6450</v>
      </c>
      <c r="C6" s="45" t="s">
        <v>266</v>
      </c>
      <c r="D6" s="45" t="s">
        <v>6449</v>
      </c>
      <c r="E6" s="45" t="s">
        <v>69</v>
      </c>
    </row>
    <row r="7" spans="1:5" ht="15.75" customHeight="1">
      <c r="A7" s="45">
        <v>1</v>
      </c>
      <c r="B7" s="51" t="s">
        <v>6459</v>
      </c>
      <c r="C7" s="45" t="s">
        <v>64</v>
      </c>
      <c r="D7" s="45" t="s">
        <v>6449</v>
      </c>
      <c r="E7" s="45" t="s">
        <v>7</v>
      </c>
    </row>
    <row r="8" spans="1:5" ht="15.75" customHeight="1">
      <c r="A8" s="45">
        <v>2</v>
      </c>
      <c r="B8" s="51" t="s">
        <v>6466</v>
      </c>
      <c r="C8" s="45" t="s">
        <v>64</v>
      </c>
      <c r="D8" s="45" t="s">
        <v>6449</v>
      </c>
      <c r="E8" s="45" t="s">
        <v>6687</v>
      </c>
    </row>
    <row r="9" spans="1:5" ht="15.75" customHeight="1">
      <c r="A9" s="45">
        <v>3</v>
      </c>
      <c r="B9" s="51" t="s">
        <v>6476</v>
      </c>
      <c r="C9" s="45" t="s">
        <v>64</v>
      </c>
      <c r="D9" s="45" t="s">
        <v>6449</v>
      </c>
      <c r="E9" s="45" t="s">
        <v>325</v>
      </c>
    </row>
    <row r="10" spans="1:5" ht="15.75" customHeight="1">
      <c r="A10" s="45">
        <v>4</v>
      </c>
      <c r="B10" s="51" t="s">
        <v>6484</v>
      </c>
      <c r="C10" s="45" t="s">
        <v>64</v>
      </c>
      <c r="D10" s="45" t="s">
        <v>6449</v>
      </c>
      <c r="E10" s="45" t="s">
        <v>325</v>
      </c>
    </row>
    <row r="11" spans="1:5" ht="15.75" customHeight="1">
      <c r="A11" s="45">
        <v>5</v>
      </c>
      <c r="B11" s="51" t="s">
        <v>6491</v>
      </c>
      <c r="C11" s="45" t="s">
        <v>64</v>
      </c>
      <c r="D11" s="45" t="s">
        <v>6449</v>
      </c>
      <c r="E11" s="45" t="s">
        <v>325</v>
      </c>
    </row>
    <row r="12" spans="1:5" ht="15.75" customHeight="1">
      <c r="A12" s="45">
        <v>6</v>
      </c>
      <c r="B12" s="51" t="s">
        <v>6501</v>
      </c>
      <c r="C12" s="45" t="s">
        <v>64</v>
      </c>
      <c r="D12" s="45" t="s">
        <v>6449</v>
      </c>
      <c r="E12" s="45" t="s">
        <v>325</v>
      </c>
    </row>
    <row r="13" spans="1:5" ht="15.75" customHeight="1">
      <c r="A13" s="45">
        <v>7</v>
      </c>
      <c r="B13" s="51" t="s">
        <v>6508</v>
      </c>
      <c r="C13" s="45" t="s">
        <v>64</v>
      </c>
      <c r="D13" s="45" t="s">
        <v>6449</v>
      </c>
      <c r="E13" s="45" t="s">
        <v>7</v>
      </c>
    </row>
    <row r="14" spans="1:5" ht="15.75" customHeight="1">
      <c r="A14" s="45">
        <v>8</v>
      </c>
      <c r="B14" s="51" t="s">
        <v>6517</v>
      </c>
      <c r="C14" s="45" t="s">
        <v>64</v>
      </c>
      <c r="D14" s="45" t="s">
        <v>6449</v>
      </c>
      <c r="E14" s="45" t="s">
        <v>325</v>
      </c>
    </row>
    <row r="15" spans="1:5" ht="15.75" customHeight="1">
      <c r="A15" s="45">
        <v>9</v>
      </c>
      <c r="B15" s="51" t="s">
        <v>6524</v>
      </c>
      <c r="C15" s="45" t="s">
        <v>64</v>
      </c>
      <c r="D15" s="45" t="s">
        <v>6449</v>
      </c>
      <c r="E15" s="45" t="s">
        <v>325</v>
      </c>
    </row>
    <row r="16" spans="1:5" ht="15.75" customHeight="1">
      <c r="A16" s="45">
        <v>10</v>
      </c>
      <c r="B16" s="51" t="s">
        <v>6532</v>
      </c>
      <c r="C16" s="45" t="s">
        <v>64</v>
      </c>
      <c r="D16" s="45" t="s">
        <v>6449</v>
      </c>
      <c r="E16" s="45" t="s">
        <v>325</v>
      </c>
    </row>
    <row r="17" spans="1:5" ht="15.75" customHeight="1">
      <c r="A17" s="45">
        <v>11</v>
      </c>
      <c r="B17" s="51" t="s">
        <v>6538</v>
      </c>
      <c r="C17" s="45" t="s">
        <v>64</v>
      </c>
      <c r="D17" s="45" t="s">
        <v>6449</v>
      </c>
      <c r="E17" s="45" t="s">
        <v>7</v>
      </c>
    </row>
    <row r="18" spans="1:5" ht="15.75" customHeight="1">
      <c r="A18" s="45">
        <v>12</v>
      </c>
      <c r="B18" s="51" t="s">
        <v>6547</v>
      </c>
      <c r="C18" s="45" t="s">
        <v>64</v>
      </c>
      <c r="D18" s="45" t="s">
        <v>6449</v>
      </c>
      <c r="E18" s="45" t="s">
        <v>5</v>
      </c>
    </row>
    <row r="19" spans="1:5" ht="15.75" customHeight="1">
      <c r="A19" s="45">
        <v>13</v>
      </c>
      <c r="B19" s="51" t="s">
        <v>6556</v>
      </c>
      <c r="C19" s="45" t="s">
        <v>64</v>
      </c>
      <c r="D19" s="45" t="s">
        <v>6449</v>
      </c>
      <c r="E19" s="45" t="s">
        <v>5</v>
      </c>
    </row>
    <row r="20" spans="1:5" ht="15.75" customHeight="1">
      <c r="A20" s="45">
        <v>14</v>
      </c>
      <c r="B20" s="51" t="s">
        <v>6564</v>
      </c>
      <c r="C20" s="45" t="s">
        <v>64</v>
      </c>
      <c r="D20" s="45" t="s">
        <v>6449</v>
      </c>
      <c r="E20" s="45" t="s">
        <v>5</v>
      </c>
    </row>
    <row r="21" spans="1:5" ht="15.75" customHeight="1">
      <c r="A21" s="45">
        <v>1</v>
      </c>
      <c r="B21" s="51" t="s">
        <v>6572</v>
      </c>
      <c r="C21" s="45" t="s">
        <v>204</v>
      </c>
      <c r="D21" s="45" t="s">
        <v>6449</v>
      </c>
      <c r="E21" s="45" t="s">
        <v>69</v>
      </c>
    </row>
    <row r="22" spans="1:5" ht="15.75" customHeight="1">
      <c r="A22" s="45">
        <v>2</v>
      </c>
      <c r="B22" s="51" t="s">
        <v>6581</v>
      </c>
      <c r="C22" s="45" t="s">
        <v>204</v>
      </c>
      <c r="D22" s="45" t="s">
        <v>6449</v>
      </c>
      <c r="E22" s="45" t="s">
        <v>69</v>
      </c>
    </row>
    <row r="23" spans="1:5" ht="15.75" customHeight="1">
      <c r="A23" s="45">
        <v>3</v>
      </c>
      <c r="B23" s="51" t="s">
        <v>6588</v>
      </c>
      <c r="C23" s="45" t="s">
        <v>204</v>
      </c>
      <c r="D23" s="45" t="s">
        <v>6449</v>
      </c>
      <c r="E23" s="45" t="s">
        <v>69</v>
      </c>
    </row>
    <row r="24" spans="1:5" ht="15.75" customHeight="1">
      <c r="A24" s="45">
        <v>4</v>
      </c>
      <c r="B24" s="51" t="s">
        <v>6595</v>
      </c>
      <c r="C24" s="45" t="s">
        <v>204</v>
      </c>
      <c r="D24" s="45" t="s">
        <v>6449</v>
      </c>
      <c r="E24" s="45" t="s">
        <v>69</v>
      </c>
    </row>
    <row r="25" spans="1:5" ht="15.75" customHeight="1">
      <c r="A25" s="45">
        <v>5</v>
      </c>
      <c r="B25" s="51" t="s">
        <v>6603</v>
      </c>
      <c r="C25" s="45" t="s">
        <v>204</v>
      </c>
      <c r="D25" s="45" t="s">
        <v>6449</v>
      </c>
      <c r="E25" s="45" t="s">
        <v>69</v>
      </c>
    </row>
    <row r="26" spans="1:5" ht="15.75" customHeight="1">
      <c r="A26" s="45">
        <v>6</v>
      </c>
      <c r="B26" s="51" t="s">
        <v>6613</v>
      </c>
      <c r="C26" s="45" t="s">
        <v>204</v>
      </c>
      <c r="D26" s="45" t="s">
        <v>6449</v>
      </c>
      <c r="E26" s="45" t="s">
        <v>69</v>
      </c>
    </row>
    <row r="27" spans="1:5" ht="15.75" customHeight="1">
      <c r="A27" s="45">
        <v>7</v>
      </c>
      <c r="B27" s="51" t="s">
        <v>6622</v>
      </c>
      <c r="C27" s="45" t="s">
        <v>204</v>
      </c>
      <c r="D27" s="45" t="s">
        <v>6449</v>
      </c>
      <c r="E27" s="45" t="s">
        <v>69</v>
      </c>
    </row>
    <row r="28" spans="1:5" ht="15.75" customHeight="1">
      <c r="A28" s="45">
        <v>8</v>
      </c>
      <c r="B28" s="51" t="s">
        <v>6630</v>
      </c>
      <c r="C28" s="45" t="s">
        <v>204</v>
      </c>
      <c r="D28" s="45" t="s">
        <v>6449</v>
      </c>
      <c r="E28" s="45" t="s">
        <v>69</v>
      </c>
    </row>
    <row r="29" spans="1:5" ht="15.75" customHeight="1">
      <c r="A29" s="45">
        <v>9</v>
      </c>
      <c r="B29" s="51" t="s">
        <v>6639</v>
      </c>
      <c r="C29" s="45" t="s">
        <v>204</v>
      </c>
      <c r="D29" s="45" t="s">
        <v>6449</v>
      </c>
      <c r="E29" s="45" t="s">
        <v>69</v>
      </c>
    </row>
    <row r="30" spans="1:5" ht="15.75" customHeight="1">
      <c r="A30" s="45">
        <v>1</v>
      </c>
      <c r="B30" s="51" t="s">
        <v>6647</v>
      </c>
      <c r="C30" s="45" t="s">
        <v>4235</v>
      </c>
      <c r="D30" s="45" t="s">
        <v>6449</v>
      </c>
      <c r="E30" s="45" t="s">
        <v>69</v>
      </c>
    </row>
    <row r="31" spans="1:5" ht="15.75" customHeight="1">
      <c r="A31" s="45">
        <v>2</v>
      </c>
      <c r="B31" s="51" t="s">
        <v>6654</v>
      </c>
      <c r="C31" s="45" t="s">
        <v>4235</v>
      </c>
      <c r="D31" s="45" t="s">
        <v>6449</v>
      </c>
      <c r="E31" s="45" t="s">
        <v>69</v>
      </c>
    </row>
    <row r="32" spans="1:5" ht="15.75" customHeight="1">
      <c r="A32" s="45">
        <v>1</v>
      </c>
      <c r="B32" s="51" t="s">
        <v>6661</v>
      </c>
      <c r="C32" s="45" t="s">
        <v>1005</v>
      </c>
      <c r="D32" s="45" t="s">
        <v>6449</v>
      </c>
      <c r="E32" s="45" t="s">
        <v>69</v>
      </c>
    </row>
  </sheetData>
  <mergeCells count="1">
    <mergeCell ref="A1:E3"/>
  </mergeCells>
  <conditionalFormatting sqref="A1:E4">
    <cfRule type="expression" dxfId="56" priority="3">
      <formula>$E$5:$E$20001="CONTRATADO"</formula>
    </cfRule>
  </conditionalFormatting>
  <conditionalFormatting sqref="A1:E4">
    <cfRule type="expression" dxfId="55" priority="4">
      <formula>$E$5:$E$20001="DESCLASSIFICADO"</formula>
    </cfRule>
  </conditionalFormatting>
  <conditionalFormatting sqref="A1:E4">
    <cfRule type="expression" dxfId="54" priority="5">
      <formula>$E$5:$E$20001="REMANEJADO"</formula>
    </cfRule>
  </conditionalFormatting>
  <conditionalFormatting sqref="A1:E4">
    <cfRule type="expression" dxfId="53" priority="6">
      <formula>$E$5:$E$20001="1ª CONVOCAÇÃO"</formula>
    </cfRule>
  </conditionalFormatting>
  <conditionalFormatting sqref="A1:E4">
    <cfRule type="expression" dxfId="52" priority="7">
      <formula>$E$5:$E$20001="2ª CONVOCAÇÃO"</formula>
    </cfRule>
  </conditionalFormatting>
  <conditionalFormatting sqref="A1:E4">
    <cfRule type="expression" dxfId="51" priority="8">
      <formula>$E$5:$E$20001="NÃO ATENDE/AGUARDANDO RETORNO"</formula>
    </cfRule>
  </conditionalFormatting>
  <conditionalFormatting sqref="A1:E4">
    <cfRule type="expression" dxfId="50" priority="17">
      <formula>$E$5:$E$20806="REMANEJADO"</formula>
    </cfRule>
  </conditionalFormatting>
  <conditionalFormatting sqref="A1:E4">
    <cfRule type="expression" dxfId="49" priority="19">
      <formula>$E$5:$E$20806="2ª CONVOCAÇÃO"</formula>
    </cfRule>
  </conditionalFormatting>
  <conditionalFormatting sqref="A1:E4">
    <cfRule type="expression" dxfId="48" priority="20">
      <formula>$E$5:$E$20806="NÃO ATENDE/AGUARDANDO RETORNO"</formula>
    </cfRule>
  </conditionalFormatting>
  <conditionalFormatting sqref="A1:E4">
    <cfRule type="expression" dxfId="47" priority="21">
      <formula>$E$6:$E$20806="CONTRATADO"</formula>
    </cfRule>
  </conditionalFormatting>
  <conditionalFormatting sqref="A1:E4">
    <cfRule type="expression" dxfId="46" priority="24083">
      <formula>$Z$6:$Z$20806="REMANEJADO"</formula>
    </cfRule>
  </conditionalFormatting>
  <conditionalFormatting sqref="A1:E4">
    <cfRule type="expression" dxfId="45" priority="24086">
      <formula>$Z$6:$Z$20001="DESCLASSIFICADO"</formula>
    </cfRule>
  </conditionalFormatting>
  <conditionalFormatting sqref="A1:E4">
    <cfRule type="expression" dxfId="44" priority="24089">
      <formula>$Z$6:$Z$20001="REMANEJADO"</formula>
    </cfRule>
  </conditionalFormatting>
  <conditionalFormatting sqref="A1:E4">
    <cfRule type="expression" dxfId="43" priority="24092">
      <formula>$Z$6:$Z$20001="1ª CONVOCAÇÃO"</formula>
    </cfRule>
  </conditionalFormatting>
  <conditionalFormatting sqref="A1:E4">
    <cfRule type="expression" dxfId="42" priority="24095">
      <formula>$Z$6:$Z$20001="2ª CONVOCAÇÃO"</formula>
    </cfRule>
  </conditionalFormatting>
  <conditionalFormatting sqref="A1:E4">
    <cfRule type="expression" dxfId="41" priority="24098">
      <formula>$Z$6:$Z$20001="NÃO ATENDE/AGUARDANDO RETORNO"</formula>
    </cfRule>
  </conditionalFormatting>
  <conditionalFormatting sqref="A1:E4">
    <cfRule type="expression" dxfId="40" priority="24101">
      <formula>$Z$6:$Z$20806="CONTRATADO"</formula>
    </cfRule>
  </conditionalFormatting>
  <conditionalFormatting sqref="A1:E4">
    <cfRule type="expression" dxfId="39" priority="24104">
      <formula>$Z$6:$Z$20806="DESCLASSIFICADO"</formula>
    </cfRule>
  </conditionalFormatting>
  <conditionalFormatting sqref="A1:E4">
    <cfRule type="expression" dxfId="38" priority="24107">
      <formula>$Z$6:$Z$20806="1ª CONVOCAÇÃO"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4" zoomScaleNormal="100" workbookViewId="0">
      <selection activeCell="A4" sqref="A4:E6"/>
    </sheetView>
  </sheetViews>
  <sheetFormatPr defaultColWidth="14.42578125" defaultRowHeight="15"/>
  <cols>
    <col min="2" max="2" width="26.140625" style="48" bestFit="1" customWidth="1"/>
    <col min="4" max="4" width="18.42578125" bestFit="1" customWidth="1"/>
    <col min="5" max="5" width="16.5703125" bestFit="1" customWidth="1"/>
  </cols>
  <sheetData>
    <row r="1" spans="1:5" ht="15" hidden="1" customHeight="1">
      <c r="A1" s="5" t="s">
        <v>1</v>
      </c>
      <c r="B1" s="5"/>
      <c r="C1" s="14"/>
    </row>
    <row r="2" spans="1:5" ht="15" hidden="1" customHeight="1">
      <c r="A2" s="5" t="s">
        <v>2</v>
      </c>
      <c r="B2" s="5"/>
      <c r="C2" s="14"/>
    </row>
    <row r="3" spans="1:5" ht="15" hidden="1" customHeight="1">
      <c r="A3" s="5" t="s">
        <v>3</v>
      </c>
      <c r="B3" s="5"/>
      <c r="C3" s="14"/>
    </row>
    <row r="4" spans="1:5" ht="15" customHeight="1">
      <c r="A4" s="52" t="s">
        <v>6690</v>
      </c>
      <c r="B4" s="52"/>
      <c r="C4" s="52"/>
      <c r="D4" s="52"/>
      <c r="E4" s="52"/>
    </row>
    <row r="5" spans="1:5" ht="15" customHeight="1">
      <c r="A5" s="52"/>
      <c r="B5" s="52"/>
      <c r="C5" s="52"/>
      <c r="D5" s="52"/>
      <c r="E5" s="52"/>
    </row>
    <row r="6" spans="1:5" ht="15" customHeight="1">
      <c r="A6" s="52"/>
      <c r="B6" s="52"/>
      <c r="C6" s="52"/>
      <c r="D6" s="52"/>
      <c r="E6" s="52"/>
    </row>
    <row r="7" spans="1:5" ht="30">
      <c r="A7" s="18" t="s">
        <v>9</v>
      </c>
      <c r="B7" s="49" t="s">
        <v>10</v>
      </c>
      <c r="C7" s="18" t="s">
        <v>31</v>
      </c>
      <c r="D7" s="18" t="s">
        <v>41</v>
      </c>
      <c r="E7" s="18" t="s">
        <v>6691</v>
      </c>
    </row>
    <row r="8" spans="1:5" ht="15.75" customHeight="1">
      <c r="A8" s="45">
        <v>1</v>
      </c>
      <c r="B8" s="51" t="s">
        <v>6670</v>
      </c>
      <c r="C8" s="45" t="s">
        <v>64</v>
      </c>
      <c r="D8" s="45" t="s">
        <v>6677</v>
      </c>
      <c r="E8" s="21" t="s">
        <v>325</v>
      </c>
    </row>
    <row r="9" spans="1:5" ht="15.75" customHeight="1">
      <c r="A9" s="45">
        <v>2</v>
      </c>
      <c r="B9" s="51" t="s">
        <v>6678</v>
      </c>
      <c r="C9" s="45" t="s">
        <v>64</v>
      </c>
      <c r="D9" s="45" t="s">
        <v>6677</v>
      </c>
      <c r="E9" s="21" t="s">
        <v>325</v>
      </c>
    </row>
  </sheetData>
  <mergeCells count="4">
    <mergeCell ref="A1:B1"/>
    <mergeCell ref="A2:B2"/>
    <mergeCell ref="A3:B3"/>
    <mergeCell ref="A4:E6"/>
  </mergeCells>
  <conditionalFormatting sqref="A1:E3 E8:E9 A7:E7">
    <cfRule type="expression" dxfId="37" priority="2">
      <formula>$Z$9:$Z$20809="REMANEJADO"</formula>
    </cfRule>
  </conditionalFormatting>
  <conditionalFormatting sqref="A1:E3 A7:E7 E8:E9">
    <cfRule type="expression" dxfId="36" priority="3">
      <formula>$E$8:$E$20004="CONTRATADO"</formula>
    </cfRule>
  </conditionalFormatting>
  <conditionalFormatting sqref="A1:E3 A7:E7 E8:E9">
    <cfRule type="expression" dxfId="35" priority="4">
      <formula>$E$8:$E$20004="DESCLASSIFICADO"</formula>
    </cfRule>
  </conditionalFormatting>
  <conditionalFormatting sqref="A1:E3 A7:E7 E8:E9">
    <cfRule type="expression" dxfId="34" priority="5">
      <formula>$E$8:$E$20004="REMANEJADO"</formula>
    </cfRule>
  </conditionalFormatting>
  <conditionalFormatting sqref="A1:E3 A7:E7 E8:E9">
    <cfRule type="expression" dxfId="33" priority="6">
      <formula>$E$8:$E$20004="1ª CONVOCAÇÃO"</formula>
    </cfRule>
  </conditionalFormatting>
  <conditionalFormatting sqref="A1:E3 A7:E7 E8:E9">
    <cfRule type="expression" dxfId="32" priority="7">
      <formula>$E$8:$E$20004="2ª CONVOCAÇÃO"</formula>
    </cfRule>
  </conditionalFormatting>
  <conditionalFormatting sqref="A1:E3 A7:E7 E8:E9">
    <cfRule type="expression" dxfId="31" priority="8">
      <formula>$E$8:$E$20004="NÃO ATENDE/AGUARDANDO RETORNO"</formula>
    </cfRule>
  </conditionalFormatting>
  <conditionalFormatting sqref="A1:E3 E8:E9 A7:E7">
    <cfRule type="expression" dxfId="30" priority="10">
      <formula>$Z$9:$Z$20004="DESCLASSIFICADO"</formula>
    </cfRule>
  </conditionalFormatting>
  <conditionalFormatting sqref="A1:E3 E8:E9 A7:E7">
    <cfRule type="expression" dxfId="29" priority="11">
      <formula>$Z$9:$Z$20004="REMANEJADO"</formula>
    </cfRule>
  </conditionalFormatting>
  <conditionalFormatting sqref="A1:E3 E8:E9 A7:E7">
    <cfRule type="expression" dxfId="28" priority="12">
      <formula>$Z$9:$Z$20004="1ª CONVOCAÇÃO"</formula>
    </cfRule>
  </conditionalFormatting>
  <conditionalFormatting sqref="A1:E3 E8:E9 A7:E7">
    <cfRule type="expression" dxfId="27" priority="13">
      <formula>$Z$9:$Z$20004="2ª CONVOCAÇÃO"</formula>
    </cfRule>
  </conditionalFormatting>
  <conditionalFormatting sqref="A1:E3 E8:E9 A7:E7">
    <cfRule type="expression" dxfId="26" priority="14">
      <formula>$Z$9:$Z$20004="NÃO ATENDE/AGUARDANDO RETORNO"</formula>
    </cfRule>
  </conditionalFormatting>
  <conditionalFormatting sqref="A1:E3 E8:E9 A7:E7">
    <cfRule type="expression" dxfId="25" priority="15">
      <formula>$Z$9:$Z$20809="CONTRATADO"</formula>
    </cfRule>
  </conditionalFormatting>
  <conditionalFormatting sqref="A1:E3 E8:E9 A7:E7">
    <cfRule type="expression" dxfId="24" priority="16">
      <formula>$Z$9:$Z$20809="DESCLASSIFICADO"</formula>
    </cfRule>
  </conditionalFormatting>
  <conditionalFormatting sqref="A1:E3 A7:E7 E8:E9">
    <cfRule type="expression" dxfId="23" priority="17">
      <formula>$E$8:$E$20809="REMANEJADO"</formula>
    </cfRule>
  </conditionalFormatting>
  <conditionalFormatting sqref="A1:E3 E8:E9 A7:E7">
    <cfRule type="expression" dxfId="22" priority="18">
      <formula>$Z$9:$Z$20809="1ª CONVOCAÇÃO"</formula>
    </cfRule>
  </conditionalFormatting>
  <conditionalFormatting sqref="A1:E3 A7:E7 E8:E9">
    <cfRule type="expression" dxfId="21" priority="19">
      <formula>$E$8:$E$20809="2ª CONVOCAÇÃO"</formula>
    </cfRule>
  </conditionalFormatting>
  <conditionalFormatting sqref="A1:E3 A7:E7 E8:E9">
    <cfRule type="expression" dxfId="20" priority="20">
      <formula>$E$8:$E$20809="NÃO ATENDE/AGUARDANDO RETORNO"</formula>
    </cfRule>
  </conditionalFormatting>
  <conditionalFormatting sqref="A1:E3 A7:E7 E8:E9">
    <cfRule type="expression" dxfId="19" priority="21">
      <formula>$E$9:$E$20809="CONTRATADO"</formula>
    </cfRule>
  </conditionalFormatting>
  <conditionalFormatting sqref="A4:E6">
    <cfRule type="expression" dxfId="18" priority="25264">
      <formula>$Z$6:$Z$20805="REMANEJADO"</formula>
    </cfRule>
  </conditionalFormatting>
  <conditionalFormatting sqref="A4:E6">
    <cfRule type="expression" dxfId="17" priority="25266">
      <formula>$E$5:$E$20000="CONTRATADO"</formula>
    </cfRule>
  </conditionalFormatting>
  <conditionalFormatting sqref="A4:E6">
    <cfRule type="expression" dxfId="16" priority="25268">
      <formula>$E$5:$E$20000="DESCLASSIFICADO"</formula>
    </cfRule>
  </conditionalFormatting>
  <conditionalFormatting sqref="A4:E6">
    <cfRule type="expression" dxfId="15" priority="25270">
      <formula>$E$5:$E$20000="REMANEJADO"</formula>
    </cfRule>
  </conditionalFormatting>
  <conditionalFormatting sqref="A4:E6">
    <cfRule type="expression" dxfId="14" priority="25272">
      <formula>$E$5:$E$20000="1ª CONVOCAÇÃO"</formula>
    </cfRule>
  </conditionalFormatting>
  <conditionalFormatting sqref="A4:E6">
    <cfRule type="expression" dxfId="13" priority="25274">
      <formula>$E$5:$E$20000="2ª CONVOCAÇÃO"</formula>
    </cfRule>
  </conditionalFormatting>
  <conditionalFormatting sqref="A4:E6">
    <cfRule type="expression" dxfId="12" priority="25276">
      <formula>$E$5:$E$20000="NÃO ATENDE/AGUARDANDO RETORNO"</formula>
    </cfRule>
  </conditionalFormatting>
  <conditionalFormatting sqref="A4:E6">
    <cfRule type="expression" dxfId="11" priority="25278">
      <formula>$Z$6:$Z$20000="DESCLASSIFICADO"</formula>
    </cfRule>
  </conditionalFormatting>
  <conditionalFormatting sqref="A4:E6">
    <cfRule type="expression" dxfId="10" priority="25280">
      <formula>$Z$6:$Z$20000="REMANEJADO"</formula>
    </cfRule>
  </conditionalFormatting>
  <conditionalFormatting sqref="A4:E6">
    <cfRule type="expression" dxfId="9" priority="25282">
      <formula>$Z$6:$Z$20000="1ª CONVOCAÇÃO"</formula>
    </cfRule>
  </conditionalFormatting>
  <conditionalFormatting sqref="A4:E6">
    <cfRule type="expression" dxfId="8" priority="25284">
      <formula>$Z$6:$Z$20000="2ª CONVOCAÇÃO"</formula>
    </cfRule>
  </conditionalFormatting>
  <conditionalFormatting sqref="A4:E6">
    <cfRule type="expression" dxfId="7" priority="25286">
      <formula>$Z$6:$Z$20000="NÃO ATENDE/AGUARDANDO RETORNO"</formula>
    </cfRule>
  </conditionalFormatting>
  <conditionalFormatting sqref="A4:E6">
    <cfRule type="expression" dxfId="6" priority="25288">
      <formula>$Z$6:$Z$20805="CONTRATADO"</formula>
    </cfRule>
  </conditionalFormatting>
  <conditionalFormatting sqref="A4:E6">
    <cfRule type="expression" dxfId="5" priority="25290">
      <formula>$Z$6:$Z$20805="DESCLASSIFICADO"</formula>
    </cfRule>
  </conditionalFormatting>
  <conditionalFormatting sqref="A4:E6">
    <cfRule type="expression" dxfId="4" priority="25292">
      <formula>$E$5:$E$20805="REMANEJADO"</formula>
    </cfRule>
  </conditionalFormatting>
  <conditionalFormatting sqref="A4:E6">
    <cfRule type="expression" dxfId="3" priority="25294">
      <formula>$Z$6:$Z$20805="1ª CONVOCAÇÃO"</formula>
    </cfRule>
  </conditionalFormatting>
  <conditionalFormatting sqref="A4:E6">
    <cfRule type="expression" dxfId="2" priority="25296">
      <formula>$E$5:$E$20805="2ª CONVOCAÇÃO"</formula>
    </cfRule>
  </conditionalFormatting>
  <conditionalFormatting sqref="A4:E6">
    <cfRule type="expression" dxfId="1" priority="25298">
      <formula>$E$5:$E$20805="NÃO ATENDE/AGUARDANDO RETORNO"</formula>
    </cfRule>
  </conditionalFormatting>
  <conditionalFormatting sqref="A4:E6">
    <cfRule type="expression" dxfId="0" priority="25300">
      <formula>$E$6:$E$20805="CONTRATADO"</formula>
    </cfRule>
  </conditionalFormatting>
  <dataValidations count="1">
    <dataValidation type="list" allowBlank="1" showErrorMessage="1" sqref="E8:E9">
      <formula1>"DISPONÍVEL,CONTRATADO,DESCLASSIFICADO,NÃO ATENDE/AGUARDANDO RETORNO,REMANEJADO,1ª CONVOCAÇÃO,2ª CONVOCAÇÃO"</formula1>
      <formula2>0</formula2>
    </dataValidation>
  </dataValidation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94</vt:i4>
      </vt:variant>
      <vt:variant>
        <vt:lpstr>Intervalos nomeados</vt:lpstr>
      </vt:variant>
      <vt:variant>
        <vt:i4>6</vt:i4>
      </vt:variant>
    </vt:vector>
  </HeadingPairs>
  <TitlesOfParts>
    <vt:vector size="100" baseType="lpstr">
      <vt:lpstr>Todas as cidades aqui- Superior</vt:lpstr>
      <vt:lpstr>AMPLA</vt:lpstr>
      <vt:lpstr>NEGRO</vt:lpstr>
      <vt:lpstr>PCD</vt:lpstr>
      <vt:lpstr>ANÁPOLIS</vt:lpstr>
      <vt:lpstr>ABADIÂNIA</vt:lpstr>
      <vt:lpstr>ACREÚNA</vt:lpstr>
      <vt:lpstr>ALVORADA DO NORTE</vt:lpstr>
      <vt:lpstr>ANICUNS</vt:lpstr>
      <vt:lpstr>ÁGUAS LINDAS</vt:lpstr>
      <vt:lpstr>APARECIDA DE GOIÂNIA</vt:lpstr>
      <vt:lpstr>ARAGARÇAS</vt:lpstr>
      <vt:lpstr>BELA VISTA</vt:lpstr>
      <vt:lpstr>BOM JESUS</vt:lpstr>
      <vt:lpstr>CACHOEIRA ALTA</vt:lpstr>
      <vt:lpstr>CALDAS NOVAS</vt:lpstr>
      <vt:lpstr>CAMPINORTE</vt:lpstr>
      <vt:lpstr>CAMPOS BELOS</vt:lpstr>
      <vt:lpstr>CATALÃO</vt:lpstr>
      <vt:lpstr>CERES</vt:lpstr>
      <vt:lpstr>CIDADE OCIDENTAL</vt:lpstr>
      <vt:lpstr>COCALZINHO</vt:lpstr>
      <vt:lpstr>CORUMBÁ DE GOIÁS</vt:lpstr>
      <vt:lpstr>CORUMBAÍBA</vt:lpstr>
      <vt:lpstr>CRISTALINA</vt:lpstr>
      <vt:lpstr>CRIXÁS</vt:lpstr>
      <vt:lpstr>CUMARI</vt:lpstr>
      <vt:lpstr>EDÉIA</vt:lpstr>
      <vt:lpstr>FAZENDA NOVA</vt:lpstr>
      <vt:lpstr>FIRMINÓPOLIS</vt:lpstr>
      <vt:lpstr>FORMOSA</vt:lpstr>
      <vt:lpstr>FORMOSO - GO</vt:lpstr>
      <vt:lpstr>GOIANÉSIA</vt:lpstr>
      <vt:lpstr>GOIÂNIA</vt:lpstr>
      <vt:lpstr>GOIANIRA</vt:lpstr>
      <vt:lpstr>GOIÁS</vt:lpstr>
      <vt:lpstr>GOIATUBA</vt:lpstr>
      <vt:lpstr>HIDROLÂNIDA</vt:lpstr>
      <vt:lpstr>IACIARA</vt:lpstr>
      <vt:lpstr>INHUMAS</vt:lpstr>
      <vt:lpstr>IPAMERI</vt:lpstr>
      <vt:lpstr>IPORÁ</vt:lpstr>
      <vt:lpstr>ISRAELÂNDIA</vt:lpstr>
      <vt:lpstr>ITABERAÍ</vt:lpstr>
      <vt:lpstr>ITAGUARU</vt:lpstr>
      <vt:lpstr>ITAPACI</vt:lpstr>
      <vt:lpstr>ITAPIRAPUÃ</vt:lpstr>
      <vt:lpstr>ITAPURANGA</vt:lpstr>
      <vt:lpstr>ITUMBIARA</vt:lpstr>
      <vt:lpstr>JARAGUÁ</vt:lpstr>
      <vt:lpstr>JATAÍ</vt:lpstr>
      <vt:lpstr>JOVIÂNIA</vt:lpstr>
      <vt:lpstr>JUSSARA</vt:lpstr>
      <vt:lpstr>LEOPOLDO DE BULHÕES</vt:lpstr>
      <vt:lpstr>LUZIÂNIA</vt:lpstr>
      <vt:lpstr>MAURILÂNDIA</vt:lpstr>
      <vt:lpstr>MINEIROS</vt:lpstr>
      <vt:lpstr>MORRINHOS</vt:lpstr>
      <vt:lpstr>MOSSÂMEDES</vt:lpstr>
      <vt:lpstr>MOZARLÂNDIA</vt:lpstr>
      <vt:lpstr>NAZÁRIO</vt:lpstr>
      <vt:lpstr>NERÓPOLIS</vt:lpstr>
      <vt:lpstr>NIQUELÂNDIA</vt:lpstr>
      <vt:lpstr>NOVA CRIXÁS</vt:lpstr>
      <vt:lpstr>NOVO GAMA</vt:lpstr>
      <vt:lpstr>ORIZONA</vt:lpstr>
      <vt:lpstr>PARAÚNA</vt:lpstr>
      <vt:lpstr>PIRACANJUBA</vt:lpstr>
      <vt:lpstr>PIRENÓPOLIS</vt:lpstr>
      <vt:lpstr>PALMEIRAS DE GOIÁS</vt:lpstr>
      <vt:lpstr>PIRES DO RIO</vt:lpstr>
      <vt:lpstr>PLANALTINA</vt:lpstr>
      <vt:lpstr>PORANGATU</vt:lpstr>
      <vt:lpstr>QUIRINÓPOLIS</vt:lpstr>
      <vt:lpstr>RIO VERDE</vt:lpstr>
      <vt:lpstr>PONTALINA</vt:lpstr>
      <vt:lpstr>RUBIATABA</vt:lpstr>
      <vt:lpstr>SANCLERLÂNDIA</vt:lpstr>
      <vt:lpstr>SANTA CRUZ DE GOIÁS</vt:lpstr>
      <vt:lpstr>SANTA TEREZINHA DE GOIÁS</vt:lpstr>
      <vt:lpstr>SÃO LUÍS MONTES BELOS</vt:lpstr>
      <vt:lpstr>SANTO ANTÔNIO DO DESCOBERTO</vt:lpstr>
      <vt:lpstr>SÃO MIGUEL DO ARAGUAIA</vt:lpstr>
      <vt:lpstr>SENADOR CANEDO</vt:lpstr>
      <vt:lpstr>SILVÂNIA</vt:lpstr>
      <vt:lpstr>SÃO SIMÃO</vt:lpstr>
      <vt:lpstr>TAQUARAL DE GOIÁS</vt:lpstr>
      <vt:lpstr>TRINDADE</vt:lpstr>
      <vt:lpstr>TURVÂNIA</vt:lpstr>
      <vt:lpstr>URUAÇU</vt:lpstr>
      <vt:lpstr>URUANA</vt:lpstr>
      <vt:lpstr>URUTAÍ</vt:lpstr>
      <vt:lpstr>VALPARAÍSO</vt:lpstr>
      <vt:lpstr>VIANÓPOLIS</vt:lpstr>
      <vt:lpstr>AMPLA!Z_7FB618AB_56A0_423A_8C28_9E8FC6F8DE43_.wvu.FilterData</vt:lpstr>
      <vt:lpstr>GOIÂNIA!Z_7FB618AB_56A0_423A_8C28_9E8FC6F8DE43_.wvu.FilterData</vt:lpstr>
      <vt:lpstr>AMPLA!Z_9E4DA071_5DE4_471C_BFF9_4042C6350544_.wvu.FilterData</vt:lpstr>
      <vt:lpstr>GOIÂNIA!Z_9E4DA071_5DE4_471C_BFF9_4042C6350544_.wvu.FilterData</vt:lpstr>
      <vt:lpstr>AMPLA!Z_EE6C6D32_6F5A_4DD0_94CB_D863450A140B_.wvu.FilterData</vt:lpstr>
      <vt:lpstr>GOIÂNIA!Z_EE6C6D32_6F5A_4DD0_94CB_D863450A140B_.wvu.FilterData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Martins Rodrigues</dc:creator>
  <cp:lastModifiedBy>Valeria Martins Rodrigues</cp:lastModifiedBy>
  <cp:revision>27</cp:revision>
  <dcterms:created xsi:type="dcterms:W3CDTF">2024-06-25T22:42:51Z</dcterms:created>
  <dcterms:modified xsi:type="dcterms:W3CDTF">2024-06-26T03:43:46Z</dcterms:modified>
  <dc:language>pt-BR</dc:language>
</cp:coreProperties>
</file>